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0. Grant Cycle Review\Current Year\Applications\WORKING_FOLDER_for_thumbdrives\For website\"/>
    </mc:Choice>
  </mc:AlternateContent>
  <xr:revisionPtr revIDLastSave="0" documentId="10_ncr:100000_{9ED4334A-3736-48BF-89FB-C383E4774AAF}" xr6:coauthVersionLast="31" xr6:coauthVersionMax="31" xr10:uidLastSave="{00000000-0000-0000-0000-000000000000}"/>
  <bookViews>
    <workbookView xWindow="0" yWindow="0" windowWidth="23040" windowHeight="8535" xr2:uid="{00000000-000D-0000-FFFF-FFFF00000000}"/>
  </bookViews>
  <sheets>
    <sheet name="Commitee Worksheet" sheetId="1" r:id="rId1"/>
    <sheet name="Military Projects" sheetId="5" r:id="rId2"/>
    <sheet name="MASTER_FINAL" sheetId="7" state="hidden" r:id="rId3"/>
    <sheet name="Linked_Table" sheetId="3" state="hidden" r:id="rId4"/>
    <sheet name="Linked_Table_Mil" sheetId="4" state="hidden" r:id="rId5"/>
    <sheet name="Doc_Links" sheetId="6" state="hidden" r:id="rId6"/>
  </sheets>
  <definedNames>
    <definedName name="_xlnm._FilterDatabase" localSheetId="2">MASTER_FINAL!$A$1:$B$121</definedName>
    <definedName name="Acquisition_Scoring_DB_2018_Cycle.accdb" localSheetId="3" hidden="1">Linked_Table!$A$4:$U$84</definedName>
    <definedName name="Acquisition_Scoring_DB_2018_Cycle.accdb" localSheetId="4" hidden="1">Linked_Table_Mil!$A$3:$W$9</definedName>
    <definedName name="Acquisition_Scoring_DB_2018_Cycle_be.accdb" localSheetId="0" hidden="1">'Commitee Worksheet'!#REF!</definedName>
    <definedName name="_xlnm.Print_Titles" localSheetId="0">'Commitee Worksheet'!$5:$6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5" l="1"/>
  <c r="J3" i="5" s="1"/>
  <c r="H2" i="1"/>
  <c r="H3" i="1" s="1"/>
  <c r="T78" i="1" l="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W8" i="5" l="1"/>
  <c r="W9" i="5"/>
  <c r="W10" i="5"/>
  <c r="W11" i="5"/>
  <c r="W12" i="5"/>
  <c r="W7" i="5"/>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E121" i="6" l="1"/>
  <c r="D121" i="6"/>
  <c r="C121" i="6"/>
  <c r="E120" i="6"/>
  <c r="D120" i="6"/>
  <c r="C120" i="6"/>
  <c r="E119" i="6"/>
  <c r="D119" i="6"/>
  <c r="C119" i="6"/>
  <c r="E118" i="6"/>
  <c r="D118" i="6"/>
  <c r="C118" i="6"/>
  <c r="E117" i="6"/>
  <c r="D117" i="6"/>
  <c r="C117" i="6"/>
  <c r="E116" i="6"/>
  <c r="D116" i="6"/>
  <c r="C116" i="6"/>
  <c r="E115" i="6"/>
  <c r="D115" i="6"/>
  <c r="C115" i="6"/>
  <c r="E114" i="6"/>
  <c r="D114" i="6"/>
  <c r="C114" i="6"/>
  <c r="E113" i="6"/>
  <c r="D113" i="6"/>
  <c r="C113" i="6"/>
  <c r="E112" i="6"/>
  <c r="D112" i="6"/>
  <c r="C112" i="6"/>
  <c r="E111" i="6"/>
  <c r="D111" i="6"/>
  <c r="C111" i="6"/>
  <c r="E110" i="6"/>
  <c r="D110" i="6"/>
  <c r="C110" i="6"/>
  <c r="E109" i="6"/>
  <c r="D109" i="6"/>
  <c r="C109" i="6"/>
  <c r="E108" i="6"/>
  <c r="D108" i="6"/>
  <c r="C108" i="6"/>
  <c r="E107" i="6"/>
  <c r="D107" i="6"/>
  <c r="C107" i="6"/>
  <c r="E106" i="6"/>
  <c r="D106" i="6"/>
  <c r="C106" i="6"/>
  <c r="E105" i="6"/>
  <c r="D105" i="6"/>
  <c r="C105" i="6"/>
  <c r="E104" i="6"/>
  <c r="D104" i="6"/>
  <c r="C104" i="6"/>
  <c r="E103" i="6"/>
  <c r="D103" i="6"/>
  <c r="C103" i="6"/>
  <c r="E102" i="6"/>
  <c r="D102" i="6"/>
  <c r="C102" i="6"/>
  <c r="E101" i="6"/>
  <c r="D101" i="6"/>
  <c r="C101" i="6"/>
  <c r="E100" i="6"/>
  <c r="D100" i="6"/>
  <c r="C100" i="6"/>
  <c r="E99" i="6"/>
  <c r="D99" i="6"/>
  <c r="C99" i="6"/>
  <c r="E98" i="6"/>
  <c r="D98" i="6"/>
  <c r="C98" i="6"/>
  <c r="E97" i="6"/>
  <c r="D97" i="6"/>
  <c r="C97" i="6"/>
  <c r="E96" i="6"/>
  <c r="D96" i="6"/>
  <c r="C96" i="6"/>
  <c r="E95" i="6"/>
  <c r="D95" i="6"/>
  <c r="C95" i="6"/>
  <c r="E94" i="6"/>
  <c r="D94" i="6"/>
  <c r="C94" i="6"/>
  <c r="E93" i="6"/>
  <c r="D93" i="6"/>
  <c r="C93" i="6"/>
  <c r="E92" i="6"/>
  <c r="D92" i="6"/>
  <c r="C92" i="6"/>
  <c r="E91" i="6"/>
  <c r="D91" i="6"/>
  <c r="C91" i="6"/>
  <c r="E90" i="6"/>
  <c r="D90" i="6"/>
  <c r="C90" i="6"/>
  <c r="E89" i="6"/>
  <c r="D89" i="6"/>
  <c r="C89" i="6"/>
  <c r="E88" i="6"/>
  <c r="D88" i="6"/>
  <c r="C88" i="6"/>
  <c r="E87" i="6"/>
  <c r="D87" i="6"/>
  <c r="C87" i="6"/>
  <c r="E86" i="6"/>
  <c r="D86" i="6"/>
  <c r="C86" i="6"/>
  <c r="E85" i="6"/>
  <c r="D85" i="6"/>
  <c r="C85" i="6"/>
  <c r="E84" i="6"/>
  <c r="D84" i="6"/>
  <c r="C84" i="6"/>
  <c r="E83" i="6"/>
  <c r="D83" i="6"/>
  <c r="C83" i="6"/>
  <c r="E82" i="6"/>
  <c r="D82" i="6"/>
  <c r="C82" i="6"/>
  <c r="E81" i="6"/>
  <c r="D81" i="6"/>
  <c r="C81" i="6"/>
  <c r="E80" i="6"/>
  <c r="D80" i="6"/>
  <c r="C80" i="6"/>
  <c r="E79" i="6"/>
  <c r="D79" i="6"/>
  <c r="C79" i="6"/>
  <c r="E78" i="6"/>
  <c r="D78" i="6"/>
  <c r="C78" i="6"/>
  <c r="E77" i="6"/>
  <c r="D77" i="6"/>
  <c r="C77" i="6"/>
  <c r="E76" i="6"/>
  <c r="D76" i="6"/>
  <c r="C76" i="6"/>
  <c r="E75" i="6"/>
  <c r="D75" i="6"/>
  <c r="C75" i="6"/>
  <c r="E74" i="6"/>
  <c r="D74" i="6"/>
  <c r="C74" i="6"/>
  <c r="E73" i="6"/>
  <c r="D73" i="6"/>
  <c r="C73" i="6"/>
  <c r="E72" i="6"/>
  <c r="D72" i="6"/>
  <c r="C72" i="6"/>
  <c r="E71" i="6"/>
  <c r="D71" i="6"/>
  <c r="C71" i="6"/>
  <c r="E70" i="6"/>
  <c r="D70" i="6"/>
  <c r="C70" i="6"/>
  <c r="E69" i="6"/>
  <c r="D69" i="6"/>
  <c r="C69" i="6"/>
  <c r="E68" i="6"/>
  <c r="D68" i="6"/>
  <c r="C68" i="6"/>
  <c r="E67" i="6"/>
  <c r="D67" i="6"/>
  <c r="C67" i="6"/>
  <c r="E66" i="6"/>
  <c r="D66" i="6"/>
  <c r="C66" i="6"/>
  <c r="E65" i="6"/>
  <c r="D65" i="6"/>
  <c r="C65" i="6"/>
  <c r="E64" i="6"/>
  <c r="D64" i="6"/>
  <c r="C64" i="6"/>
  <c r="E63" i="6"/>
  <c r="D63" i="6"/>
  <c r="C63" i="6"/>
  <c r="E62" i="6"/>
  <c r="D62" i="6"/>
  <c r="C62" i="6"/>
  <c r="E61" i="6"/>
  <c r="D61" i="6"/>
  <c r="C61" i="6"/>
  <c r="E60" i="6"/>
  <c r="D60" i="6"/>
  <c r="C60" i="6"/>
  <c r="E59" i="6"/>
  <c r="D59" i="6"/>
  <c r="C59" i="6"/>
  <c r="E58" i="6"/>
  <c r="D58" i="6"/>
  <c r="C58" i="6"/>
  <c r="E57" i="6"/>
  <c r="D57" i="6"/>
  <c r="C57" i="6"/>
  <c r="E56" i="6"/>
  <c r="D56" i="6"/>
  <c r="C56" i="6"/>
  <c r="E55" i="6"/>
  <c r="D55" i="6"/>
  <c r="C55" i="6"/>
  <c r="E54" i="6"/>
  <c r="D54" i="6"/>
  <c r="C54" i="6"/>
  <c r="E53" i="6"/>
  <c r="D53" i="6"/>
  <c r="C53" i="6"/>
  <c r="E52" i="6"/>
  <c r="D52" i="6"/>
  <c r="C52" i="6"/>
  <c r="E51" i="6"/>
  <c r="D51" i="6"/>
  <c r="C51" i="6"/>
  <c r="E50" i="6"/>
  <c r="D50" i="6"/>
  <c r="C50" i="6"/>
  <c r="E49" i="6"/>
  <c r="D49" i="6"/>
  <c r="C49" i="6"/>
  <c r="E48" i="6"/>
  <c r="D48" i="6"/>
  <c r="C48" i="6"/>
  <c r="E47" i="6"/>
  <c r="D47" i="6"/>
  <c r="C47" i="6"/>
  <c r="E46" i="6"/>
  <c r="D46" i="6"/>
  <c r="C46" i="6"/>
  <c r="E45" i="6"/>
  <c r="D45" i="6"/>
  <c r="C45" i="6"/>
  <c r="E44" i="6"/>
  <c r="D44" i="6"/>
  <c r="C44" i="6"/>
  <c r="E43" i="6"/>
  <c r="D43" i="6"/>
  <c r="C43" i="6"/>
  <c r="E42" i="6"/>
  <c r="D42" i="6"/>
  <c r="C42" i="6"/>
  <c r="E41" i="6"/>
  <c r="D41" i="6"/>
  <c r="C41" i="6"/>
  <c r="E40" i="6"/>
  <c r="D40" i="6"/>
  <c r="C40" i="6"/>
  <c r="E39" i="6"/>
  <c r="D39" i="6"/>
  <c r="C39" i="6"/>
  <c r="E38" i="6"/>
  <c r="D38" i="6"/>
  <c r="C38" i="6"/>
  <c r="E37" i="6"/>
  <c r="D37" i="6"/>
  <c r="C37" i="6"/>
  <c r="E36" i="6"/>
  <c r="D36" i="6"/>
  <c r="C36" i="6"/>
  <c r="E35" i="6"/>
  <c r="D35" i="6"/>
  <c r="C35" i="6"/>
  <c r="E34" i="6"/>
  <c r="D34" i="6"/>
  <c r="C34" i="6"/>
  <c r="E33" i="6"/>
  <c r="D33" i="6"/>
  <c r="C33" i="6"/>
  <c r="E32" i="6"/>
  <c r="D32" i="6"/>
  <c r="C32" i="6"/>
  <c r="E31" i="6"/>
  <c r="D31" i="6"/>
  <c r="C31" i="6"/>
  <c r="E30" i="6"/>
  <c r="D30" i="6"/>
  <c r="C30" i="6"/>
  <c r="E29" i="6"/>
  <c r="D29" i="6"/>
  <c r="C29" i="6"/>
  <c r="E28" i="6"/>
  <c r="D28" i="6"/>
  <c r="C28" i="6"/>
  <c r="E27" i="6"/>
  <c r="D27" i="6"/>
  <c r="C27" i="6"/>
  <c r="E26" i="6"/>
  <c r="D26" i="6"/>
  <c r="C26" i="6"/>
  <c r="E25" i="6"/>
  <c r="D25" i="6"/>
  <c r="C25" i="6"/>
  <c r="E24" i="6"/>
  <c r="D24" i="6"/>
  <c r="C24" i="6"/>
  <c r="E23" i="6"/>
  <c r="D23" i="6"/>
  <c r="C23" i="6"/>
  <c r="E22" i="6"/>
  <c r="D22" i="6"/>
  <c r="C22" i="6"/>
  <c r="E21" i="6"/>
  <c r="D21" i="6"/>
  <c r="C21" i="6"/>
  <c r="E20" i="6"/>
  <c r="D20" i="6"/>
  <c r="C20" i="6"/>
  <c r="E19" i="6"/>
  <c r="D19" i="6"/>
  <c r="C19" i="6"/>
  <c r="E18" i="6"/>
  <c r="D18" i="6"/>
  <c r="C18" i="6"/>
  <c r="E17" i="6"/>
  <c r="D17" i="6"/>
  <c r="C17" i="6"/>
  <c r="E16" i="6"/>
  <c r="D16" i="6"/>
  <c r="C16" i="6"/>
  <c r="E15" i="6"/>
  <c r="D15" i="6"/>
  <c r="C15" i="6"/>
  <c r="E14" i="6"/>
  <c r="D14" i="6"/>
  <c r="C14" i="6"/>
  <c r="E13" i="6"/>
  <c r="D13" i="6"/>
  <c r="C13" i="6"/>
  <c r="E12" i="6"/>
  <c r="D12" i="6"/>
  <c r="C12" i="6"/>
  <c r="E11" i="6"/>
  <c r="D11" i="6"/>
  <c r="C11" i="6"/>
  <c r="E10" i="6"/>
  <c r="D10" i="6"/>
  <c r="C10" i="6"/>
  <c r="E9" i="6"/>
  <c r="D9" i="6"/>
  <c r="C9" i="6"/>
  <c r="E8" i="6"/>
  <c r="D8" i="6"/>
  <c r="C8" i="6"/>
  <c r="E7" i="6"/>
  <c r="D7" i="6"/>
  <c r="C7" i="6"/>
  <c r="E6" i="6"/>
  <c r="D6" i="6"/>
  <c r="C6" i="6"/>
  <c r="E5" i="6"/>
  <c r="D5" i="6"/>
  <c r="C5" i="6"/>
  <c r="E4" i="6"/>
  <c r="D4" i="6"/>
  <c r="C4" i="6"/>
  <c r="E3" i="6"/>
  <c r="D3" i="6"/>
  <c r="C3" i="6"/>
  <c r="E2" i="6"/>
  <c r="D2" i="6"/>
  <c r="C2" i="6"/>
  <c r="K7" i="5" l="1"/>
  <c r="K8" i="5" s="1"/>
  <c r="C8" i="5"/>
  <c r="C9" i="5"/>
  <c r="C10" i="5"/>
  <c r="C11" i="5"/>
  <c r="C12" i="5"/>
  <c r="C7" i="5"/>
  <c r="D8" i="5"/>
  <c r="D9" i="5"/>
  <c r="D10" i="5"/>
  <c r="D11" i="5"/>
  <c r="D12" i="5"/>
  <c r="D7" i="5"/>
  <c r="B8" i="5"/>
  <c r="E8" i="5"/>
  <c r="F8" i="5"/>
  <c r="L8" i="5"/>
  <c r="M8" i="5"/>
  <c r="O8" i="5"/>
  <c r="Q8" i="5"/>
  <c r="R8" i="5"/>
  <c r="S8" i="5"/>
  <c r="T8" i="5"/>
  <c r="U8" i="5"/>
  <c r="V8" i="5"/>
  <c r="B9" i="5"/>
  <c r="E9" i="5"/>
  <c r="F9" i="5"/>
  <c r="L9" i="5"/>
  <c r="M9" i="5"/>
  <c r="O9" i="5"/>
  <c r="Q9" i="5"/>
  <c r="R9" i="5"/>
  <c r="S9" i="5"/>
  <c r="T9" i="5"/>
  <c r="U9" i="5"/>
  <c r="V9" i="5"/>
  <c r="B10" i="5"/>
  <c r="E10" i="5"/>
  <c r="F10" i="5"/>
  <c r="L10" i="5"/>
  <c r="M10" i="5"/>
  <c r="O10" i="5"/>
  <c r="Q10" i="5"/>
  <c r="R10" i="5"/>
  <c r="S10" i="5"/>
  <c r="T10" i="5"/>
  <c r="U10" i="5"/>
  <c r="V10" i="5"/>
  <c r="B11" i="5"/>
  <c r="E11" i="5"/>
  <c r="F11" i="5"/>
  <c r="L11" i="5"/>
  <c r="M11" i="5"/>
  <c r="O11" i="5"/>
  <c r="Q11" i="5"/>
  <c r="R11" i="5"/>
  <c r="S11" i="5"/>
  <c r="T11" i="5"/>
  <c r="U11" i="5"/>
  <c r="V11" i="5"/>
  <c r="B12" i="5"/>
  <c r="E12" i="5"/>
  <c r="F12" i="5"/>
  <c r="L12" i="5"/>
  <c r="M12" i="5"/>
  <c r="O12" i="5"/>
  <c r="Q12" i="5"/>
  <c r="R12" i="5"/>
  <c r="S12" i="5"/>
  <c r="T12" i="5"/>
  <c r="U12" i="5"/>
  <c r="V12" i="5"/>
  <c r="V7" i="5"/>
  <c r="U7" i="5"/>
  <c r="R7" i="5"/>
  <c r="S7" i="5"/>
  <c r="T7" i="5"/>
  <c r="Q7" i="5"/>
  <c r="O7" i="1"/>
  <c r="O7" i="5"/>
  <c r="M7" i="5"/>
  <c r="L7" i="5"/>
  <c r="F7" i="5"/>
  <c r="E7" i="5"/>
  <c r="B7" i="5"/>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N12" i="5" l="1"/>
  <c r="K9" i="5"/>
  <c r="N9" i="5"/>
  <c r="P8" i="5"/>
  <c r="P9" i="5"/>
  <c r="P11" i="5"/>
  <c r="N7" i="5"/>
  <c r="N10" i="5"/>
  <c r="N11" i="5"/>
  <c r="N8" i="5"/>
  <c r="P7" i="5"/>
  <c r="P12" i="5"/>
  <c r="P10" i="5"/>
  <c r="K10" i="5" l="1"/>
  <c r="B8" i="1"/>
  <c r="C8" i="1"/>
  <c r="D8" i="1"/>
  <c r="E8" i="1"/>
  <c r="F8" i="1" s="1"/>
  <c r="J8" i="1"/>
  <c r="K8" i="1"/>
  <c r="M8" i="1"/>
  <c r="O8" i="1"/>
  <c r="P8" i="1"/>
  <c r="Q8" i="1"/>
  <c r="R8" i="1"/>
  <c r="B9" i="1"/>
  <c r="C9" i="1"/>
  <c r="D9" i="1"/>
  <c r="E9" i="1"/>
  <c r="F9" i="1" s="1"/>
  <c r="J9" i="1"/>
  <c r="K9" i="1"/>
  <c r="M9" i="1"/>
  <c r="O9" i="1"/>
  <c r="P9" i="1"/>
  <c r="Q9" i="1"/>
  <c r="R9" i="1"/>
  <c r="B10" i="1"/>
  <c r="C10" i="1"/>
  <c r="D10" i="1"/>
  <c r="E10" i="1"/>
  <c r="F10" i="1" s="1"/>
  <c r="J10" i="1"/>
  <c r="K10" i="1"/>
  <c r="M10" i="1"/>
  <c r="O10" i="1"/>
  <c r="P10" i="1"/>
  <c r="Q10" i="1"/>
  <c r="R10" i="1"/>
  <c r="B11" i="1"/>
  <c r="C11" i="1"/>
  <c r="D11" i="1"/>
  <c r="E11" i="1"/>
  <c r="F11" i="1" s="1"/>
  <c r="J11" i="1"/>
  <c r="K11" i="1"/>
  <c r="M11" i="1"/>
  <c r="O11" i="1"/>
  <c r="P11" i="1"/>
  <c r="Q11" i="1"/>
  <c r="R11" i="1"/>
  <c r="B12" i="1"/>
  <c r="C12" i="1"/>
  <c r="D12" i="1"/>
  <c r="E12" i="1"/>
  <c r="F12" i="1" s="1"/>
  <c r="J12" i="1"/>
  <c r="K12" i="1"/>
  <c r="M12" i="1"/>
  <c r="O12" i="1"/>
  <c r="P12" i="1"/>
  <c r="Q12" i="1"/>
  <c r="R12" i="1"/>
  <c r="B13" i="1"/>
  <c r="C13" i="1"/>
  <c r="D13" i="1"/>
  <c r="E13" i="1"/>
  <c r="F13" i="1" s="1"/>
  <c r="J13" i="1"/>
  <c r="K13" i="1"/>
  <c r="M13" i="1"/>
  <c r="O13" i="1"/>
  <c r="P13" i="1"/>
  <c r="Q13" i="1"/>
  <c r="R13" i="1"/>
  <c r="B14" i="1"/>
  <c r="C14" i="1"/>
  <c r="D14" i="1"/>
  <c r="E14" i="1"/>
  <c r="F14" i="1" s="1"/>
  <c r="J14" i="1"/>
  <c r="K14" i="1"/>
  <c r="M14" i="1"/>
  <c r="O14" i="1"/>
  <c r="P14" i="1"/>
  <c r="Q14" i="1"/>
  <c r="R14" i="1"/>
  <c r="B15" i="1"/>
  <c r="C15" i="1"/>
  <c r="D15" i="1"/>
  <c r="E15" i="1"/>
  <c r="F15" i="1" s="1"/>
  <c r="J15" i="1"/>
  <c r="K15" i="1"/>
  <c r="M15" i="1"/>
  <c r="O15" i="1"/>
  <c r="P15" i="1"/>
  <c r="Q15" i="1"/>
  <c r="R15" i="1"/>
  <c r="B16" i="1"/>
  <c r="C16" i="1"/>
  <c r="D16" i="1"/>
  <c r="E16" i="1"/>
  <c r="F16" i="1" s="1"/>
  <c r="J16" i="1"/>
  <c r="K16" i="1"/>
  <c r="M16" i="1"/>
  <c r="O16" i="1"/>
  <c r="P16" i="1"/>
  <c r="Q16" i="1"/>
  <c r="R16" i="1"/>
  <c r="B17" i="1"/>
  <c r="C17" i="1"/>
  <c r="D17" i="1"/>
  <c r="E17" i="1"/>
  <c r="F17" i="1" s="1"/>
  <c r="J17" i="1"/>
  <c r="K17" i="1"/>
  <c r="M17" i="1"/>
  <c r="O17" i="1"/>
  <c r="P17" i="1"/>
  <c r="Q17" i="1"/>
  <c r="R17" i="1"/>
  <c r="B18" i="1"/>
  <c r="C18" i="1"/>
  <c r="D18" i="1"/>
  <c r="E18" i="1"/>
  <c r="F18" i="1" s="1"/>
  <c r="J18" i="1"/>
  <c r="K18" i="1"/>
  <c r="M18" i="1"/>
  <c r="O18" i="1"/>
  <c r="P18" i="1"/>
  <c r="Q18" i="1"/>
  <c r="R18" i="1"/>
  <c r="B19" i="1"/>
  <c r="C19" i="1"/>
  <c r="D19" i="1"/>
  <c r="E19" i="1"/>
  <c r="F19" i="1" s="1"/>
  <c r="J19" i="1"/>
  <c r="K19" i="1"/>
  <c r="M19" i="1"/>
  <c r="O19" i="1"/>
  <c r="P19" i="1"/>
  <c r="Q19" i="1"/>
  <c r="R19" i="1"/>
  <c r="B20" i="1"/>
  <c r="C20" i="1"/>
  <c r="D20" i="1"/>
  <c r="E20" i="1"/>
  <c r="F20" i="1" s="1"/>
  <c r="J20" i="1"/>
  <c r="K20" i="1"/>
  <c r="M20" i="1"/>
  <c r="O20" i="1"/>
  <c r="P20" i="1"/>
  <c r="Q20" i="1"/>
  <c r="R20" i="1"/>
  <c r="B21" i="1"/>
  <c r="C21" i="1"/>
  <c r="D21" i="1"/>
  <c r="E21" i="1"/>
  <c r="F21" i="1" s="1"/>
  <c r="J21" i="1"/>
  <c r="K21" i="1"/>
  <c r="M21" i="1"/>
  <c r="O21" i="1"/>
  <c r="P21" i="1"/>
  <c r="Q21" i="1"/>
  <c r="R21" i="1"/>
  <c r="B22" i="1"/>
  <c r="C22" i="1"/>
  <c r="D22" i="1"/>
  <c r="E22" i="1"/>
  <c r="F22" i="1" s="1"/>
  <c r="J22" i="1"/>
  <c r="K22" i="1"/>
  <c r="M22" i="1"/>
  <c r="O22" i="1"/>
  <c r="P22" i="1"/>
  <c r="Q22" i="1"/>
  <c r="R22" i="1"/>
  <c r="B23" i="1"/>
  <c r="C23" i="1"/>
  <c r="D23" i="1"/>
  <c r="E23" i="1"/>
  <c r="F23" i="1" s="1"/>
  <c r="J23" i="1"/>
  <c r="K23" i="1"/>
  <c r="M23" i="1"/>
  <c r="O23" i="1"/>
  <c r="P23" i="1"/>
  <c r="Q23" i="1"/>
  <c r="R23" i="1"/>
  <c r="B24" i="1"/>
  <c r="C24" i="1"/>
  <c r="D24" i="1"/>
  <c r="E24" i="1"/>
  <c r="F24" i="1" s="1"/>
  <c r="J24" i="1"/>
  <c r="K24" i="1"/>
  <c r="M24" i="1"/>
  <c r="O24" i="1"/>
  <c r="P24" i="1"/>
  <c r="Q24" i="1"/>
  <c r="R24" i="1"/>
  <c r="B25" i="1"/>
  <c r="C25" i="1"/>
  <c r="D25" i="1"/>
  <c r="E25" i="1"/>
  <c r="F25" i="1" s="1"/>
  <c r="J25" i="1"/>
  <c r="K25" i="1"/>
  <c r="M25" i="1"/>
  <c r="O25" i="1"/>
  <c r="P25" i="1"/>
  <c r="Q25" i="1"/>
  <c r="R25" i="1"/>
  <c r="B26" i="1"/>
  <c r="C26" i="1"/>
  <c r="D26" i="1"/>
  <c r="E26" i="1"/>
  <c r="F26" i="1" s="1"/>
  <c r="J26" i="1"/>
  <c r="K26" i="1"/>
  <c r="M26" i="1"/>
  <c r="O26" i="1"/>
  <c r="P26" i="1"/>
  <c r="Q26" i="1"/>
  <c r="R26" i="1"/>
  <c r="B27" i="1"/>
  <c r="C27" i="1"/>
  <c r="D27" i="1"/>
  <c r="E27" i="1"/>
  <c r="F27" i="1" s="1"/>
  <c r="J27" i="1"/>
  <c r="K27" i="1"/>
  <c r="M27" i="1"/>
  <c r="O27" i="1"/>
  <c r="P27" i="1"/>
  <c r="Q27" i="1"/>
  <c r="R27" i="1"/>
  <c r="B28" i="1"/>
  <c r="C28" i="1"/>
  <c r="D28" i="1"/>
  <c r="E28" i="1"/>
  <c r="F28" i="1" s="1"/>
  <c r="J28" i="1"/>
  <c r="K28" i="1"/>
  <c r="M28" i="1"/>
  <c r="O28" i="1"/>
  <c r="P28" i="1"/>
  <c r="Q28" i="1"/>
  <c r="R28" i="1"/>
  <c r="B29" i="1"/>
  <c r="C29" i="1"/>
  <c r="D29" i="1"/>
  <c r="E29" i="1"/>
  <c r="F29" i="1" s="1"/>
  <c r="J29" i="1"/>
  <c r="K29" i="1"/>
  <c r="M29" i="1"/>
  <c r="O29" i="1"/>
  <c r="P29" i="1"/>
  <c r="Q29" i="1"/>
  <c r="R29" i="1"/>
  <c r="B30" i="1"/>
  <c r="C30" i="1"/>
  <c r="D30" i="1"/>
  <c r="E30" i="1"/>
  <c r="F30" i="1" s="1"/>
  <c r="J30" i="1"/>
  <c r="K30" i="1"/>
  <c r="M30" i="1"/>
  <c r="O30" i="1"/>
  <c r="P30" i="1"/>
  <c r="Q30" i="1"/>
  <c r="R30" i="1"/>
  <c r="B31" i="1"/>
  <c r="C31" i="1"/>
  <c r="D31" i="1"/>
  <c r="E31" i="1"/>
  <c r="F31" i="1" s="1"/>
  <c r="J31" i="1"/>
  <c r="K31" i="1"/>
  <c r="M31" i="1"/>
  <c r="O31" i="1"/>
  <c r="P31" i="1"/>
  <c r="Q31" i="1"/>
  <c r="R31" i="1"/>
  <c r="B32" i="1"/>
  <c r="C32" i="1"/>
  <c r="D32" i="1"/>
  <c r="E32" i="1"/>
  <c r="F32" i="1" s="1"/>
  <c r="J32" i="1"/>
  <c r="K32" i="1"/>
  <c r="M32" i="1"/>
  <c r="O32" i="1"/>
  <c r="P32" i="1"/>
  <c r="Q32" i="1"/>
  <c r="R32" i="1"/>
  <c r="B33" i="1"/>
  <c r="C33" i="1"/>
  <c r="D33" i="1"/>
  <c r="E33" i="1"/>
  <c r="F33" i="1" s="1"/>
  <c r="J33" i="1"/>
  <c r="K33" i="1"/>
  <c r="M33" i="1"/>
  <c r="O33" i="1"/>
  <c r="P33" i="1"/>
  <c r="Q33" i="1"/>
  <c r="R33" i="1"/>
  <c r="B34" i="1"/>
  <c r="C34" i="1"/>
  <c r="D34" i="1"/>
  <c r="E34" i="1"/>
  <c r="F34" i="1" s="1"/>
  <c r="J34" i="1"/>
  <c r="K34" i="1"/>
  <c r="M34" i="1"/>
  <c r="O34" i="1"/>
  <c r="P34" i="1"/>
  <c r="Q34" i="1"/>
  <c r="R34" i="1"/>
  <c r="B35" i="1"/>
  <c r="C35" i="1"/>
  <c r="D35" i="1"/>
  <c r="E35" i="1"/>
  <c r="F35" i="1" s="1"/>
  <c r="J35" i="1"/>
  <c r="K35" i="1"/>
  <c r="M35" i="1"/>
  <c r="O35" i="1"/>
  <c r="P35" i="1"/>
  <c r="Q35" i="1"/>
  <c r="R35" i="1"/>
  <c r="B36" i="1"/>
  <c r="C36" i="1"/>
  <c r="D36" i="1"/>
  <c r="E36" i="1"/>
  <c r="F36" i="1" s="1"/>
  <c r="J36" i="1"/>
  <c r="K36" i="1"/>
  <c r="M36" i="1"/>
  <c r="O36" i="1"/>
  <c r="P36" i="1"/>
  <c r="Q36" i="1"/>
  <c r="R36" i="1"/>
  <c r="B37" i="1"/>
  <c r="C37" i="1"/>
  <c r="D37" i="1"/>
  <c r="E37" i="1"/>
  <c r="F37" i="1" s="1"/>
  <c r="J37" i="1"/>
  <c r="K37" i="1"/>
  <c r="M37" i="1"/>
  <c r="O37" i="1"/>
  <c r="P37" i="1"/>
  <c r="Q37" i="1"/>
  <c r="R37" i="1"/>
  <c r="B38" i="1"/>
  <c r="C38" i="1"/>
  <c r="D38" i="1"/>
  <c r="E38" i="1"/>
  <c r="F38" i="1" s="1"/>
  <c r="J38" i="1"/>
  <c r="K38" i="1"/>
  <c r="M38" i="1"/>
  <c r="O38" i="1"/>
  <c r="P38" i="1"/>
  <c r="Q38" i="1"/>
  <c r="R38" i="1"/>
  <c r="B39" i="1"/>
  <c r="C39" i="1"/>
  <c r="D39" i="1"/>
  <c r="E39" i="1"/>
  <c r="F39" i="1" s="1"/>
  <c r="J39" i="1"/>
  <c r="K39" i="1"/>
  <c r="M39" i="1"/>
  <c r="O39" i="1"/>
  <c r="P39" i="1"/>
  <c r="Q39" i="1"/>
  <c r="R39" i="1"/>
  <c r="B40" i="1"/>
  <c r="C40" i="1"/>
  <c r="D40" i="1"/>
  <c r="E40" i="1"/>
  <c r="F40" i="1" s="1"/>
  <c r="J40" i="1"/>
  <c r="K40" i="1"/>
  <c r="M40" i="1"/>
  <c r="O40" i="1"/>
  <c r="P40" i="1"/>
  <c r="Q40" i="1"/>
  <c r="R40" i="1"/>
  <c r="B41" i="1"/>
  <c r="C41" i="1"/>
  <c r="D41" i="1"/>
  <c r="E41" i="1"/>
  <c r="F41" i="1" s="1"/>
  <c r="J41" i="1"/>
  <c r="K41" i="1"/>
  <c r="M41" i="1"/>
  <c r="O41" i="1"/>
  <c r="P41" i="1"/>
  <c r="Q41" i="1"/>
  <c r="R41" i="1"/>
  <c r="B42" i="1"/>
  <c r="C42" i="1"/>
  <c r="D42" i="1"/>
  <c r="E42" i="1"/>
  <c r="F42" i="1" s="1"/>
  <c r="J42" i="1"/>
  <c r="K42" i="1"/>
  <c r="M42" i="1"/>
  <c r="O42" i="1"/>
  <c r="P42" i="1"/>
  <c r="Q42" i="1"/>
  <c r="R42" i="1"/>
  <c r="B43" i="1"/>
  <c r="C43" i="1"/>
  <c r="D43" i="1"/>
  <c r="E43" i="1"/>
  <c r="F43" i="1" s="1"/>
  <c r="J43" i="1"/>
  <c r="K43" i="1"/>
  <c r="M43" i="1"/>
  <c r="O43" i="1"/>
  <c r="P43" i="1"/>
  <c r="Q43" i="1"/>
  <c r="R43" i="1"/>
  <c r="B44" i="1"/>
  <c r="C44" i="1"/>
  <c r="D44" i="1"/>
  <c r="E44" i="1"/>
  <c r="F44" i="1" s="1"/>
  <c r="J44" i="1"/>
  <c r="K44" i="1"/>
  <c r="M44" i="1"/>
  <c r="O44" i="1"/>
  <c r="P44" i="1"/>
  <c r="Q44" i="1"/>
  <c r="R44" i="1"/>
  <c r="B45" i="1"/>
  <c r="C45" i="1"/>
  <c r="D45" i="1"/>
  <c r="E45" i="1"/>
  <c r="F45" i="1" s="1"/>
  <c r="J45" i="1"/>
  <c r="K45" i="1"/>
  <c r="M45" i="1"/>
  <c r="O45" i="1"/>
  <c r="P45" i="1"/>
  <c r="Q45" i="1"/>
  <c r="R45" i="1"/>
  <c r="B46" i="1"/>
  <c r="C46" i="1"/>
  <c r="D46" i="1"/>
  <c r="E46" i="1"/>
  <c r="F46" i="1" s="1"/>
  <c r="J46" i="1"/>
  <c r="K46" i="1"/>
  <c r="M46" i="1"/>
  <c r="O46" i="1"/>
  <c r="P46" i="1"/>
  <c r="Q46" i="1"/>
  <c r="R46" i="1"/>
  <c r="B47" i="1"/>
  <c r="C47" i="1"/>
  <c r="D47" i="1"/>
  <c r="E47" i="1"/>
  <c r="F47" i="1" s="1"/>
  <c r="J47" i="1"/>
  <c r="K47" i="1"/>
  <c r="M47" i="1"/>
  <c r="O47" i="1"/>
  <c r="P47" i="1"/>
  <c r="Q47" i="1"/>
  <c r="R47" i="1"/>
  <c r="B48" i="1"/>
  <c r="C48" i="1"/>
  <c r="D48" i="1"/>
  <c r="E48" i="1"/>
  <c r="F48" i="1" s="1"/>
  <c r="J48" i="1"/>
  <c r="K48" i="1"/>
  <c r="M48" i="1"/>
  <c r="O48" i="1"/>
  <c r="P48" i="1"/>
  <c r="Q48" i="1"/>
  <c r="R48" i="1"/>
  <c r="B49" i="1"/>
  <c r="C49" i="1"/>
  <c r="D49" i="1"/>
  <c r="E49" i="1"/>
  <c r="F49" i="1" s="1"/>
  <c r="J49" i="1"/>
  <c r="K49" i="1"/>
  <c r="M49" i="1"/>
  <c r="O49" i="1"/>
  <c r="P49" i="1"/>
  <c r="Q49" i="1"/>
  <c r="R49" i="1"/>
  <c r="B50" i="1"/>
  <c r="C50" i="1"/>
  <c r="D50" i="1"/>
  <c r="E50" i="1"/>
  <c r="F50" i="1" s="1"/>
  <c r="J50" i="1"/>
  <c r="K50" i="1"/>
  <c r="M50" i="1"/>
  <c r="O50" i="1"/>
  <c r="P50" i="1"/>
  <c r="Q50" i="1"/>
  <c r="R50" i="1"/>
  <c r="B51" i="1"/>
  <c r="C51" i="1"/>
  <c r="D51" i="1"/>
  <c r="E51" i="1"/>
  <c r="F51" i="1" s="1"/>
  <c r="J51" i="1"/>
  <c r="K51" i="1"/>
  <c r="M51" i="1"/>
  <c r="O51" i="1"/>
  <c r="P51" i="1"/>
  <c r="Q51" i="1"/>
  <c r="R51" i="1"/>
  <c r="B52" i="1"/>
  <c r="C52" i="1"/>
  <c r="D52" i="1"/>
  <c r="E52" i="1"/>
  <c r="F52" i="1" s="1"/>
  <c r="J52" i="1"/>
  <c r="K52" i="1"/>
  <c r="M52" i="1"/>
  <c r="O52" i="1"/>
  <c r="P52" i="1"/>
  <c r="Q52" i="1"/>
  <c r="R52" i="1"/>
  <c r="B53" i="1"/>
  <c r="C53" i="1"/>
  <c r="D53" i="1"/>
  <c r="E53" i="1"/>
  <c r="F53" i="1" s="1"/>
  <c r="J53" i="1"/>
  <c r="K53" i="1"/>
  <c r="M53" i="1"/>
  <c r="O53" i="1"/>
  <c r="P53" i="1"/>
  <c r="Q53" i="1"/>
  <c r="R53" i="1"/>
  <c r="B54" i="1"/>
  <c r="C54" i="1"/>
  <c r="D54" i="1"/>
  <c r="E54" i="1"/>
  <c r="F54" i="1" s="1"/>
  <c r="J54" i="1"/>
  <c r="K54" i="1"/>
  <c r="M54" i="1"/>
  <c r="O54" i="1"/>
  <c r="P54" i="1"/>
  <c r="Q54" i="1"/>
  <c r="R54" i="1"/>
  <c r="B55" i="1"/>
  <c r="C55" i="1"/>
  <c r="D55" i="1"/>
  <c r="E55" i="1"/>
  <c r="F55" i="1" s="1"/>
  <c r="J55" i="1"/>
  <c r="K55" i="1"/>
  <c r="M55" i="1"/>
  <c r="O55" i="1"/>
  <c r="P55" i="1"/>
  <c r="Q55" i="1"/>
  <c r="R55" i="1"/>
  <c r="B56" i="1"/>
  <c r="C56" i="1"/>
  <c r="D56" i="1"/>
  <c r="E56" i="1"/>
  <c r="F56" i="1" s="1"/>
  <c r="J56" i="1"/>
  <c r="K56" i="1"/>
  <c r="M56" i="1"/>
  <c r="O56" i="1"/>
  <c r="P56" i="1"/>
  <c r="Q56" i="1"/>
  <c r="R56" i="1"/>
  <c r="B57" i="1"/>
  <c r="C57" i="1"/>
  <c r="D57" i="1"/>
  <c r="E57" i="1"/>
  <c r="F57" i="1" s="1"/>
  <c r="J57" i="1"/>
  <c r="K57" i="1"/>
  <c r="M57" i="1"/>
  <c r="O57" i="1"/>
  <c r="P57" i="1"/>
  <c r="Q57" i="1"/>
  <c r="R57" i="1"/>
  <c r="B58" i="1"/>
  <c r="C58" i="1"/>
  <c r="D58" i="1"/>
  <c r="E58" i="1"/>
  <c r="F58" i="1" s="1"/>
  <c r="J58" i="1"/>
  <c r="K58" i="1"/>
  <c r="M58" i="1"/>
  <c r="O58" i="1"/>
  <c r="P58" i="1"/>
  <c r="Q58" i="1"/>
  <c r="R58" i="1"/>
  <c r="B59" i="1"/>
  <c r="C59" i="1"/>
  <c r="D59" i="1"/>
  <c r="E59" i="1"/>
  <c r="F59" i="1" s="1"/>
  <c r="J59" i="1"/>
  <c r="K59" i="1"/>
  <c r="M59" i="1"/>
  <c r="O59" i="1"/>
  <c r="P59" i="1"/>
  <c r="Q59" i="1"/>
  <c r="R59" i="1"/>
  <c r="B60" i="1"/>
  <c r="C60" i="1"/>
  <c r="D60" i="1"/>
  <c r="E60" i="1"/>
  <c r="F60" i="1" s="1"/>
  <c r="J60" i="1"/>
  <c r="K60" i="1"/>
  <c r="M60" i="1"/>
  <c r="O60" i="1"/>
  <c r="P60" i="1"/>
  <c r="Q60" i="1"/>
  <c r="R60" i="1"/>
  <c r="B61" i="1"/>
  <c r="C61" i="1"/>
  <c r="D61" i="1"/>
  <c r="E61" i="1"/>
  <c r="F61" i="1" s="1"/>
  <c r="J61" i="1"/>
  <c r="K61" i="1"/>
  <c r="M61" i="1"/>
  <c r="O61" i="1"/>
  <c r="P61" i="1"/>
  <c r="Q61" i="1"/>
  <c r="R61" i="1"/>
  <c r="B62" i="1"/>
  <c r="C62" i="1"/>
  <c r="D62" i="1"/>
  <c r="E62" i="1"/>
  <c r="F62" i="1" s="1"/>
  <c r="J62" i="1"/>
  <c r="K62" i="1"/>
  <c r="M62" i="1"/>
  <c r="O62" i="1"/>
  <c r="P62" i="1"/>
  <c r="Q62" i="1"/>
  <c r="R62" i="1"/>
  <c r="B63" i="1"/>
  <c r="C63" i="1"/>
  <c r="D63" i="1"/>
  <c r="E63" i="1"/>
  <c r="F63" i="1" s="1"/>
  <c r="J63" i="1"/>
  <c r="K63" i="1"/>
  <c r="M63" i="1"/>
  <c r="O63" i="1"/>
  <c r="P63" i="1"/>
  <c r="Q63" i="1"/>
  <c r="R63" i="1"/>
  <c r="B64" i="1"/>
  <c r="C64" i="1"/>
  <c r="D64" i="1"/>
  <c r="E64" i="1"/>
  <c r="F64" i="1" s="1"/>
  <c r="J64" i="1"/>
  <c r="K64" i="1"/>
  <c r="M64" i="1"/>
  <c r="O64" i="1"/>
  <c r="P64" i="1"/>
  <c r="Q64" i="1"/>
  <c r="R64" i="1"/>
  <c r="B65" i="1"/>
  <c r="C65" i="1"/>
  <c r="D65" i="1"/>
  <c r="E65" i="1"/>
  <c r="F65" i="1" s="1"/>
  <c r="J65" i="1"/>
  <c r="K65" i="1"/>
  <c r="M65" i="1"/>
  <c r="O65" i="1"/>
  <c r="P65" i="1"/>
  <c r="Q65" i="1"/>
  <c r="R65" i="1"/>
  <c r="B66" i="1"/>
  <c r="C66" i="1"/>
  <c r="D66" i="1"/>
  <c r="E66" i="1"/>
  <c r="F66" i="1" s="1"/>
  <c r="J66" i="1"/>
  <c r="K66" i="1"/>
  <c r="M66" i="1"/>
  <c r="O66" i="1"/>
  <c r="P66" i="1"/>
  <c r="Q66" i="1"/>
  <c r="R66" i="1"/>
  <c r="B67" i="1"/>
  <c r="C67" i="1"/>
  <c r="D67" i="1"/>
  <c r="E67" i="1"/>
  <c r="F67" i="1" s="1"/>
  <c r="J67" i="1"/>
  <c r="K67" i="1"/>
  <c r="M67" i="1"/>
  <c r="O67" i="1"/>
  <c r="P67" i="1"/>
  <c r="Q67" i="1"/>
  <c r="R67" i="1"/>
  <c r="B68" i="1"/>
  <c r="C68" i="1"/>
  <c r="D68" i="1"/>
  <c r="E68" i="1"/>
  <c r="F68" i="1" s="1"/>
  <c r="J68" i="1"/>
  <c r="K68" i="1"/>
  <c r="M68" i="1"/>
  <c r="O68" i="1"/>
  <c r="P68" i="1"/>
  <c r="Q68" i="1"/>
  <c r="R68" i="1"/>
  <c r="B69" i="1"/>
  <c r="C69" i="1"/>
  <c r="D69" i="1"/>
  <c r="E69" i="1"/>
  <c r="F69" i="1" s="1"/>
  <c r="J69" i="1"/>
  <c r="K69" i="1"/>
  <c r="M69" i="1"/>
  <c r="O69" i="1"/>
  <c r="P69" i="1"/>
  <c r="Q69" i="1"/>
  <c r="R69" i="1"/>
  <c r="B70" i="1"/>
  <c r="C70" i="1"/>
  <c r="D70" i="1"/>
  <c r="E70" i="1"/>
  <c r="F70" i="1" s="1"/>
  <c r="J70" i="1"/>
  <c r="K70" i="1"/>
  <c r="M70" i="1"/>
  <c r="O70" i="1"/>
  <c r="P70" i="1"/>
  <c r="Q70" i="1"/>
  <c r="R70" i="1"/>
  <c r="B71" i="1"/>
  <c r="C71" i="1"/>
  <c r="D71" i="1"/>
  <c r="E71" i="1"/>
  <c r="F71" i="1" s="1"/>
  <c r="J71" i="1"/>
  <c r="K71" i="1"/>
  <c r="M71" i="1"/>
  <c r="O71" i="1"/>
  <c r="P71" i="1"/>
  <c r="Q71" i="1"/>
  <c r="R71" i="1"/>
  <c r="B72" i="1"/>
  <c r="C72" i="1"/>
  <c r="D72" i="1"/>
  <c r="E72" i="1"/>
  <c r="F72" i="1" s="1"/>
  <c r="J72" i="1"/>
  <c r="K72" i="1"/>
  <c r="M72" i="1"/>
  <c r="O72" i="1"/>
  <c r="P72" i="1"/>
  <c r="Q72" i="1"/>
  <c r="R72" i="1"/>
  <c r="B73" i="1"/>
  <c r="C73" i="1"/>
  <c r="D73" i="1"/>
  <c r="E73" i="1"/>
  <c r="F73" i="1" s="1"/>
  <c r="J73" i="1"/>
  <c r="K73" i="1"/>
  <c r="M73" i="1"/>
  <c r="O73" i="1"/>
  <c r="P73" i="1"/>
  <c r="Q73" i="1"/>
  <c r="R73" i="1"/>
  <c r="B74" i="1"/>
  <c r="C74" i="1"/>
  <c r="D74" i="1"/>
  <c r="E74" i="1"/>
  <c r="F74" i="1" s="1"/>
  <c r="J74" i="1"/>
  <c r="K74" i="1"/>
  <c r="M74" i="1"/>
  <c r="O74" i="1"/>
  <c r="P74" i="1"/>
  <c r="Q74" i="1"/>
  <c r="R74" i="1"/>
  <c r="B75" i="1"/>
  <c r="C75" i="1"/>
  <c r="D75" i="1"/>
  <c r="E75" i="1"/>
  <c r="F75" i="1" s="1"/>
  <c r="J75" i="1"/>
  <c r="K75" i="1"/>
  <c r="M75" i="1"/>
  <c r="O75" i="1"/>
  <c r="P75" i="1"/>
  <c r="Q75" i="1"/>
  <c r="R75" i="1"/>
  <c r="B76" i="1"/>
  <c r="C76" i="1"/>
  <c r="D76" i="1"/>
  <c r="E76" i="1"/>
  <c r="F76" i="1" s="1"/>
  <c r="J76" i="1"/>
  <c r="K76" i="1"/>
  <c r="M76" i="1"/>
  <c r="O76" i="1"/>
  <c r="P76" i="1"/>
  <c r="Q76" i="1"/>
  <c r="R76" i="1"/>
  <c r="B77" i="1"/>
  <c r="C77" i="1"/>
  <c r="D77" i="1"/>
  <c r="E77" i="1"/>
  <c r="F77" i="1" s="1"/>
  <c r="J77" i="1"/>
  <c r="K77" i="1"/>
  <c r="M77" i="1"/>
  <c r="O77" i="1"/>
  <c r="P77" i="1"/>
  <c r="Q77" i="1"/>
  <c r="R77" i="1"/>
  <c r="B78" i="1"/>
  <c r="C78" i="1"/>
  <c r="D78" i="1"/>
  <c r="E78" i="1"/>
  <c r="F78" i="1" s="1"/>
  <c r="J78" i="1"/>
  <c r="K78" i="1"/>
  <c r="M78" i="1"/>
  <c r="O78" i="1"/>
  <c r="P78" i="1"/>
  <c r="Q78" i="1"/>
  <c r="R78" i="1"/>
  <c r="B79" i="1"/>
  <c r="C79" i="1"/>
  <c r="B80" i="1"/>
  <c r="C80" i="1"/>
  <c r="B81" i="1"/>
  <c r="C81" i="1"/>
  <c r="B82" i="1"/>
  <c r="C82" i="1"/>
  <c r="B83" i="1"/>
  <c r="C83" i="1"/>
  <c r="B84" i="1"/>
  <c r="C84" i="1"/>
  <c r="B85" i="1"/>
  <c r="C85" i="1"/>
  <c r="B86" i="1"/>
  <c r="C86" i="1"/>
  <c r="M7" i="1"/>
  <c r="K7" i="1"/>
  <c r="P7" i="1"/>
  <c r="Q7" i="1"/>
  <c r="R7" i="1"/>
  <c r="J7" i="1"/>
  <c r="E7" i="1"/>
  <c r="F7" i="1" s="1"/>
  <c r="G7" i="1" s="1"/>
  <c r="D7" i="1"/>
  <c r="C7" i="1"/>
  <c r="B7" i="1"/>
  <c r="D97" i="1" l="1"/>
  <c r="D98" i="1"/>
  <c r="D92" i="1"/>
  <c r="D96" i="1"/>
  <c r="D95" i="1"/>
  <c r="D93" i="1"/>
  <c r="D91" i="1"/>
  <c r="G10" i="5"/>
  <c r="H10" i="5" s="1"/>
  <c r="G8" i="5"/>
  <c r="H8" i="5" s="1"/>
  <c r="G9" i="5"/>
  <c r="H9" i="5" s="1"/>
  <c r="G11" i="5"/>
  <c r="H11" i="5" s="1"/>
  <c r="G7" i="5"/>
  <c r="H7" i="5" s="1"/>
  <c r="I7" i="5" s="1"/>
  <c r="G12" i="5"/>
  <c r="H12" i="5" s="1"/>
  <c r="G8" i="1"/>
  <c r="D99" i="1"/>
  <c r="K11" i="5"/>
  <c r="L78" i="1"/>
  <c r="L72" i="1"/>
  <c r="L70" i="1"/>
  <c r="L66" i="1"/>
  <c r="L64" i="1"/>
  <c r="L54" i="1"/>
  <c r="L52" i="1"/>
  <c r="L46" i="1"/>
  <c r="L30" i="1"/>
  <c r="L28" i="1"/>
  <c r="L26" i="1"/>
  <c r="L20" i="1"/>
  <c r="L14" i="1"/>
  <c r="L8" i="1"/>
  <c r="L55" i="1"/>
  <c r="N27" i="1"/>
  <c r="L71" i="1"/>
  <c r="N51" i="1"/>
  <c r="N12" i="1"/>
  <c r="L43" i="1"/>
  <c r="L35" i="1"/>
  <c r="L23" i="1"/>
  <c r="L19" i="1"/>
  <c r="N62" i="1"/>
  <c r="N60" i="1"/>
  <c r="N54" i="1"/>
  <c r="N44" i="1"/>
  <c r="N7" i="1"/>
  <c r="N30" i="1"/>
  <c r="N28" i="1"/>
  <c r="N22" i="1"/>
  <c r="N20" i="1"/>
  <c r="N18" i="1"/>
  <c r="L63" i="1"/>
  <c r="L51" i="1"/>
  <c r="L31" i="1"/>
  <c r="N76" i="1"/>
  <c r="N52" i="1"/>
  <c r="L47" i="1"/>
  <c r="N74" i="1"/>
  <c r="N68" i="1"/>
  <c r="L62" i="1"/>
  <c r="L60" i="1"/>
  <c r="L58" i="1"/>
  <c r="L39" i="1"/>
  <c r="L27" i="1"/>
  <c r="N10" i="1"/>
  <c r="L40" i="1"/>
  <c r="L38" i="1"/>
  <c r="L34" i="1"/>
  <c r="L32" i="1"/>
  <c r="N19" i="1"/>
  <c r="L15" i="1"/>
  <c r="L11" i="1"/>
  <c r="L9" i="1"/>
  <c r="N42" i="1"/>
  <c r="N36" i="1"/>
  <c r="L22" i="1"/>
  <c r="L57" i="1"/>
  <c r="N66" i="1"/>
  <c r="N34" i="1"/>
  <c r="N78" i="1"/>
  <c r="N43" i="1"/>
  <c r="N58" i="1"/>
  <c r="N26" i="1"/>
  <c r="L76" i="1"/>
  <c r="L73" i="1"/>
  <c r="N70" i="1"/>
  <c r="L56" i="1"/>
  <c r="L50" i="1"/>
  <c r="L44" i="1"/>
  <c r="L41" i="1"/>
  <c r="N38" i="1"/>
  <c r="N35" i="1"/>
  <c r="L24" i="1"/>
  <c r="L18" i="1"/>
  <c r="L12" i="1"/>
  <c r="N9" i="1"/>
  <c r="L25" i="1"/>
  <c r="L49" i="1"/>
  <c r="N46" i="1"/>
  <c r="L17" i="1"/>
  <c r="N14" i="1"/>
  <c r="N11" i="1"/>
  <c r="N50" i="1"/>
  <c r="L74" i="1"/>
  <c r="L68" i="1"/>
  <c r="L65" i="1"/>
  <c r="L48" i="1"/>
  <c r="L42" i="1"/>
  <c r="L36" i="1"/>
  <c r="L33" i="1"/>
  <c r="L16" i="1"/>
  <c r="L10" i="1"/>
  <c r="L75" i="1"/>
  <c r="N73" i="1"/>
  <c r="N71" i="1"/>
  <c r="N65" i="1"/>
  <c r="N63" i="1"/>
  <c r="N57" i="1"/>
  <c r="N55" i="1"/>
  <c r="N49" i="1"/>
  <c r="N47" i="1"/>
  <c r="N41" i="1"/>
  <c r="N39" i="1"/>
  <c r="N33" i="1"/>
  <c r="N31" i="1"/>
  <c r="N25" i="1"/>
  <c r="N23" i="1"/>
  <c r="N17" i="1"/>
  <c r="N15" i="1"/>
  <c r="L7" i="1"/>
  <c r="L77" i="1"/>
  <c r="N72" i="1"/>
  <c r="L69" i="1"/>
  <c r="N64" i="1"/>
  <c r="L61" i="1"/>
  <c r="N56" i="1"/>
  <c r="L53" i="1"/>
  <c r="N48" i="1"/>
  <c r="L45" i="1"/>
  <c r="N40" i="1"/>
  <c r="L37" i="1"/>
  <c r="N32" i="1"/>
  <c r="L29" i="1"/>
  <c r="N24" i="1"/>
  <c r="L21" i="1"/>
  <c r="N16" i="1"/>
  <c r="L13" i="1"/>
  <c r="N8" i="1"/>
  <c r="L67" i="1"/>
  <c r="L59" i="1"/>
  <c r="N75" i="1"/>
  <c r="N67" i="1"/>
  <c r="N59" i="1"/>
  <c r="N77" i="1"/>
  <c r="N69" i="1"/>
  <c r="N61" i="1"/>
  <c r="N53" i="1"/>
  <c r="N45" i="1"/>
  <c r="N37" i="1"/>
  <c r="N29" i="1"/>
  <c r="N21" i="1"/>
  <c r="N13" i="1"/>
  <c r="I8" i="5" l="1"/>
  <c r="I9" i="5" s="1"/>
  <c r="I10" i="5" s="1"/>
  <c r="I11" i="5" s="1"/>
  <c r="I12" i="5" s="1"/>
  <c r="G9" i="1"/>
  <c r="G10" i="1" s="1"/>
  <c r="I7" i="1"/>
  <c r="K12" i="5"/>
  <c r="G11" i="1" l="1"/>
  <c r="I8" i="1"/>
  <c r="G12" i="1" l="1"/>
  <c r="I9" i="1"/>
  <c r="G13" i="1" l="1"/>
  <c r="I10" i="1"/>
  <c r="G14" i="1" l="1"/>
  <c r="I11" i="1"/>
  <c r="G15" i="1" l="1"/>
  <c r="I12" i="1"/>
  <c r="G16" i="1" l="1"/>
  <c r="I13" i="1"/>
  <c r="G17" i="1" l="1"/>
  <c r="I14" i="1"/>
  <c r="G18" i="1" l="1"/>
  <c r="I15" i="1"/>
  <c r="G19" i="1" l="1"/>
  <c r="I16" i="1"/>
  <c r="G20" i="1" l="1"/>
  <c r="I17" i="1"/>
  <c r="G21" i="1" l="1"/>
  <c r="I18" i="1"/>
  <c r="G22" i="1" l="1"/>
  <c r="I19" i="1"/>
  <c r="G23" i="1" l="1"/>
  <c r="I20" i="1"/>
  <c r="G24" i="1" l="1"/>
  <c r="I21" i="1"/>
  <c r="G25" i="1" l="1"/>
  <c r="I22" i="1"/>
  <c r="G26" i="1" l="1"/>
  <c r="I23" i="1"/>
  <c r="G27" i="1" l="1"/>
  <c r="I24" i="1"/>
  <c r="G28" i="1" l="1"/>
  <c r="I25" i="1"/>
  <c r="G29" i="1" l="1"/>
  <c r="I26" i="1"/>
  <c r="G30" i="1" l="1"/>
  <c r="I27" i="1"/>
  <c r="G31" i="1" l="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I28" i="1"/>
  <c r="I29" i="1" l="1"/>
  <c r="I30" i="1" l="1"/>
  <c r="I31" i="1" l="1"/>
  <c r="I32" i="1" l="1"/>
  <c r="I33" i="1" l="1"/>
  <c r="I34" i="1" l="1"/>
  <c r="I35" i="1" l="1"/>
  <c r="I36" i="1" l="1"/>
  <c r="I37" i="1" l="1"/>
  <c r="I38" i="1" l="1"/>
  <c r="I39" i="1" l="1"/>
  <c r="I40" i="1" l="1"/>
  <c r="I41" i="1" l="1"/>
  <c r="I42" i="1" l="1"/>
  <c r="I43" i="1" l="1"/>
  <c r="I44" i="1" l="1"/>
  <c r="I45" i="1" l="1"/>
  <c r="I46" i="1" l="1"/>
  <c r="I47" i="1" l="1"/>
  <c r="I48" i="1" l="1"/>
  <c r="I49" i="1" l="1"/>
  <c r="I50" i="1" l="1"/>
  <c r="I51" i="1" l="1"/>
  <c r="I52" i="1" l="1"/>
  <c r="I53" i="1" l="1"/>
  <c r="I54" i="1" l="1"/>
  <c r="I55" i="1" l="1"/>
  <c r="I56" i="1" l="1"/>
  <c r="I57" i="1" l="1"/>
  <c r="I58" i="1" l="1"/>
  <c r="I59" i="1" l="1"/>
  <c r="I60" i="1" l="1"/>
  <c r="I61" i="1" l="1"/>
  <c r="I62" i="1" l="1"/>
  <c r="I63" i="1" l="1"/>
  <c r="I64" i="1" l="1"/>
  <c r="I65" i="1" l="1"/>
  <c r="I66" i="1" l="1"/>
  <c r="I67" i="1" l="1"/>
  <c r="I68" i="1" l="1"/>
  <c r="I69" i="1" l="1"/>
  <c r="I70" i="1" l="1"/>
  <c r="I71" i="1" l="1"/>
  <c r="I72" i="1" l="1"/>
  <c r="I73" i="1" l="1"/>
  <c r="I74" i="1" l="1"/>
  <c r="I75" i="1" l="1"/>
  <c r="I76" i="1" l="1"/>
  <c r="I77" i="1" l="1"/>
  <c r="I78"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Acquisition_Scoring_DB_2018 Cycle" type="5" refreshedVersion="6" deleted="1" background="1" saveData="1">
    <dbPr connection="" command="" commandType="3"/>
  </connection>
  <connection id="2" xr16:uid="{00000000-0015-0000-FFFF-FFFF01000000}" keepAlive="1" name="Acquisition_Scoring_DB_2018 Cycle1" type="5" refreshedVersion="6" deleted="1" background="1" saveData="1">
    <dbPr connection="" command="" commandType="3"/>
  </connection>
</connections>
</file>

<file path=xl/sharedStrings.xml><?xml version="1.0" encoding="utf-8"?>
<sst xmlns="http://schemas.openxmlformats.org/spreadsheetml/2006/main" count="1461" uniqueCount="697">
  <si>
    <t>Project Name</t>
  </si>
  <si>
    <t>Total Points</t>
  </si>
  <si>
    <t>% Match</t>
  </si>
  <si>
    <t>Total Project Acres</t>
  </si>
  <si>
    <t>Total Project Cost/acre</t>
  </si>
  <si>
    <t>Resource Protected 
(on tract)</t>
  </si>
  <si>
    <t>Military</t>
  </si>
  <si>
    <t>County</t>
  </si>
  <si>
    <t xml:space="preserve">Field Rep </t>
  </si>
  <si>
    <t>Riparian Buffer</t>
  </si>
  <si>
    <t>Greenways</t>
  </si>
  <si>
    <t>Natural Heritage</t>
  </si>
  <si>
    <t>Historic and Cultural</t>
  </si>
  <si>
    <t>Washington</t>
  </si>
  <si>
    <t>Onslow</t>
  </si>
  <si>
    <t>App ID</t>
  </si>
  <si>
    <t>Requested Amount</t>
  </si>
  <si>
    <t>Committee Recommended Funding</t>
  </si>
  <si>
    <t>Total Project Cost</t>
  </si>
  <si>
    <t>Matching Amount</t>
  </si>
  <si>
    <t>Application</t>
  </si>
  <si>
    <t>Min</t>
  </si>
  <si>
    <t>Max</t>
  </si>
  <si>
    <t>Avg</t>
  </si>
  <si>
    <t>90th %</t>
  </si>
  <si>
    <t>75th %</t>
  </si>
  <si>
    <t>Median or 50th %</t>
  </si>
  <si>
    <t>25th %</t>
  </si>
  <si>
    <t>Active N=</t>
  </si>
  <si>
    <t>Running Total Recommended Funding</t>
  </si>
  <si>
    <t>Acquisition Score Statistics</t>
  </si>
  <si>
    <t>Statistic</t>
  </si>
  <si>
    <t>Line
No.</t>
  </si>
  <si>
    <t>Enter Cap:</t>
  </si>
  <si>
    <t>Application ID</t>
  </si>
  <si>
    <t>TotalPoints</t>
  </si>
  <si>
    <t>NGReq</t>
  </si>
  <si>
    <t>NGMatch</t>
  </si>
  <si>
    <t>NGTotal</t>
  </si>
  <si>
    <t>Riparian Buffers</t>
  </si>
  <si>
    <t>HistoricCultural</t>
  </si>
  <si>
    <t>Tier</t>
  </si>
  <si>
    <t>HometownStrong</t>
  </si>
  <si>
    <t>ResPoints</t>
  </si>
  <si>
    <t>TotalMatchResPts</t>
  </si>
  <si>
    <t>FundingStatusPts</t>
  </si>
  <si>
    <t>RecUsePts</t>
  </si>
  <si>
    <t>2018-072</t>
  </si>
  <si>
    <t>1,246</t>
  </si>
  <si>
    <t>No</t>
  </si>
  <si>
    <t>2018-045</t>
  </si>
  <si>
    <t>Carteret</t>
  </si>
  <si>
    <t>5494</t>
  </si>
  <si>
    <t>2018-061</t>
  </si>
  <si>
    <t>Chatham</t>
  </si>
  <si>
    <t>877</t>
  </si>
  <si>
    <t>2018-010</t>
  </si>
  <si>
    <t>Henderson</t>
  </si>
  <si>
    <t>736</t>
  </si>
  <si>
    <t>2018-023</t>
  </si>
  <si>
    <t>McDowell</t>
  </si>
  <si>
    <t>2,000</t>
  </si>
  <si>
    <t>2018-039</t>
  </si>
  <si>
    <t>Graham</t>
  </si>
  <si>
    <t>504</t>
  </si>
  <si>
    <t>2018-075</t>
  </si>
  <si>
    <t>Granville</t>
  </si>
  <si>
    <t>65</t>
  </si>
  <si>
    <t>2018-016</t>
  </si>
  <si>
    <t>Watauga</t>
  </si>
  <si>
    <t>41</t>
  </si>
  <si>
    <t>2018-069</t>
  </si>
  <si>
    <t>Hoke</t>
  </si>
  <si>
    <t>249</t>
  </si>
  <si>
    <t>2018-003</t>
  </si>
  <si>
    <t>3</t>
  </si>
  <si>
    <t>2018-038</t>
  </si>
  <si>
    <t>Jackson</t>
  </si>
  <si>
    <t>470</t>
  </si>
  <si>
    <t>2018-060</t>
  </si>
  <si>
    <t>442</t>
  </si>
  <si>
    <t>2018-030</t>
  </si>
  <si>
    <t>Montgomery</t>
  </si>
  <si>
    <t>240</t>
  </si>
  <si>
    <t>2018-020</t>
  </si>
  <si>
    <t>Camden</t>
  </si>
  <si>
    <t>6,310</t>
  </si>
  <si>
    <t>2018-014</t>
  </si>
  <si>
    <t>28</t>
  </si>
  <si>
    <t>2018-002</t>
  </si>
  <si>
    <t>Ashe</t>
  </si>
  <si>
    <t>70</t>
  </si>
  <si>
    <t>2018-034</t>
  </si>
  <si>
    <t>Davidson</t>
  </si>
  <si>
    <t>180</t>
  </si>
  <si>
    <t>2018-042</t>
  </si>
  <si>
    <t>Orange</t>
  </si>
  <si>
    <t>13</t>
  </si>
  <si>
    <t>2018-037</t>
  </si>
  <si>
    <t>Macon</t>
  </si>
  <si>
    <t>14</t>
  </si>
  <si>
    <t>2018-025</t>
  </si>
  <si>
    <t>Burke</t>
  </si>
  <si>
    <t>36</t>
  </si>
  <si>
    <t>Yes</t>
  </si>
  <si>
    <t>2018-059</t>
  </si>
  <si>
    <t>Moore</t>
  </si>
  <si>
    <t>201</t>
  </si>
  <si>
    <t>2018-044</t>
  </si>
  <si>
    <t>Craven</t>
  </si>
  <si>
    <t>715</t>
  </si>
  <si>
    <t>2018-048</t>
  </si>
  <si>
    <t>377</t>
  </si>
  <si>
    <t>2018-027</t>
  </si>
  <si>
    <t>Jonesville - Sloop-Nabors Tr, Yadkin R GW</t>
  </si>
  <si>
    <t>Yadkin</t>
  </si>
  <si>
    <t>156</t>
  </si>
  <si>
    <t>2018-008</t>
  </si>
  <si>
    <t>Transylvania</t>
  </si>
  <si>
    <t>182</t>
  </si>
  <si>
    <t>2018-015</t>
  </si>
  <si>
    <t>Lincoln</t>
  </si>
  <si>
    <t>73</t>
  </si>
  <si>
    <t>2018-055</t>
  </si>
  <si>
    <t>Mitchell</t>
  </si>
  <si>
    <t>141</t>
  </si>
  <si>
    <t>2018-033</t>
  </si>
  <si>
    <t>Stanly</t>
  </si>
  <si>
    <t>2018-067</t>
  </si>
  <si>
    <t>Bladen</t>
  </si>
  <si>
    <t>35</t>
  </si>
  <si>
    <t>2018-018</t>
  </si>
  <si>
    <t>Harnett</t>
  </si>
  <si>
    <t>49</t>
  </si>
  <si>
    <t>2018-047</t>
  </si>
  <si>
    <t>Alamance</t>
  </si>
  <si>
    <t>45</t>
  </si>
  <si>
    <t>2018-066</t>
  </si>
  <si>
    <t>Wake</t>
  </si>
  <si>
    <t>54</t>
  </si>
  <si>
    <t>2018-053</t>
  </si>
  <si>
    <t>Orange Co - Sevenmile Cr Preserve</t>
  </si>
  <si>
    <t>195</t>
  </si>
  <si>
    <t>2018-052</t>
  </si>
  <si>
    <t>Halifax</t>
  </si>
  <si>
    <t>1,344</t>
  </si>
  <si>
    <t>2018-051</t>
  </si>
  <si>
    <t>171</t>
  </si>
  <si>
    <t>2018-076</t>
  </si>
  <si>
    <t>30</t>
  </si>
  <si>
    <t>2018-040</t>
  </si>
  <si>
    <t>Haywood</t>
  </si>
  <si>
    <t>471</t>
  </si>
  <si>
    <t>2018-049</t>
  </si>
  <si>
    <t>275</t>
  </si>
  <si>
    <t>2018-041</t>
  </si>
  <si>
    <t>1015</t>
  </si>
  <si>
    <t>2018-074</t>
  </si>
  <si>
    <t>Franklin</t>
  </si>
  <si>
    <t>254</t>
  </si>
  <si>
    <t>2018-071</t>
  </si>
  <si>
    <t>50</t>
  </si>
  <si>
    <t>2018-070</t>
  </si>
  <si>
    <t>Sampson</t>
  </si>
  <si>
    <t>184</t>
  </si>
  <si>
    <t>2018-073</t>
  </si>
  <si>
    <t>Pender</t>
  </si>
  <si>
    <t>499</t>
  </si>
  <si>
    <t>2018-036</t>
  </si>
  <si>
    <t>Rowan</t>
  </si>
  <si>
    <t>9</t>
  </si>
  <si>
    <t>2018-068</t>
  </si>
  <si>
    <t>Northampton</t>
  </si>
  <si>
    <t>603</t>
  </si>
  <si>
    <t>2018-080</t>
  </si>
  <si>
    <t>Winston-Salem - Muddy Cr Pr, Historic Bethania</t>
  </si>
  <si>
    <t>Forsyth</t>
  </si>
  <si>
    <t>63</t>
  </si>
  <si>
    <t>2018-043</t>
  </si>
  <si>
    <t>2018-004</t>
  </si>
  <si>
    <t>273</t>
  </si>
  <si>
    <t>2018-011</t>
  </si>
  <si>
    <t>Rutherford</t>
  </si>
  <si>
    <t>587</t>
  </si>
  <si>
    <t>2018-017</t>
  </si>
  <si>
    <t>114</t>
  </si>
  <si>
    <t>2018-057</t>
  </si>
  <si>
    <t>160</t>
  </si>
  <si>
    <t>2018-001</t>
  </si>
  <si>
    <t>Alamance Co - Sizemore Tr, Cane Cr Mtn NA</t>
  </si>
  <si>
    <t>438</t>
  </si>
  <si>
    <t>2018-029</t>
  </si>
  <si>
    <t>Randolph</t>
  </si>
  <si>
    <t>500</t>
  </si>
  <si>
    <t>2018-077</t>
  </si>
  <si>
    <t>2018-056</t>
  </si>
  <si>
    <t>Avery</t>
  </si>
  <si>
    <t>2018-065</t>
  </si>
  <si>
    <t>Yancey</t>
  </si>
  <si>
    <t>709</t>
  </si>
  <si>
    <t>2018-009</t>
  </si>
  <si>
    <t>2018-007</t>
  </si>
  <si>
    <t>25</t>
  </si>
  <si>
    <t>2018-019</t>
  </si>
  <si>
    <t>684</t>
  </si>
  <si>
    <t>2018-064</t>
  </si>
  <si>
    <t>210</t>
  </si>
  <si>
    <t>2018-005</t>
  </si>
  <si>
    <t>Alleghany</t>
  </si>
  <si>
    <t>24</t>
  </si>
  <si>
    <t>2018-046</t>
  </si>
  <si>
    <t>Dare</t>
  </si>
  <si>
    <t>47</t>
  </si>
  <si>
    <t>2018-079</t>
  </si>
  <si>
    <t>2018-012</t>
  </si>
  <si>
    <t>2018-024</t>
  </si>
  <si>
    <t>Catawba</t>
  </si>
  <si>
    <t>188</t>
  </si>
  <si>
    <t>2018-035</t>
  </si>
  <si>
    <t>270</t>
  </si>
  <si>
    <t>2018-058</t>
  </si>
  <si>
    <t>2018-054</t>
  </si>
  <si>
    <t>Wilkes</t>
  </si>
  <si>
    <t>241</t>
  </si>
  <si>
    <t>2018-078</t>
  </si>
  <si>
    <t>18</t>
  </si>
  <si>
    <t>2018-050</t>
  </si>
  <si>
    <t>Caldwell</t>
  </si>
  <si>
    <t>2018-022</t>
  </si>
  <si>
    <t>Elizabeth City - Griffin Shipyard</t>
  </si>
  <si>
    <t>Pasquotank</t>
  </si>
  <si>
    <t>2018-032</t>
  </si>
  <si>
    <t>100</t>
  </si>
  <si>
    <t>2018-063</t>
  </si>
  <si>
    <t>450</t>
  </si>
  <si>
    <t>2018-031</t>
  </si>
  <si>
    <t>Richmond</t>
  </si>
  <si>
    <t>51</t>
  </si>
  <si>
    <t>2018-062</t>
  </si>
  <si>
    <t>2018-006</t>
  </si>
  <si>
    <t>Carolina Shores - Moore Tr, Persimmon Swp Canal GW WITHDRAWN</t>
  </si>
  <si>
    <t>2018-021</t>
  </si>
  <si>
    <t>2018-028</t>
  </si>
  <si>
    <t>2018-026</t>
  </si>
  <si>
    <t>Hist Assn of Catawba Co - Bunker Hill Covered Br, Lyle Cr WITHDRAWN</t>
  </si>
  <si>
    <t>2018-013</t>
  </si>
  <si>
    <t>Do not change values on this table - they come from the database.  Select "Data" &gt;&gt; "Refresh All" to update the data</t>
  </si>
  <si>
    <t>If you break the sort, selcet the entire table below and go to "Data" &gt;&gt; "Sort" &gt;&gt; "Custom Sort" &gt;&gt; then add the following columns, all in decreasing sort values: TotalPoints; ResPoints; TotalMatchResPts; FundingStatusPts; RecUsePts.</t>
  </si>
  <si>
    <t>40</t>
  </si>
  <si>
    <t>MilBufPts</t>
  </si>
  <si>
    <t>ProjectT_MilitaryBuffers</t>
  </si>
  <si>
    <t>DOD Funds Committed</t>
  </si>
  <si>
    <t>If you break the sort, selcet the entire table below and go to "Data" &gt;&gt; "Sort" &gt;&gt; "Custom Sort" &gt;&gt; then add the following columns, all in decreasing sort values:MilBufPts; ProjectT_MilitaryBuffers; TotalPoints; ResPoints; TotalMatchResPts; FundingStatusPts; RecUsePts.</t>
  </si>
  <si>
    <t>tblProjectSummary_MilitaryBuffers</t>
  </si>
  <si>
    <t>Mil Points</t>
  </si>
  <si>
    <t>Number</t>
  </si>
  <si>
    <t>App Name</t>
  </si>
  <si>
    <t>Summary</t>
  </si>
  <si>
    <t>Presentation</t>
  </si>
  <si>
    <t>Link App Num</t>
  </si>
  <si>
    <t>Link Application File Name</t>
  </si>
  <si>
    <t>Link PPT filename</t>
  </si>
  <si>
    <t>2018-001 Alamance Co - Sizemore Tr, Cane Cr Mtn NA</t>
  </si>
  <si>
    <t>2018-001 Alamance Co - Sizemore Tr, Cane Cr Mtn NA.pdf</t>
  </si>
  <si>
    <t>2018-002 BRC - Paddy Mountain Preserve Trs</t>
  </si>
  <si>
    <t>2018-002 BRC - Paddy Mountain Preserve Trs.pdf</t>
  </si>
  <si>
    <t>2018-003 BRC - Shore Tr, Middle Fork GW</t>
  </si>
  <si>
    <t>2018-003 BRC - Shore Tr, Middle Fork GW.pdf</t>
  </si>
  <si>
    <t>2018-004 BRC - Three Top East</t>
  </si>
  <si>
    <t>2018-004 BRC - Three Top East.pdf</t>
  </si>
  <si>
    <t>2018-005 BRC - Tompkins Tr, Edmonds Meadow Bog</t>
  </si>
  <si>
    <t>2018-005 BRC - Tompkins Tr, Edmonds Meadow Bog.pdf</t>
  </si>
  <si>
    <t>2018-006 Carolina Shores - Moore Tr, Persimmon Swp Canal GW</t>
  </si>
  <si>
    <t>2018-006 Carolina Shores - Moore Tr, Persimmon Swp Canal GW.pdf</t>
  </si>
  <si>
    <t>2018-007 CC - Blue Moon Tr, Pinnacle Mtn NA</t>
  </si>
  <si>
    <t>2018-007 CC - Blue Moon Tr, Pinnacle Mtn NA.pdf</t>
  </si>
  <si>
    <t>2018-008 CC - Camp Buc, Thompson R HW</t>
  </si>
  <si>
    <t>2018-008 CC - Camp Buc, Thompson R HW.pdf</t>
  </si>
  <si>
    <t>2018-009 CC - Dehon Mtn-Sherwood Forest NA</t>
  </si>
  <si>
    <t>2018-009 CC - Dehon Mtn-Sherwood Forest NA.pdf</t>
  </si>
  <si>
    <t>2018-010 CC - DuPont Connector, Green R HW NA</t>
  </si>
  <si>
    <t>2018-010 CC - DuPont Connector, Green R HW NA.pdf</t>
  </si>
  <si>
    <t>2018-011 CC - Joel Ridge, Weed Patch Mtn NA</t>
  </si>
  <si>
    <t>2018-011 CC - Joel Ridge, Weed Patch Mtn NA.pdf</t>
  </si>
  <si>
    <t>2018-012 CC - Kanuga Conferences Ph I</t>
  </si>
  <si>
    <t>2018-012 CC - Kanuga Conferences Ph I.pdf</t>
  </si>
  <si>
    <t>2018-013 CC - Pleasant Grove, Little Willow Cr</t>
  </si>
  <si>
    <t>2018-013 CC - Pleasant Grove, Little Willow Cr.pdf</t>
  </si>
  <si>
    <t>2018-014 CC - Transfiguration Phase II, HNG</t>
  </si>
  <si>
    <t>2018-014 CC - Transfiguration Phase II, HNG.pdf</t>
  </si>
  <si>
    <t>2018-015 CLC - Saint James Preserve, Forney Cr</t>
  </si>
  <si>
    <t>2018-015 CLC - Saint James Preserve, Forney Cr.pdf</t>
  </si>
  <si>
    <t>2018-016 CTNC - Florence Boyd Tr, Boone Fk</t>
  </si>
  <si>
    <t>2018-016 CTNC - Florence Boyd Tr, Boone Fk.pdf</t>
  </si>
  <si>
    <t>2018-017 CTNC - Hornbuckle Cr, Blue Ridge Pkwy</t>
  </si>
  <si>
    <t>2018-017 CTNC - Hornbuckle Cr, Blue Ridge Pkwy.pdf</t>
  </si>
  <si>
    <t>2018-018 CWPTF - Ray &amp; Ellis, Averasboro BF</t>
  </si>
  <si>
    <t>2018-018 CWPTF - Ray &amp; Ellis, Averasboro BF.pdf</t>
  </si>
  <si>
    <t>2018-019 CWPTF - Weeks Farm &amp; Black R Pr, Averasboro BF</t>
  </si>
  <si>
    <t>2018-019 CWPTF - Weeks Farm &amp; Black R Pr, Averasboro BF.pdf</t>
  </si>
  <si>
    <t>2018-020 DU - Hubbard-Pinketon, North R</t>
  </si>
  <si>
    <t>2018-020 DU - Hubbard-Pinketon, North R.pdf</t>
  </si>
  <si>
    <t>2018-021 ECWA - Goss Tr, Ellerbe Cr UT</t>
  </si>
  <si>
    <t>2018-021 ECWA - Goss Tr, Ellerbe Cr UT.pdf</t>
  </si>
  <si>
    <t>2018-022 Elizabeth City - Griffin Shipyard</t>
  </si>
  <si>
    <t>2018-022 Elizabeth City - Griffin Shipyard.pdf</t>
  </si>
  <si>
    <t>2018-023 FCNC - Bobs Cr Wilderness Ph 2</t>
  </si>
  <si>
    <t>2018-023 FCNC - Bobs Cr Wilderness Ph 2.pdf</t>
  </si>
  <si>
    <t>2018-023 FCNC, Bobs Pocket Wilderness, Ph2.pdf</t>
  </si>
  <si>
    <t>2018-024 FCNC - Jacob Fork East Trs</t>
  </si>
  <si>
    <t>2018-024 FCNC - Jacob Fork East Trs.pdf</t>
  </si>
  <si>
    <t>2018-025 FCNC - Paddy's Cr, OVNHT</t>
  </si>
  <si>
    <t>2018-025 FCNC - Paddy's Cr, OVNHT.pdf</t>
  </si>
  <si>
    <t>2018-025 FCNC, Paddys Creek, OVNHT.pdf</t>
  </si>
  <si>
    <t>2018-026 Hist Assn of Catawba Co - Bunker Hill Covered Br, Lyle Cr</t>
  </si>
  <si>
    <t>2018-026 Hist Assn of Catawba Co - Bunker Hill Covered Br, Lyle Cr.pdf</t>
  </si>
  <si>
    <t>2018-027 Jonesville - Sloop-Nabors Tr, Yadkin R GW</t>
  </si>
  <si>
    <t>2018-027 Jonesville - Sloop-Nabors Tr, Yadkin R GW.pdf</t>
  </si>
  <si>
    <t>2018-027 Jonesville, Sloop-Nabors Tr, Yadkin R GW.pdf</t>
  </si>
  <si>
    <t>2018-028 LTCNC - Alcoa, Tuckertown Lk</t>
  </si>
  <si>
    <t>2018-028 LTCNC - Alcoa, Tuckertown Lk.pdf</t>
  </si>
  <si>
    <t>2018-029 LTCNC - Bennett Pr, Poison Fk</t>
  </si>
  <si>
    <t>2018-029 LTCNC - Bennett Pr, Poison Fk.pdf</t>
  </si>
  <si>
    <t>2018-030 LTCNC - Bennett Pr, Suggs Cr UT</t>
  </si>
  <si>
    <t>2018-030 LTCNC - Bennett Pr, Suggs Cr UT.pdf</t>
  </si>
  <si>
    <t>2018-031 LTCNC - Chicken Rock, Ledbetter Lk</t>
  </si>
  <si>
    <t>2018-031 LTCNC - Chicken Rock, Ledbetter Lk.pdf</t>
  </si>
  <si>
    <t>2018-032 LTCNC - Dassow Pr, Talbotts Br</t>
  </si>
  <si>
    <t>2018-032 LTCNC - Dassow Pr, Talbotts Br.pdf</t>
  </si>
  <si>
    <t>2018-033 LTCNC - Deeck Pr, Mtn Cr</t>
  </si>
  <si>
    <t>2018-033 LTCNC - Deeck Pr, Mtn Cr.pdf</t>
  </si>
  <si>
    <t>2018-034 LTCNC - Redwine Farms, Yadkin R</t>
  </si>
  <si>
    <t>2018-034 LTCNC - Redwine Farms, Yadkin R.pdf</t>
  </si>
  <si>
    <t>2018-035 LTCNC - Sowers Pr, Yadkin R UT</t>
  </si>
  <si>
    <t>2018-035 LTCNC - Sowers Pr, Yadkin R UT.pdf</t>
  </si>
  <si>
    <t>2018-036 LTCNC - Young Pr, S Yadkin UT</t>
  </si>
  <si>
    <t>2018-036 LTCNC - Young Pr, S Yadkin UT.pdf</t>
  </si>
  <si>
    <t xml:space="preserve">2018-037 MCT - Cartoogechaye Cr GW Extension </t>
  </si>
  <si>
    <t>2018-037 MCT - Cartoogechaye Cr GW Extension.pdf</t>
  </si>
  <si>
    <t>2018-038 MCT - Shut-In Cr, Plott Balsam Range</t>
  </si>
  <si>
    <t>2018-038 MCT - Shut-In Cr, Plott Balsam Range.pdf</t>
  </si>
  <si>
    <t>2018-039 MCT - Simp Gap, Cheoah Bald</t>
  </si>
  <si>
    <t>2018-039 MCT - Simp Gap, Cheoah Bald.pdf</t>
  </si>
  <si>
    <t>2018-040 MVSD - Campbell Lick Trs</t>
  </si>
  <si>
    <t>2018-040 MVSD - Campbell Lick Trs.pdf</t>
  </si>
  <si>
    <t>2018-041 MVSD - Johnson Br Trs</t>
  </si>
  <si>
    <t>2018-041 MVSD - Johnson Br Trs.pdf</t>
  </si>
  <si>
    <t>2018-042 NC Bot Garden - Cochrane, Laurel Hill</t>
  </si>
  <si>
    <t>2018-042 NC Bot Garden - Cochrane, Laurel Hill.pdf</t>
  </si>
  <si>
    <t>2018-043 NCCF - Stround Tr, Bogue Sd</t>
  </si>
  <si>
    <t>2018-043 NCCF - Stroud Tr, Bogue Sd.pdf</t>
  </si>
  <si>
    <t>2018-044 NCCLT - Duck Cr Wetlands</t>
  </si>
  <si>
    <t>2018-044 NCCLT - Duck Cr Wetlands.pdf</t>
  </si>
  <si>
    <t>2018-045 NCCLT - Salters Cr Landing</t>
  </si>
  <si>
    <t>2018-045 NCCLT - Salters Cr Landing.pdf</t>
  </si>
  <si>
    <t>2018-046 NCDCM - Meter Point Tr, Kitty Hawk Woods</t>
  </si>
  <si>
    <t>2018-046 NCDCM - Meter Point Tr, Kitty Hawk Woods.pdf</t>
  </si>
  <si>
    <t>2018-047 NCDNCR - Sharpe &amp; Drake Tr, Alamance BG</t>
  </si>
  <si>
    <t>2018-047 NCDNCR - Sharpe &amp; Drake Tr, Alamance BG.pdf</t>
  </si>
  <si>
    <t>2018-048 NCDPR - Ivy Creek Tr, South Mtn SP</t>
  </si>
  <si>
    <t>2018-048 NCDPR - Ivy Creek Tr, South Mtn SP.pdf</t>
  </si>
  <si>
    <t>2018-049 NCFS - Addition Trs, Headwaters SF</t>
  </si>
  <si>
    <t>2018-049 NCFS - Addition Trs, Headwaters SF.pdf</t>
  </si>
  <si>
    <t>2018-050 NCFS - Beaver Cr HW, State Forest</t>
  </si>
  <si>
    <t>2018-050 NCFS - Beaver Cr HW, State Forest.pdf</t>
  </si>
  <si>
    <t>2018-051 NCWRC - Herrin Tr, Pond Mtn GL</t>
  </si>
  <si>
    <t>2018-051 NCWRC - Herrin Tr, Pond Mtn GL.pdf</t>
  </si>
  <si>
    <t>2018-052 NCWRC - Rocky Swp</t>
  </si>
  <si>
    <t>2018-052 NCWRC - Rocky Swp.pdf</t>
  </si>
  <si>
    <t>2018-053 Orange Co - Sevenmile Cr Preserve</t>
  </si>
  <si>
    <t>2018-053 Orange Co - Sevenmile Cr Preserve.pdf</t>
  </si>
  <si>
    <t>2018-054 PLC - Lassiter Tr, Elkin Cr</t>
  </si>
  <si>
    <t>2018-054 PLC - Lassiter Tr, Elkin Cr.pdf</t>
  </si>
  <si>
    <t>2018-055 SAHC - Greene Cr, Yellow Mtn SNA</t>
  </si>
  <si>
    <t>2018-055 SAHC - Greene Cr, Yellow Mtn SNA.pdf</t>
  </si>
  <si>
    <t>2018-056 SAHC - Jones Tr, Roaring Cr</t>
  </si>
  <si>
    <t>2018-056 SAHC - Jones Tr, Roaring Cr.pdf</t>
  </si>
  <si>
    <t>2018-057 SALT - Kiser, Deep R</t>
  </si>
  <si>
    <t>2018-057 SALT - Kiser, Deep R.pdf</t>
  </si>
  <si>
    <t>2018-058 SALT - Richardson Preserve, Nats Cr UT</t>
  </si>
  <si>
    <t>2018-058 SALT - Richardson Preserve, Nats Cr UT.pdf</t>
  </si>
  <si>
    <t>2018-059 SALT - Rogers, Dronwing Cr</t>
  </si>
  <si>
    <t>2018-059 SALT - Rogers, Dronwing Cr.pdf</t>
  </si>
  <si>
    <t>2018-060 TCF - Blackrock Cr, Plott Balsam Range</t>
  </si>
  <si>
    <t>2018-060 TCF - Blackrock Cr, Plott Balsam Range.pdf</t>
  </si>
  <si>
    <t>2018-061 TCF - Deep R</t>
  </si>
  <si>
    <t>2018-061 TCF - Deep R.pdf</t>
  </si>
  <si>
    <t>2018-062 TCF - Fire Cr, Silver GL</t>
  </si>
  <si>
    <t>2018-062 TCF - Fire Cr, Silver GL.pdf</t>
  </si>
  <si>
    <t>2018-063 TCF - Kings Cr, State Forest</t>
  </si>
  <si>
    <t>2018-063 TCF - Kings Cr, State Forest.pdf</t>
  </si>
  <si>
    <t>2018-064 TCF - Long Arm Mtn, Linville Gorge</t>
  </si>
  <si>
    <t>2018-064 TCF - Long Arm Mtn, Linville Gorge.pdf</t>
  </si>
  <si>
    <t>2018-065 TCF - Turkey Ridge, Cane R</t>
  </si>
  <si>
    <t>2018-065 TCF - Turkey Ridge, Cane R.pdf</t>
  </si>
  <si>
    <t>2018-066 TLC - Turnipseed South</t>
  </si>
  <si>
    <t>2018-066 TLC - Turnipseed South.pdf</t>
  </si>
  <si>
    <t>2018-067 TNC - Brown Tr, Black R</t>
  </si>
  <si>
    <t>2018-067 TNC - Brown Tr, Black R.pdf</t>
  </si>
  <si>
    <t>2018-068 TNC - Bull Hill, Roanoke R</t>
  </si>
  <si>
    <t>2018-068 TNC - Bull Hill, Roanoke R.pdf</t>
  </si>
  <si>
    <t>2018-069 TNC - Connell &amp; Crutchfield, Ft Bragg SHGL Gap</t>
  </si>
  <si>
    <t>2018-069 TNC - Connell &amp; Crutchfield, Ft Bragg SHGL Gap.pdf</t>
  </si>
  <si>
    <t xml:space="preserve">2018-070 TNC - Evans and K&amp;W, Black R </t>
  </si>
  <si>
    <t>2018-070 TNC - Evans and K&amp;W, Black R.pdf</t>
  </si>
  <si>
    <t>2018-070 TNC - Evans and K&amp;W, Black R .pdf</t>
  </si>
  <si>
    <t>2018-071 TNC - Gray Tr, Flat Swp</t>
  </si>
  <si>
    <t>2018-071 TNC - Gray Tr, Flat Swp.pdf</t>
  </si>
  <si>
    <t>2018-072 TNC - Harrison Tr, Roanoke R</t>
  </si>
  <si>
    <t>2018-072 TNC - Harrison Tr, Roanoke R.pdf</t>
  </si>
  <si>
    <t>2018-073 TNC - Squires Tr 2, Black R</t>
  </si>
  <si>
    <t>2018-073 TNC - Squires Tr 2, Black R.pdf</t>
  </si>
  <si>
    <t>2018-074 TRLC - Hosley Tr, Shocco Cr</t>
  </si>
  <si>
    <t>2018-074 TRLC - Hosley Tr, Shocco Cr.pdf</t>
  </si>
  <si>
    <t>2018-075 TRLC - Hunter Tr, Dickens Cr</t>
  </si>
  <si>
    <t>2018-075 TRLC - Hunter Tr, Dickens Cr.pdf</t>
  </si>
  <si>
    <t>2018-076 TRLC - Hunter Tr, Little Fishing Cr</t>
  </si>
  <si>
    <t>2018-076 TRLC - Hunter Tr, Little Fishing Cr.pdf</t>
  </si>
  <si>
    <t>2018-077 TRLC - Norwood Tr, Smith Cr</t>
  </si>
  <si>
    <t>2018-077 TRLC - Norwood Tr, Smith Cr.pdf</t>
  </si>
  <si>
    <t>2018-078 TRLC - Prestwick Tr, Holman Cr</t>
  </si>
  <si>
    <t>2018-078 TRLC - Prestwick Tr, Holman Cr.pdf</t>
  </si>
  <si>
    <t>2018-079 UPTS - High Falls Deep R, Dam Rem Site</t>
  </si>
  <si>
    <t>2018-079 UPTS - High Falls Deep R, Dam Rem Site.pdf</t>
  </si>
  <si>
    <t>2018-080 Winston-Salem - Muddy Cr Pr, Historic Bethania</t>
  </si>
  <si>
    <t>2018-080 Winston-Salem - Muddy Cr Pr, Historic Bethania.pdf</t>
  </si>
  <si>
    <t>2018-1001</t>
  </si>
  <si>
    <t>2018-1001 Asheville - Celia Place ISW</t>
  </si>
  <si>
    <t>2018-1001 Asheville - Celia Place ISW.pdf</t>
  </si>
  <si>
    <t>2018-1002</t>
  </si>
  <si>
    <t>2018-1002 Blue Ridge RC&amp;D - Phytotech Plant Palette, Pinebridge ISW</t>
  </si>
  <si>
    <t>2018-1002 Blue Ridge RC&amp;D - Phytotech Plant Palette, Pinebridge ISW.pdf</t>
  </si>
  <si>
    <t>2018-1002 Blue Ridge RCD, Pinebridge Campus SW.pdf</t>
  </si>
  <si>
    <t>2018-1003</t>
  </si>
  <si>
    <t>2018-1003 Caswell Beach - Dune Infiltration ISW</t>
  </si>
  <si>
    <t>2018-1003 Caswell Beach - Dune Infiltration ISW.pdf</t>
  </si>
  <si>
    <t>2018-1004</t>
  </si>
  <si>
    <t>2018-1004 Durham SWCD - Riverside HS ISW</t>
  </si>
  <si>
    <t>2018-1004 Durham SWCD - Riverside HS ISW.pdf</t>
  </si>
  <si>
    <t>2018-1005</t>
  </si>
  <si>
    <t>2018-1005 Hendersonville - Hendersonville Elementary ISW</t>
  </si>
  <si>
    <t>2018-1005 Hendersonville - Hendersonville Elementary ISW.pdf</t>
  </si>
  <si>
    <t>2018-1006</t>
  </si>
  <si>
    <t>2018-1006 NCSU - Evaluating Sand Filters ISW</t>
  </si>
  <si>
    <t>2018-1006 NCSU - Evaluating Sand Filters ISW.pdf</t>
  </si>
  <si>
    <t>2018-1007</t>
  </si>
  <si>
    <t>2018-1007 NCSU - Mycoremediation of Metals ISW</t>
  </si>
  <si>
    <t>2018-1007 NCSU - Mycoremediation of Metals ISW.pdf</t>
  </si>
  <si>
    <t>2018-401</t>
  </si>
  <si>
    <t>2018-401 Audubon NC - Pine Island Living Shorline</t>
  </si>
  <si>
    <t>2018-401 Audubon NC - Pine Island Living Shoreline.pdf</t>
  </si>
  <si>
    <t>2018-401 Audubon NC - Pine Island Living Shorline.pdf</t>
  </si>
  <si>
    <t>2018-402</t>
  </si>
  <si>
    <t>2018-402 CC - Mouth of Mud Cr Floodplain</t>
  </si>
  <si>
    <t>2018-402 cc - Mouth of Mud cr Flodplain.pdf</t>
  </si>
  <si>
    <t>2018-402 CC - Mouth of Mud Cr Floodplain.pdf</t>
  </si>
  <si>
    <t>2018-403</t>
  </si>
  <si>
    <t>2018-403 Charlotte SWS - Irwin Cr</t>
  </si>
  <si>
    <t>2018-403 Charlotte SWS - Irwin Cr.pdf</t>
  </si>
  <si>
    <t>2018-404</t>
  </si>
  <si>
    <t>2018-404 Charlotte SWS - Stewart Cr Ph 2</t>
  </si>
  <si>
    <t>2018-404 Charlotte SWS - Stewart Cr Ph 2.pdf</t>
  </si>
  <si>
    <t>2018-405</t>
  </si>
  <si>
    <t>2018-405 Env. Impact - Hitchcock Cr Ph 2</t>
  </si>
  <si>
    <t>2018-405 Env. Impact - Hitchcock Cr Ph 2.pdf</t>
  </si>
  <si>
    <t>2018-406</t>
  </si>
  <si>
    <t>2018-406 Env. Impact - Midway Dam Removal</t>
  </si>
  <si>
    <t>2018-406 Env. Impact - Midway Dam Removal.pdf</t>
  </si>
  <si>
    <t>2018-407</t>
  </si>
  <si>
    <t>2018-407 Jacksonville - New River Oyster Hwy</t>
  </si>
  <si>
    <t>2018-407 Jacksonville - New River Oyster Hwy.pdf</t>
  </si>
  <si>
    <t>2018-408</t>
  </si>
  <si>
    <t>2018-408 NCDPR - Lake Waccamaw Hydrilla 2018</t>
  </si>
  <si>
    <t>2018-408 NCDPR - Lake Waccamaw Hydrilla 2018.pdf</t>
  </si>
  <si>
    <t>2018-409</t>
  </si>
  <si>
    <t>2018-409 NCDSWC - CREP 2018</t>
  </si>
  <si>
    <t>2018-409 NCDSWC - CREP 2018.pdf</t>
  </si>
  <si>
    <t>2018-410</t>
  </si>
  <si>
    <t>2018-410 NRC - Bard, New River Ph 2</t>
  </si>
  <si>
    <t>2018-410 NRC - Bard, New River Ph 2.pdf</t>
  </si>
  <si>
    <t>2018-411</t>
  </si>
  <si>
    <t>2018-411 NRC - Kirby Farm, Helton Cr</t>
  </si>
  <si>
    <t>2018-411 NRC - Kirby Farm, Helton Cr.pdf</t>
  </si>
  <si>
    <t>2018-412</t>
  </si>
  <si>
    <t>2018-412 PCC - Smith Cr UT</t>
  </si>
  <si>
    <t>2018-412 PCC - Smith Cr UT.pdf</t>
  </si>
  <si>
    <t>2018-413</t>
  </si>
  <si>
    <t>2018-413 Pilot Mtn - Chinquapin Creek UT</t>
  </si>
  <si>
    <t>2018-413 Pilot Mtn - Chinquapin Creek UT.pdf</t>
  </si>
  <si>
    <t>2018-413 Pilot Mountain, Chinquapin Creek UT.pdf</t>
  </si>
  <si>
    <t>2018-414</t>
  </si>
  <si>
    <t>2018-414 Polk SWCD - N Pacolet River Reach 4, Ph 4</t>
  </si>
  <si>
    <t>2018-414 Polk SWCD - N Pacolet River Reach 4, Ph 4.pdf</t>
  </si>
  <si>
    <t>2018-415</t>
  </si>
  <si>
    <t>2018-415 RI - Elk River Dam Removal</t>
  </si>
  <si>
    <t>2018-415 RI - Elk River Dam Removal.pdf</t>
  </si>
  <si>
    <t>2018-416</t>
  </si>
  <si>
    <t>2018-416 RI - Payne Branch Dam Removal</t>
  </si>
  <si>
    <t>2018-416 RI - Payne Branch Dam Removal.pdf</t>
  </si>
  <si>
    <t>2018-417</t>
  </si>
  <si>
    <t>2018-417 RI - Stingy Branch</t>
  </si>
  <si>
    <t>2018-417 RI - Stingy Branch.pdf</t>
  </si>
  <si>
    <t>2018-417 RI, Stingy Branch.pdf</t>
  </si>
  <si>
    <t>2018-418</t>
  </si>
  <si>
    <t>2018-418 RI - WNC Stream Initiative 2018</t>
  </si>
  <si>
    <t>2018-418 RI - WNC Stream Initiative 2018.pdf</t>
  </si>
  <si>
    <t>2018-418 RI, Western NC Stream Initiative 2018.pdf</t>
  </si>
  <si>
    <t>2018-419</t>
  </si>
  <si>
    <t>2018-419 Riverlink  - Smith Mill Cr</t>
  </si>
  <si>
    <t>2018-419 Riverlink  - Smith Mill Cr.pdf</t>
  </si>
  <si>
    <t>2018-420</t>
  </si>
  <si>
    <t>2018-420 Rutherfordton - Cleghorn Cr Ph 2</t>
  </si>
  <si>
    <t>2018-420 Rutherfordton - Cleghorn Cr Ph 2.pdf</t>
  </si>
  <si>
    <t>2018-420 Rutherfordton, Cleghorn Creek, Ph2.pdf</t>
  </si>
  <si>
    <t>2018-421</t>
  </si>
  <si>
    <t>2018-421 TCF - Lindsey Br Dam Removal</t>
  </si>
  <si>
    <t>2018-421 TCF - Lindsey Br Dam Removal.pdf</t>
  </si>
  <si>
    <t>2018-422</t>
  </si>
  <si>
    <t>2018-422 Watauga Co - Brookshire Park Wetland Restoration</t>
  </si>
  <si>
    <t>2018-422 Watauga Co - Brookshire Park Wetland Restoration.pdf</t>
  </si>
  <si>
    <t>2018-423</t>
  </si>
  <si>
    <t>2018-423 Wild South - Hellbender Stream Stabilization</t>
  </si>
  <si>
    <t>2018-423 Wild South - Hellbender Stream Stabilization.pdf</t>
  </si>
  <si>
    <t>2018-801</t>
  </si>
  <si>
    <t>2018-801 Audubon NC - Currituck Sound Marsh Rest Plan</t>
  </si>
  <si>
    <t>2018-801 Audubon NC - Currituck Sound Marsh Rest Plan.pdf</t>
  </si>
  <si>
    <t>2018-802</t>
  </si>
  <si>
    <t>2018-802 Carolina Land &amp; Lakes RCD - J Iverson Riddle, Hunting Cr Feasibility</t>
  </si>
  <si>
    <t>2018-802 Carolina Land &amp; Lakes RCD - J Iverson Riddle, Hunting Cr Feasibility.pdf</t>
  </si>
  <si>
    <t>2018-803</t>
  </si>
  <si>
    <t>2018-803 FCNC - Catawba Co Priority Watersheds Plan</t>
  </si>
  <si>
    <t>2018-803 FCNC - Catawba Co Priority Watersheds Plan.pdf</t>
  </si>
  <si>
    <t>2018-804</t>
  </si>
  <si>
    <t>2018-804 Mountain True - Watauga River Plan</t>
  </si>
  <si>
    <t>2018-804 Mountain True - Watauga River Plan.pdf</t>
  </si>
  <si>
    <t>2018-805</t>
  </si>
  <si>
    <t xml:space="preserve">2018-805 Mountain Valleys RCD - Gabriel Creek, Mars Hill Univ Feasiblity </t>
  </si>
  <si>
    <t>2018-805 Mountain Valleys RCD - Gabriel Creek, Mars Hill Univ Feasiblity.pdf</t>
  </si>
  <si>
    <t>2018-805 Mountain Valleys RCD - Gabriel Creek, Mars Hill Univ Feasiblity .pdf</t>
  </si>
  <si>
    <t>2018-806</t>
  </si>
  <si>
    <t>2018-806 NRC - Peacock Lot/Boone Cr Daylighting Plan</t>
  </si>
  <si>
    <t>2018-806 NRC - Peacock Lot Boone Cr Daylighting Plan.pdf</t>
  </si>
  <si>
    <t>2018-807</t>
  </si>
  <si>
    <t>2018-807 Piedmont Triad RC - Thomas Built Bus Preserve Rest Plan</t>
  </si>
  <si>
    <t>2018-807 Piedmont Triad RC - Thomas Built Bus Preserve Rest Plan.pdf</t>
  </si>
  <si>
    <t>2018-808</t>
  </si>
  <si>
    <t>2018-808 Polk SWCD - North Pacolet Reach 2 Assessment</t>
  </si>
  <si>
    <t>2018-808 Polk SWCD - North Pacolet Reach 2 Assessment.pdf</t>
  </si>
  <si>
    <t>2018-809</t>
  </si>
  <si>
    <t>2018-809 RiverLink - River Arts District Watersheds Plan</t>
  </si>
  <si>
    <t>2018-809 RiverLink - River Arts District Watersheds Plan.pdf</t>
  </si>
  <si>
    <t>2018-810</t>
  </si>
  <si>
    <t>2018-810 TU - Sky Island Coldwater Cons. Plan</t>
  </si>
  <si>
    <t>2018-810 TU - Sky Island Coldwater Cons. Plan.pdf</t>
  </si>
  <si>
    <t>Field Rep</t>
  </si>
  <si>
    <t>Justin Mercer</t>
  </si>
  <si>
    <t>Damon Hearne</t>
  </si>
  <si>
    <t>Capped Amount</t>
  </si>
  <si>
    <t>Running Total Capped</t>
  </si>
  <si>
    <t>NonStdReq</t>
  </si>
  <si>
    <t>County (Tier)</t>
  </si>
  <si>
    <t>2018 Acquisition Requests</t>
  </si>
  <si>
    <t>Total Remaining:</t>
  </si>
  <si>
    <t>Total Available to Committee:</t>
  </si>
  <si>
    <t>2018 Acquisition Requests - Military</t>
  </si>
  <si>
    <t>Funded from non-military Funds</t>
  </si>
  <si>
    <t>Capped Amount (minus non-military funds awarded)</t>
  </si>
  <si>
    <t>Running Total Capped (minus non-military funds awarded)</t>
  </si>
  <si>
    <t>Committee Recommended Funding from military allocation</t>
  </si>
  <si>
    <t>Total Recommended by Committee:</t>
  </si>
  <si>
    <t>2018-020 DU - Hubbard-Pinkerton, North R.pdf</t>
  </si>
  <si>
    <t>2018-059 SALT - Rogers, Drowning Cr.pdf</t>
  </si>
  <si>
    <t>n/a</t>
  </si>
  <si>
    <t>Project Number</t>
  </si>
  <si>
    <t>Concatenated Full LONG Name Calculated</t>
  </si>
  <si>
    <t>Blue Ridge Conservancy - Paddy Mountain Preserve Trs</t>
  </si>
  <si>
    <t>Blue Ridge Conservancy - Shore Tr, Middle Fork GW</t>
  </si>
  <si>
    <t>Blue Ridge Conservancy - Three Top East</t>
  </si>
  <si>
    <t>Blue Ridge Conservancy - Tompkins Tr, Edmonds Meadow Bog</t>
  </si>
  <si>
    <t>Carolina Shores - Moore Tr, Persimmon Swp Canal GW</t>
  </si>
  <si>
    <t>Conserving Carolina - Blue Moon Tr, Pinnacle Mtn NA</t>
  </si>
  <si>
    <t>Conserving Carolina - Camp Buc, Thompson R HW</t>
  </si>
  <si>
    <t>Conserving Carolina - Dehon Mtn-Sherwood Forest NA</t>
  </si>
  <si>
    <t>Conserving Carolina - DuPont Connector, Green R HW NA</t>
  </si>
  <si>
    <t>Conserving Carolina - Joel Ridge, Weed Patch Mtn NA</t>
  </si>
  <si>
    <t>Conserving Carolina - Kanuga Conferences Ph I</t>
  </si>
  <si>
    <t>Conserving Carolina - Pleasant Grove, Little Willow Cr</t>
  </si>
  <si>
    <t>Conserving Carolina - Transfiguration Phase II, HNG</t>
  </si>
  <si>
    <t>Catawba Lands Conservancy - Saint James Preserve, Forney Cr</t>
  </si>
  <si>
    <t>Conservation Trust for North Carolina - Florence Boyd Tr, Boone Fk</t>
  </si>
  <si>
    <t>Conservation Trust for North Carolina - Hornbuckle Cr, Blue Ridge Pkwy</t>
  </si>
  <si>
    <t>Civil War Preservation Trust Fund - Ray &amp; Ellis, Averasboro BF</t>
  </si>
  <si>
    <t>Civil War Preservation Trust Fund - Weeks Farm &amp; Black R Pr, Averasboro BF</t>
  </si>
  <si>
    <t>Ducks Unlimited - Hubbard-Pinketon, North R</t>
  </si>
  <si>
    <t>Ellerbe Creek Watershed Association - Goss Tr, Ellerbe Cr UT</t>
  </si>
  <si>
    <t>Foothills Conservancy of North Carolina - Bobs Cr Wilderness Ph 2</t>
  </si>
  <si>
    <t>Foothills Conservancy of North Carolina - Jacob Fork East Trs</t>
  </si>
  <si>
    <t>Foothills Conservancy of North Carolina - Paddy's Cr, OVNHT</t>
  </si>
  <si>
    <t>Hist Assn of Catawba Co - Bunker Hill Covered Br, Lyle Cr</t>
  </si>
  <si>
    <t>LandTrust for Central North Carolina - Alcoa, Tuckertown Lk</t>
  </si>
  <si>
    <t>LandTrust for Central North Carolina - Bennett Pr, Poison Fk</t>
  </si>
  <si>
    <t>LandTrust for Central North Carolina - Bennett Pr, Suggs Cr UT</t>
  </si>
  <si>
    <t>LandTrust for Central North Carolina - Chicken Rock, Ledbetter Lk</t>
  </si>
  <si>
    <t>LandTrust for Central North Carolina - Dassow Pr, Talbotts Br</t>
  </si>
  <si>
    <t>LandTrust for Central North Carolina - Deeck Pr, Mtn Cr</t>
  </si>
  <si>
    <t>LandTrust for Central North Carolina - Redwine Farms, Yadkin R</t>
  </si>
  <si>
    <t>LandTrust for Central North Carolina - Sowers Pr, Yadkin R UT</t>
  </si>
  <si>
    <t>LandTrust for Central North Carolina - Young Pr, S Yadkin UT</t>
  </si>
  <si>
    <t>Mainspring Conservation Trust - Cartoogechaye Cr GW Extension</t>
  </si>
  <si>
    <t>Mainspring Conservation Trust - Shut-In Cr, Plott Balsam Range</t>
  </si>
  <si>
    <t>Mainspring Conservation Trust - Simp Gap, Cheoah Bald</t>
  </si>
  <si>
    <t>Maggie Valley Sanitary District - Campbell Lick Trs</t>
  </si>
  <si>
    <t>Maggie Valley Sanitary District - Johnson Br Trs</t>
  </si>
  <si>
    <t>NC Botanical Garden - Cochrane, Laurel Hill</t>
  </si>
  <si>
    <t>NC Coastal Federation - Stroud Tr, Bogue Sd</t>
  </si>
  <si>
    <t>NC Coastal Land Trust - Duck Cr Wetlands</t>
  </si>
  <si>
    <t>NC Coastal Land Trust - Salters Cr Landing</t>
  </si>
  <si>
    <t>NC Division of Coastal Management - Meter Point Tr, Kitty Hawk Woods</t>
  </si>
  <si>
    <t>NC Department of Natural and Cultural Resources - Sharpe &amp; Drake Tr, Alamance BG</t>
  </si>
  <si>
    <t>NC Division of Parks and Recreation - Ivy Creek Tr, South Mtn SP</t>
  </si>
  <si>
    <t>NC Forest Service - Addition Trs, Headwaters SF</t>
  </si>
  <si>
    <t>NC Forest Service - Beaver Cr HW, State Forest</t>
  </si>
  <si>
    <t>NC Wildlife Resources Commission - Herrin Tr, Pond Mtn GL</t>
  </si>
  <si>
    <t>NC Wildlife Resources Commission - Rocky Swp</t>
  </si>
  <si>
    <t>Piedmont Land Conservancy - Lassiter Tr, Elkin Cr</t>
  </si>
  <si>
    <t>Southern Appalachian Highlands Conservancy - Greene Cr, Yellow Mtn SNA</t>
  </si>
  <si>
    <t>Southern Appalachian Highlands Conservancy - Jones Tr, Roaring Cr</t>
  </si>
  <si>
    <t>Sandhills Area Land Trust - Kiser, Deep R</t>
  </si>
  <si>
    <t>Sandhills Area Land Trust - Richardson Preserve, Nats Cr UT</t>
  </si>
  <si>
    <t>Sandhills Area Land Trust - Rogers, Dronwing Cr</t>
  </si>
  <si>
    <t>The Conservation Fund - Blackrock Cr, Plott Balsam Range</t>
  </si>
  <si>
    <t>The Conservation Fund - Deep R</t>
  </si>
  <si>
    <t>The Conservation Fund - Fire Cr, Silver GL</t>
  </si>
  <si>
    <t>The Conservation Fund - Kings Cr, State Forest</t>
  </si>
  <si>
    <t>The Conservation Fund - Long Arm Mtn, Linville Gorge</t>
  </si>
  <si>
    <t>The Conservation Fund - Turkey Ridge, Cane R</t>
  </si>
  <si>
    <t>Triangle Land Conservancy - Turnipseed South</t>
  </si>
  <si>
    <t>The Nature Conservancy - Brown Tr, Black R</t>
  </si>
  <si>
    <t>The Nature Conservancy - Bull Hill, Roanoke R</t>
  </si>
  <si>
    <t>The Nature Conservancy - Connell &amp; Crutchfield, Ft Bragg SHGL Gap</t>
  </si>
  <si>
    <t>The Nature Conservancy - Evans and K&amp;W, Black R</t>
  </si>
  <si>
    <t>The Nature Conservancy - Gray Tr, Flat Swp</t>
  </si>
  <si>
    <t>The Nature Conservancy - Harrison Tr, Roanoke R</t>
  </si>
  <si>
    <t>The Nature Conservancy - Squires Tr 2, Black R</t>
  </si>
  <si>
    <t>Tar River Land Conservancy - Hosley Tr, Shocco Cr</t>
  </si>
  <si>
    <t>Tar River Land Conservancy - Hunter Tr, Dickens Cr</t>
  </si>
  <si>
    <t>Tar River Land Conservancy - Hunter Tr, Little Fishing Cr</t>
  </si>
  <si>
    <t>Tar River Land Conservancy - Norwood Tr, Smith Cr</t>
  </si>
  <si>
    <t>Tar River Land Conservancy - Prestwick Tr, Holman Cr</t>
  </si>
  <si>
    <t>Unique Places 2 Save - High Falls Deep R, Dam Rem Site</t>
  </si>
  <si>
    <t>Asheville - Celia Place ISW</t>
  </si>
  <si>
    <t>Blue Ridge RC&amp;D  - Phytotech Plant Palette, Pinebridge ISW</t>
  </si>
  <si>
    <t>Caswell Beach - Dune Infiltration ISW</t>
  </si>
  <si>
    <t>Durham SWCD - Riverside HS ISW</t>
  </si>
  <si>
    <t>Hendersonville - Hendersonville Elementary ISW</t>
  </si>
  <si>
    <t>NCSU - Evaluating Sand Filters ISW</t>
  </si>
  <si>
    <t>NCSU - Mycoremediation of Metals ISW</t>
  </si>
  <si>
    <t>Audubon NC - Pine Island Living Shorline</t>
  </si>
  <si>
    <t>Conserving Carolina - Mouth of Mud Cr Floodplain</t>
  </si>
  <si>
    <t>Charlotte SWS - Irwin Cr</t>
  </si>
  <si>
    <t>Charlotte SWS - Stewart Cr Ph 2</t>
  </si>
  <si>
    <t>Env. Impact RC&amp;D - Hitchcock Cr Ph 2</t>
  </si>
  <si>
    <t>Env. Impact RC&amp;D - Midway Dam Removal</t>
  </si>
  <si>
    <t>Jacksonville - New River Oyster Hwy</t>
  </si>
  <si>
    <t>NC Division of Parks and Recreation - Lake Waccamaw Hydrilla 2018</t>
  </si>
  <si>
    <t>NC Division of Soil and Water Conservation - CREP 2018</t>
  </si>
  <si>
    <t>New River Conservancy - Bard, New River Ph 2</t>
  </si>
  <si>
    <t>New River Conservancy - Kirby Farm, Helton Cr</t>
  </si>
  <si>
    <t>Piedmont Conservation Council - Smith Cr UT</t>
  </si>
  <si>
    <t>Pilot Mtn - Chinquapin Creek UT</t>
  </si>
  <si>
    <t>Polk SWCD - N Pacolet River Reach 4, Ph 4</t>
  </si>
  <si>
    <t>Resource Institute - Elk River Dam Removal</t>
  </si>
  <si>
    <t>Resource Institute - Payne Branch Dam Removal</t>
  </si>
  <si>
    <t>Resource Institute - Stingy Branch</t>
  </si>
  <si>
    <t>Resource Institute - WNC Stream Initiative 2018</t>
  </si>
  <si>
    <t>Riverlink  - Smith Mill Cr</t>
  </si>
  <si>
    <t>Rutherfordton - Cleghorn Cr Ph 2</t>
  </si>
  <si>
    <t>The Conservation Fund - Lindsey Br Dam Removal</t>
  </si>
  <si>
    <t>Watauga Co - Brookshire Park Wetland Restoration</t>
  </si>
  <si>
    <t>Wild South - Hellbender Stream Stabilization</t>
  </si>
  <si>
    <t>Audubon NC - Currituck Sound Marsh Rest Plan</t>
  </si>
  <si>
    <t>Carolina Land &amp; Lakes RCD - J Iverson Riddle, Hunting Cr Feasibility</t>
  </si>
  <si>
    <t>Foothills Conservancy of North Carolina - Catawba Co Priority Watersheds Plan</t>
  </si>
  <si>
    <t>Mountain True - Watauga River Plan</t>
  </si>
  <si>
    <t>Mountain Valleys RCD - Gabriel Creek, Mars Hill Univ Feasiblity</t>
  </si>
  <si>
    <t>New River Conservancy - Peacock Lot/Boone Cr Daylighting Plan</t>
  </si>
  <si>
    <t>Piedmont Triad RC - Thomas Built Bus Preserve Rest Plan</t>
  </si>
  <si>
    <t>Polk SWCD - North Pacolet Reach 2 Assessment</t>
  </si>
  <si>
    <t>RiverLink - River Arts District Watersheds Plan</t>
  </si>
  <si>
    <t>Trout Unlimited - Sky Island Coldwater Cons. Plan</t>
  </si>
  <si>
    <t>The Conservation Fund - Fire Cr, Silver GL WITHDRAWN</t>
  </si>
  <si>
    <t>Conserving Carolina - Kanuga Conferences Ph I WITHDRAWN</t>
  </si>
  <si>
    <t>Sandhills Area Land Trust - Richardson Preserve, Nats Cr UT WITHDRAWN</t>
  </si>
  <si>
    <t>Ellerbe Creek Watershed Association - Goss Tr, Ellerbe Cr UT PROVISIONALLY FUNDED 2017</t>
  </si>
  <si>
    <t>LandTrust for Central North Carolina - Alcoa, Tuckertown Lk PROVISIONALLY FUNDED 2017</t>
  </si>
  <si>
    <t>Conserving Carolina - Pleasant Grove, Little Willow Cr WITHDRAWN</t>
  </si>
  <si>
    <t>The scoring system shown below is only one tool used in deciding how to award funding.  The Board has complete discretion in making awards and may consider other factors not reflected in their rating system.  Do not make any assumptions about the success of an application based on these figures.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</si>
</sst>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name val="Arial"/>
      <family val="2"/>
    </font>
    <font>
      <b/>
      <sz val="11"/>
      <name val="Arial"/>
      <family val="2"/>
    </font>
    <font>
      <b/>
      <sz val="11"/>
      <color theme="1"/>
      <name val="Arial"/>
      <family val="2"/>
    </font>
    <font>
      <sz val="11"/>
      <color theme="1"/>
      <name val="Arial"/>
      <family val="2"/>
    </font>
    <font>
      <sz val="1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theme="4" tint="0.79998168889431442"/>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style="thin">
        <color auto="1"/>
      </left>
      <right style="medium">
        <color indexed="64"/>
      </right>
      <top style="medium">
        <color indexed="64"/>
      </top>
      <bottom/>
      <diagonal/>
    </border>
    <border>
      <left style="medium">
        <color indexed="64"/>
      </left>
      <right/>
      <top/>
      <bottom/>
      <diagonal/>
    </border>
    <border>
      <left style="thin">
        <color auto="1"/>
      </left>
      <right style="medium">
        <color indexed="64"/>
      </right>
      <top/>
      <bottom/>
      <diagonal/>
    </border>
    <border>
      <left style="medium">
        <color indexed="64"/>
      </left>
      <right/>
      <top/>
      <bottom style="medium">
        <color indexed="64"/>
      </bottom>
      <diagonal/>
    </border>
    <border>
      <left style="thin">
        <color auto="1"/>
      </left>
      <right style="medium">
        <color indexed="64"/>
      </right>
      <top/>
      <bottom style="medium">
        <color indexed="64"/>
      </bottom>
      <diagonal/>
    </border>
    <border>
      <left style="thin">
        <color auto="1"/>
      </left>
      <right/>
      <top style="medium">
        <color indexed="64"/>
      </top>
      <bottom/>
      <diagonal/>
    </border>
    <border>
      <left style="thin">
        <color auto="1"/>
      </left>
      <right/>
      <top/>
      <bottom/>
      <diagonal/>
    </border>
    <border>
      <left style="thin">
        <color auto="1"/>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theme="4" tint="0.39997558519241921"/>
      </top>
      <bottom style="thin">
        <color theme="4" tint="0.39997558519241921"/>
      </bottom>
      <diagonal/>
    </border>
  </borders>
  <cellStyleXfs count="6">
    <xf numFmtId="0" fontId="0" fillId="0" borderId="0"/>
    <xf numFmtId="44" fontId="1" fillId="0" borderId="0" applyFont="0" applyFill="0" applyBorder="0" applyAlignment="0" applyProtection="0"/>
    <xf numFmtId="0" fontId="4" fillId="0" borderId="0"/>
    <xf numFmtId="9"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cellStyleXfs>
  <cellXfs count="126">
    <xf numFmtId="0" fontId="0" fillId="0" borderId="0" xfId="0"/>
    <xf numFmtId="0" fontId="2" fillId="0" borderId="0" xfId="0" applyFont="1"/>
    <xf numFmtId="0" fontId="8" fillId="0" borderId="0" xfId="0" applyFont="1"/>
    <xf numFmtId="0" fontId="9" fillId="0" borderId="0" xfId="4"/>
    <xf numFmtId="164" fontId="0" fillId="5" borderId="5" xfId="0" applyNumberFormat="1" applyFont="1" applyFill="1" applyBorder="1" applyAlignment="1" applyProtection="1">
      <alignment horizontal="center" vertical="center"/>
      <protection locked="0"/>
    </xf>
    <xf numFmtId="164" fontId="0" fillId="5" borderId="1" xfId="1" applyNumberFormat="1" applyFont="1" applyFill="1" applyBorder="1" applyAlignment="1" applyProtection="1">
      <protection locked="0"/>
    </xf>
    <xf numFmtId="164" fontId="0" fillId="5" borderId="2" xfId="0" applyNumberFormat="1" applyFont="1" applyFill="1" applyBorder="1" applyAlignment="1" applyProtection="1">
      <alignment horizontal="center" vertical="center"/>
      <protection locked="0"/>
    </xf>
    <xf numFmtId="164" fontId="2" fillId="0" borderId="20" xfId="0" applyNumberFormat="1" applyFont="1" applyFill="1" applyBorder="1" applyAlignment="1" applyProtection="1">
      <alignment horizontal="right" vertical="center" wrapText="1"/>
      <protection locked="0"/>
    </xf>
    <xf numFmtId="0" fontId="12" fillId="0" borderId="0" xfId="0" applyFont="1" applyFill="1" applyAlignment="1" applyProtection="1"/>
    <xf numFmtId="0" fontId="3" fillId="0" borderId="0" xfId="0" applyFont="1" applyFill="1" applyAlignment="1" applyProtection="1"/>
    <xf numFmtId="0" fontId="3" fillId="0" borderId="7" xfId="0" applyFont="1" applyFill="1" applyBorder="1" applyAlignment="1" applyProtection="1"/>
    <xf numFmtId="0" fontId="2" fillId="0" borderId="18" xfId="0" applyFont="1" applyFill="1" applyBorder="1" applyAlignment="1" applyProtection="1">
      <alignment horizontal="right" vertical="center"/>
    </xf>
    <xf numFmtId="0" fontId="0" fillId="0" borderId="0" xfId="0" applyFill="1" applyProtection="1"/>
    <xf numFmtId="0" fontId="0" fillId="0" borderId="0" xfId="0" applyFill="1" applyAlignment="1" applyProtection="1">
      <alignment horizontal="center"/>
    </xf>
    <xf numFmtId="0" fontId="0" fillId="0" borderId="0" xfId="0" applyFill="1" applyAlignment="1" applyProtection="1"/>
    <xf numFmtId="0" fontId="0" fillId="0" borderId="0" xfId="0" applyFill="1" applyBorder="1" applyAlignment="1" applyProtection="1">
      <alignment wrapText="1"/>
    </xf>
    <xf numFmtId="0" fontId="3" fillId="0" borderId="25" xfId="0" applyFont="1" applyFill="1" applyBorder="1" applyAlignment="1" applyProtection="1"/>
    <xf numFmtId="0" fontId="2" fillId="0" borderId="26" xfId="0" applyFont="1" applyFill="1" applyBorder="1" applyAlignment="1" applyProtection="1">
      <alignment horizontal="right" vertical="center"/>
    </xf>
    <xf numFmtId="164" fontId="2" fillId="0" borderId="24" xfId="0" applyNumberFormat="1" applyFont="1" applyFill="1" applyBorder="1" applyAlignment="1" applyProtection="1">
      <alignment horizontal="right" vertical="center" wrapText="1"/>
    </xf>
    <xf numFmtId="0" fontId="3" fillId="0" borderId="11" xfId="0" applyFont="1" applyFill="1" applyBorder="1" applyAlignment="1" applyProtection="1"/>
    <xf numFmtId="164" fontId="2" fillId="0" borderId="22" xfId="0" applyNumberFormat="1" applyFont="1" applyFill="1" applyBorder="1" applyAlignment="1" applyProtection="1">
      <alignment horizontal="right" vertical="center"/>
    </xf>
    <xf numFmtId="6" fontId="2" fillId="6" borderId="23" xfId="0" applyNumberFormat="1" applyFont="1" applyFill="1" applyBorder="1" applyAlignment="1" applyProtection="1"/>
    <xf numFmtId="0" fontId="0" fillId="0" borderId="0" xfId="0" applyFill="1" applyBorder="1" applyAlignment="1" applyProtection="1">
      <alignment horizontal="center"/>
    </xf>
    <xf numFmtId="0" fontId="0" fillId="0" borderId="0" xfId="0" applyFill="1" applyAlignment="1" applyProtection="1">
      <alignment wrapText="1"/>
    </xf>
    <xf numFmtId="0" fontId="2" fillId="0" borderId="0" xfId="0" applyFont="1" applyFill="1" applyAlignment="1" applyProtection="1"/>
    <xf numFmtId="1" fontId="0" fillId="0" borderId="0" xfId="0" applyNumberFormat="1" applyFill="1" applyAlignment="1" applyProtection="1"/>
    <xf numFmtId="2" fontId="0" fillId="0" borderId="0" xfId="0" applyNumberFormat="1" applyFill="1" applyAlignment="1" applyProtection="1"/>
    <xf numFmtId="0" fontId="2" fillId="2" borderId="1" xfId="0" applyFont="1" applyFill="1" applyBorder="1" applyAlignment="1" applyProtection="1">
      <alignment horizontal="center" wrapText="1"/>
    </xf>
    <xf numFmtId="0" fontId="0" fillId="4" borderId="1" xfId="0" applyFont="1" applyFill="1" applyBorder="1" applyAlignment="1" applyProtection="1">
      <alignment horizontal="center" textRotation="90"/>
    </xf>
    <xf numFmtId="0" fontId="0" fillId="0" borderId="1" xfId="0" applyBorder="1" applyAlignment="1" applyProtection="1">
      <alignment vertical="top"/>
    </xf>
    <xf numFmtId="0" fontId="0" fillId="0" borderId="1" xfId="0" applyBorder="1" applyAlignment="1" applyProtection="1">
      <alignment vertical="top" wrapText="1"/>
    </xf>
    <xf numFmtId="0" fontId="0" fillId="0" borderId="1" xfId="0" applyBorder="1" applyAlignment="1" applyProtection="1">
      <alignment horizontal="center"/>
    </xf>
    <xf numFmtId="164" fontId="0" fillId="0" borderId="1" xfId="1" applyNumberFormat="1" applyFont="1" applyBorder="1" applyAlignment="1" applyProtection="1"/>
    <xf numFmtId="9" fontId="0" fillId="0" borderId="1" xfId="3" applyFont="1" applyBorder="1" applyAlignment="1" applyProtection="1">
      <alignment horizontal="center"/>
    </xf>
    <xf numFmtId="0" fontId="0" fillId="0" borderId="1" xfId="0" applyBorder="1" applyAlignment="1" applyProtection="1">
      <alignment horizontal="right"/>
    </xf>
    <xf numFmtId="164" fontId="0" fillId="0" borderId="1" xfId="0" applyNumberFormat="1" applyBorder="1" applyAlignment="1" applyProtection="1"/>
    <xf numFmtId="0" fontId="0" fillId="0" borderId="1" xfId="0" applyBorder="1" applyAlignment="1" applyProtection="1"/>
    <xf numFmtId="0" fontId="0" fillId="0" borderId="1" xfId="0" applyBorder="1" applyAlignment="1" applyProtection="1">
      <alignment horizontal="right" wrapText="1"/>
    </xf>
    <xf numFmtId="0" fontId="0" fillId="0" borderId="0" xfId="0" applyProtection="1"/>
    <xf numFmtId="165" fontId="0" fillId="0" borderId="0" xfId="1" applyNumberFormat="1" applyFont="1" applyProtection="1"/>
    <xf numFmtId="9" fontId="0" fillId="0" borderId="0" xfId="3" applyFont="1" applyProtection="1"/>
    <xf numFmtId="44" fontId="0" fillId="0" borderId="0" xfId="0" applyNumberFormat="1" applyProtection="1"/>
    <xf numFmtId="0" fontId="3" fillId="0" borderId="18" xfId="0" applyFont="1" applyFill="1" applyBorder="1" applyAlignment="1" applyProtection="1"/>
    <xf numFmtId="0" fontId="10" fillId="0" borderId="0" xfId="0" applyFont="1" applyFill="1" applyAlignment="1" applyProtection="1"/>
    <xf numFmtId="0" fontId="10" fillId="0" borderId="25" xfId="0" applyFont="1" applyFill="1" applyBorder="1" applyAlignment="1" applyProtection="1"/>
    <xf numFmtId="0" fontId="10" fillId="0" borderId="26" xfId="0" applyFont="1" applyFill="1" applyBorder="1" applyAlignment="1" applyProtection="1"/>
    <xf numFmtId="166" fontId="2" fillId="0" borderId="24" xfId="5" applyNumberFormat="1" applyFont="1" applyFill="1" applyBorder="1" applyAlignment="1" applyProtection="1">
      <alignment horizontal="right" vertical="center"/>
    </xf>
    <xf numFmtId="0" fontId="11" fillId="0" borderId="0" xfId="0" applyFont="1" applyFill="1" applyProtection="1"/>
    <xf numFmtId="0" fontId="11" fillId="0" borderId="0" xfId="0" applyFont="1" applyFill="1" applyAlignment="1" applyProtection="1">
      <alignment horizontal="center"/>
    </xf>
    <xf numFmtId="0" fontId="11" fillId="0" borderId="0" xfId="0" applyFont="1" applyFill="1" applyAlignment="1" applyProtection="1"/>
    <xf numFmtId="0" fontId="10" fillId="0" borderId="11" xfId="0" applyFont="1" applyFill="1" applyBorder="1" applyAlignment="1" applyProtection="1"/>
    <xf numFmtId="0" fontId="10" fillId="0" borderId="22" xfId="0" applyFont="1" applyFill="1" applyBorder="1" applyAlignment="1" applyProtection="1"/>
    <xf numFmtId="0" fontId="2" fillId="0" borderId="22" xfId="0" applyFont="1" applyFill="1" applyBorder="1" applyAlignment="1" applyProtection="1">
      <alignment horizontal="right" vertical="center"/>
    </xf>
    <xf numFmtId="166" fontId="2" fillId="6" borderId="23" xfId="5" applyNumberFormat="1" applyFont="1" applyFill="1" applyBorder="1" applyAlignment="1" applyProtection="1">
      <alignment horizontal="right" vertical="center"/>
    </xf>
    <xf numFmtId="0" fontId="0" fillId="0" borderId="1" xfId="0" applyFont="1" applyFill="1" applyBorder="1" applyAlignment="1" applyProtection="1">
      <alignment horizontal="center"/>
    </xf>
    <xf numFmtId="165" fontId="1" fillId="0" borderId="1" xfId="1" applyNumberFormat="1" applyFont="1" applyFill="1" applyBorder="1" applyAlignment="1" applyProtection="1">
      <alignment vertical="top" wrapText="1"/>
    </xf>
    <xf numFmtId="0" fontId="0" fillId="0" borderId="3" xfId="0" applyFont="1" applyFill="1" applyBorder="1" applyAlignment="1" applyProtection="1">
      <alignment horizontal="center"/>
    </xf>
    <xf numFmtId="0" fontId="0" fillId="0" borderId="21"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165" fontId="2" fillId="0" borderId="0" xfId="1" applyNumberFormat="1" applyFont="1" applyFill="1" applyBorder="1" applyAlignment="1" applyProtection="1">
      <alignment horizontal="right" vertical="top" wrapText="1"/>
    </xf>
    <xf numFmtId="165" fontId="0" fillId="0" borderId="0" xfId="1" applyNumberFormat="1" applyFont="1" applyFill="1" applyBorder="1" applyAlignment="1" applyProtection="1">
      <alignment horizontal="right" vertical="top" wrapText="1"/>
    </xf>
    <xf numFmtId="9" fontId="2" fillId="0" borderId="0" xfId="3" applyFont="1" applyFill="1" applyBorder="1" applyAlignment="1" applyProtection="1">
      <alignment vertical="top" wrapText="1"/>
    </xf>
    <xf numFmtId="0" fontId="0" fillId="0" borderId="0" xfId="0" applyFill="1" applyAlignment="1" applyProtection="1">
      <alignment vertical="top"/>
    </xf>
    <xf numFmtId="165" fontId="0" fillId="0" borderId="0" xfId="0" applyNumberFormat="1" applyFill="1" applyAlignment="1" applyProtection="1">
      <alignment vertical="top"/>
    </xf>
    <xf numFmtId="165" fontId="2" fillId="0" borderId="0" xfId="1" applyNumberFormat="1" applyFont="1" applyFill="1" applyBorder="1" applyAlignment="1" applyProtection="1">
      <alignment vertical="top" wrapText="1"/>
    </xf>
    <xf numFmtId="0" fontId="6" fillId="0" borderId="7" xfId="0" applyFont="1" applyFill="1" applyBorder="1" applyAlignment="1" applyProtection="1">
      <alignment horizontal="left" vertical="top" wrapText="1"/>
    </xf>
    <xf numFmtId="0" fontId="7" fillId="0" borderId="18" xfId="0" applyFont="1" applyFill="1" applyBorder="1" applyAlignment="1" applyProtection="1">
      <alignment horizontal="center" wrapText="1"/>
    </xf>
    <xf numFmtId="0" fontId="7" fillId="0" borderId="20" xfId="0" applyFont="1" applyFill="1" applyBorder="1" applyAlignment="1" applyProtection="1">
      <alignment horizontal="center" wrapText="1"/>
    </xf>
    <xf numFmtId="0" fontId="6" fillId="0" borderId="16" xfId="0" applyFont="1" applyFill="1" applyBorder="1" applyAlignment="1" applyProtection="1">
      <alignment horizontal="left" vertical="top" wrapText="1"/>
    </xf>
    <xf numFmtId="0" fontId="2" fillId="0" borderId="16" xfId="0" applyFont="1" applyFill="1" applyBorder="1" applyAlignment="1" applyProtection="1">
      <alignment horizontal="center" vertical="center"/>
    </xf>
    <xf numFmtId="0" fontId="5" fillId="0" borderId="7" xfId="2" applyFont="1" applyBorder="1" applyAlignment="1" applyProtection="1">
      <alignment horizontal="left" vertical="top"/>
    </xf>
    <xf numFmtId="0" fontId="2" fillId="0" borderId="13" xfId="0" applyFont="1" applyBorder="1" applyAlignment="1" applyProtection="1">
      <alignment horizontal="center"/>
    </xf>
    <xf numFmtId="1" fontId="2" fillId="0" borderId="17" xfId="0" applyNumberFormat="1" applyFont="1" applyFill="1" applyBorder="1" applyAlignment="1" applyProtection="1">
      <alignment horizontal="center"/>
    </xf>
    <xf numFmtId="0" fontId="2" fillId="0" borderId="1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5" fillId="0" borderId="9" xfId="2" applyFont="1" applyBorder="1" applyAlignment="1" applyProtection="1">
      <alignment horizontal="left" vertical="top"/>
    </xf>
    <xf numFmtId="0" fontId="2" fillId="0" borderId="14" xfId="0" applyFont="1" applyBorder="1" applyAlignment="1" applyProtection="1">
      <alignment horizontal="center"/>
    </xf>
    <xf numFmtId="1" fontId="2" fillId="0" borderId="6" xfId="0" applyNumberFormat="1" applyFont="1" applyFill="1" applyBorder="1" applyAlignment="1" applyProtection="1">
      <alignment horizontal="center"/>
    </xf>
    <xf numFmtId="0" fontId="2" fillId="0" borderId="6"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5" fillId="0" borderId="9" xfId="2" applyFont="1" applyFill="1" applyBorder="1" applyAlignment="1" applyProtection="1">
      <alignment horizontal="left" vertical="top"/>
    </xf>
    <xf numFmtId="1" fontId="2" fillId="0" borderId="14" xfId="0" applyNumberFormat="1" applyFont="1" applyBorder="1" applyAlignment="1" applyProtection="1">
      <alignment horizontal="center"/>
    </xf>
    <xf numFmtId="0" fontId="5" fillId="0" borderId="11" xfId="2" applyFont="1" applyBorder="1" applyAlignment="1" applyProtection="1">
      <alignment horizontal="left" vertical="top"/>
    </xf>
    <xf numFmtId="0" fontId="2" fillId="0" borderId="15" xfId="0" applyFont="1" applyBorder="1" applyAlignment="1" applyProtection="1">
      <alignment horizontal="center"/>
    </xf>
    <xf numFmtId="1" fontId="2" fillId="0" borderId="19" xfId="0" applyNumberFormat="1" applyFont="1" applyFill="1" applyBorder="1" applyAlignment="1" applyProtection="1">
      <alignment horizontal="center"/>
    </xf>
    <xf numFmtId="0" fontId="2" fillId="0" borderId="19"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9" fillId="0" borderId="0" xfId="4" applyFill="1" applyProtection="1"/>
    <xf numFmtId="0" fontId="0" fillId="0" borderId="0" xfId="0" applyFill="1" applyBorder="1" applyAlignment="1" applyProtection="1">
      <alignment horizontal="left" vertical="top"/>
    </xf>
    <xf numFmtId="166" fontId="2" fillId="0" borderId="20" xfId="5" applyNumberFormat="1" applyFont="1" applyFill="1" applyBorder="1" applyAlignment="1" applyProtection="1">
      <alignment horizontal="right" vertical="center"/>
      <protection locked="0"/>
    </xf>
    <xf numFmtId="0" fontId="2" fillId="3" borderId="0" xfId="0" applyFont="1" applyFill="1" applyBorder="1" applyAlignment="1">
      <alignment horizontal="center"/>
    </xf>
    <xf numFmtId="0" fontId="2" fillId="0" borderId="0" xfId="0" applyFont="1" applyBorder="1" applyAlignment="1">
      <alignment horizontal="center"/>
    </xf>
    <xf numFmtId="0" fontId="0" fillId="0" borderId="0" xfId="0" applyFont="1" applyBorder="1"/>
    <xf numFmtId="0" fontId="2" fillId="7" borderId="0" xfId="0" applyFont="1" applyFill="1" applyAlignment="1">
      <alignment horizontal="center"/>
    </xf>
    <xf numFmtId="0" fontId="0" fillId="0" borderId="0" xfId="0" applyFont="1"/>
    <xf numFmtId="0" fontId="0" fillId="8" borderId="27" xfId="0" applyFont="1" applyFill="1" applyBorder="1"/>
    <xf numFmtId="0" fontId="0" fillId="0" borderId="27" xfId="0" applyFont="1" applyBorder="1"/>
    <xf numFmtId="0" fontId="0" fillId="0" borderId="1" xfId="0" applyFont="1" applyFill="1" applyBorder="1" applyAlignment="1" applyProtection="1">
      <alignment horizontal="left" vertical="top" wrapText="1"/>
    </xf>
    <xf numFmtId="0" fontId="0" fillId="0" borderId="1" xfId="0" applyFont="1" applyFill="1" applyBorder="1" applyAlignment="1" applyProtection="1">
      <alignment vertical="top" wrapText="1"/>
    </xf>
    <xf numFmtId="164" fontId="1" fillId="0" borderId="1" xfId="1" applyNumberFormat="1" applyFont="1" applyFill="1" applyBorder="1" applyAlignment="1" applyProtection="1">
      <alignment horizontal="right" vertical="top" wrapText="1"/>
    </xf>
    <xf numFmtId="164" fontId="2" fillId="0" borderId="1" xfId="0" applyNumberFormat="1" applyFont="1" applyFill="1" applyBorder="1" applyAlignment="1" applyProtection="1">
      <alignment horizontal="right" vertical="top"/>
    </xf>
    <xf numFmtId="164" fontId="1" fillId="5" borderId="1" xfId="1" applyNumberFormat="1" applyFont="1" applyFill="1" applyBorder="1" applyAlignment="1" applyProtection="1">
      <alignment horizontal="right" vertical="top" wrapText="1"/>
      <protection locked="0"/>
    </xf>
    <xf numFmtId="164" fontId="0" fillId="0" borderId="1" xfId="0" applyNumberFormat="1" applyFont="1" applyFill="1" applyBorder="1" applyAlignment="1" applyProtection="1">
      <alignment horizontal="right" vertical="top"/>
    </xf>
    <xf numFmtId="9" fontId="1" fillId="0" borderId="1" xfId="3" applyFont="1" applyFill="1" applyBorder="1" applyAlignment="1" applyProtection="1">
      <alignment vertical="top" wrapText="1"/>
    </xf>
    <xf numFmtId="0" fontId="0" fillId="0" borderId="1" xfId="0" applyFont="1" applyFill="1" applyBorder="1" applyAlignment="1" applyProtection="1">
      <alignment horizontal="right" vertical="top"/>
    </xf>
    <xf numFmtId="164" fontId="0" fillId="0" borderId="1" xfId="0" applyNumberFormat="1" applyFont="1" applyFill="1" applyBorder="1" applyAlignment="1" applyProtection="1">
      <alignment vertical="top"/>
    </xf>
    <xf numFmtId="165" fontId="1" fillId="0" borderId="1" xfId="1" applyNumberFormat="1" applyFont="1" applyFill="1" applyBorder="1" applyAlignment="1" applyProtection="1">
      <alignment horizontal="center" vertical="top" wrapText="1"/>
    </xf>
    <xf numFmtId="9" fontId="1" fillId="0" borderId="1" xfId="3" applyFont="1" applyFill="1" applyBorder="1" applyAlignment="1" applyProtection="1">
      <alignment horizontal="center" vertical="top" wrapText="1"/>
    </xf>
    <xf numFmtId="0" fontId="0" fillId="0" borderId="1" xfId="0" applyFont="1" applyFill="1" applyBorder="1" applyAlignment="1" applyProtection="1">
      <alignment vertical="top"/>
    </xf>
    <xf numFmtId="0" fontId="2" fillId="3" borderId="1" xfId="0" applyFont="1" applyFill="1" applyBorder="1" applyAlignment="1" applyProtection="1">
      <alignment horizontal="center" textRotation="90" wrapText="1"/>
    </xf>
    <xf numFmtId="2" fontId="2" fillId="3" borderId="1" xfId="0" applyNumberFormat="1" applyFont="1" applyFill="1" applyBorder="1" applyAlignment="1" applyProtection="1">
      <alignment horizontal="center" textRotation="90" wrapText="1"/>
    </xf>
    <xf numFmtId="1" fontId="2" fillId="3" borderId="1" xfId="0" applyNumberFormat="1" applyFont="1" applyFill="1" applyBorder="1" applyAlignment="1" applyProtection="1">
      <alignment horizontal="center" textRotation="90" wrapText="1"/>
    </xf>
    <xf numFmtId="0" fontId="2" fillId="3" borderId="3" xfId="0" applyFont="1" applyFill="1" applyBorder="1" applyAlignment="1" applyProtection="1">
      <alignment horizontal="center"/>
    </xf>
    <xf numFmtId="0" fontId="2" fillId="3" borderId="2" xfId="0" applyFont="1" applyFill="1" applyBorder="1" applyAlignment="1" applyProtection="1">
      <alignment horizontal="center"/>
    </xf>
    <xf numFmtId="0" fontId="2" fillId="4" borderId="1" xfId="0" applyFont="1" applyFill="1" applyBorder="1" applyAlignment="1" applyProtection="1">
      <alignment horizontal="center" wrapText="1"/>
    </xf>
    <xf numFmtId="0" fontId="0" fillId="4" borderId="1" xfId="0" applyFont="1" applyFill="1" applyBorder="1" applyAlignment="1" applyProtection="1">
      <alignment horizontal="center" textRotation="90"/>
    </xf>
    <xf numFmtId="0" fontId="2" fillId="2" borderId="1" xfId="0" applyFont="1" applyFill="1" applyBorder="1" applyAlignment="1" applyProtection="1">
      <alignment horizontal="center" wrapText="1"/>
    </xf>
    <xf numFmtId="0" fontId="0" fillId="2" borderId="1" xfId="0" applyFill="1" applyBorder="1" applyAlignment="1" applyProtection="1">
      <alignment horizontal="center" wrapText="1"/>
    </xf>
    <xf numFmtId="0" fontId="2" fillId="3" borderId="1" xfId="0" applyFont="1" applyFill="1" applyBorder="1" applyAlignment="1" applyProtection="1">
      <alignment horizontal="center" wrapText="1"/>
    </xf>
    <xf numFmtId="0" fontId="2" fillId="2" borderId="4" xfId="0" applyFont="1" applyFill="1" applyBorder="1" applyAlignment="1" applyProtection="1">
      <alignment horizontal="center" wrapText="1"/>
    </xf>
    <xf numFmtId="0" fontId="2" fillId="2" borderId="1" xfId="0" applyFont="1" applyFill="1" applyBorder="1" applyAlignment="1" applyProtection="1">
      <alignment horizontal="left" wrapText="1"/>
    </xf>
    <xf numFmtId="0" fontId="13" fillId="0" borderId="0" xfId="0" applyFont="1" applyFill="1" applyAlignment="1" applyProtection="1">
      <alignment vertical="top" wrapText="1"/>
    </xf>
    <xf numFmtId="0" fontId="13" fillId="0" borderId="26" xfId="0" applyFont="1" applyFill="1" applyBorder="1" applyAlignment="1" applyProtection="1">
      <alignment vertical="top" wrapText="1"/>
    </xf>
    <xf numFmtId="0" fontId="13" fillId="0" borderId="0" xfId="0" applyFont="1" applyFill="1" applyAlignment="1" applyProtection="1">
      <alignment horizontal="left" vertical="top" wrapText="1"/>
    </xf>
    <xf numFmtId="0" fontId="13" fillId="0" borderId="26" xfId="0" applyFont="1" applyFill="1" applyBorder="1" applyAlignment="1" applyProtection="1">
      <alignment horizontal="left" vertical="top" wrapText="1"/>
    </xf>
  </cellXfs>
  <cellStyles count="6">
    <cellStyle name="Comma" xfId="5" builtinId="3"/>
    <cellStyle name="Currency" xfId="1" builtinId="4"/>
    <cellStyle name="Hyperlink" xfId="4" builtinId="8"/>
    <cellStyle name="Normal" xfId="0" builtinId="0"/>
    <cellStyle name="Normal 2 2" xfId="2" xr:uid="{00000000-0005-0000-0000-000004000000}"/>
    <cellStyle name="Percent" xfId="3" builtinId="5"/>
  </cellStyles>
  <dxfs count="0"/>
  <tableStyles count="0" defaultTableStyle="TableStyleMedium2" defaultPivotStyle="PivotStyleLight16"/>
  <colors>
    <mruColors>
      <color rgb="FFFFFF99"/>
      <color rgb="FF92CDDC"/>
      <color rgb="FF75F5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Acquisition_Scoring_DB_2018 Cycle.accdb" connectionId="1" xr16:uid="{00000000-0016-0000-0300-000000000000}" autoFormatId="16" applyNumberFormats="0" applyBorderFormats="0" applyFontFormats="0" applyPatternFormats="0" applyAlignmentFormats="0" applyWidthHeightFormats="0">
  <queryTableRefresh nextId="23">
    <queryTableFields count="21">
      <queryTableField id="1" name="Application ID" tableColumnId="1"/>
      <queryTableField id="2" name="Project Name" tableColumnId="2"/>
      <queryTableField id="3" name="TotalPoints" tableColumnId="3"/>
      <queryTableField id="4" name="NGReq" tableColumnId="4"/>
      <queryTableField id="5" name="NGMatch" tableColumnId="5"/>
      <queryTableField id="6" name="NGTotal" tableColumnId="6"/>
      <queryTableField id="7" name="County" tableColumnId="7"/>
      <queryTableField id="8" name="Total Project Acres" tableColumnId="8"/>
      <queryTableField id="9" name="Riparian Buffers" tableColumnId="9"/>
      <queryTableField id="10" name="Greenways" tableColumnId="10"/>
      <queryTableField id="11" name="Natural Heritage" tableColumnId="11"/>
      <queryTableField id="12" name="HistoricCultural" tableColumnId="12"/>
      <queryTableField id="19" name="tblProjectSummary_MilitaryBuffers" tableColumnId="19"/>
      <queryTableField id="13" name="Tier" tableColumnId="13"/>
      <queryTableField id="14" name="HometownStrong" tableColumnId="14"/>
      <queryTableField id="15" name="ResPoints" tableColumnId="15"/>
      <queryTableField id="16" name="TotalMatchResPts" tableColumnId="16"/>
      <queryTableField id="17" name="FundingStatusPts" tableColumnId="17"/>
      <queryTableField id="18" name="RecUsePts" tableColumnId="18"/>
      <queryTableField id="21" name="Field Rep" tableColumnId="20"/>
      <queryTableField id="22" name="NonStdReq" tableColumnId="21"/>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Acquisition_Scoring_DB_2018 Cycle.accdb" connectionId="2" xr16:uid="{00000000-0016-0000-0400-000001000000}" autoFormatId="16" applyNumberFormats="0" applyBorderFormats="0" applyFontFormats="0" applyPatternFormats="0" applyAlignmentFormats="0" applyWidthHeightFormats="0">
  <queryTableRefresh nextId="25">
    <queryTableFields count="23">
      <queryTableField id="1" name="Application ID" tableColumnId="1"/>
      <queryTableField id="2" name="Project Name" tableColumnId="2"/>
      <queryTableField id="3" name="TotalPoints" tableColumnId="3"/>
      <queryTableField id="4" name="NGReq" tableColumnId="4"/>
      <queryTableField id="5" name="NGMatch" tableColumnId="5"/>
      <queryTableField id="6" name="NGTotal" tableColumnId="6"/>
      <queryTableField id="7" name="County" tableColumnId="7"/>
      <queryTableField id="8" name="Total Project Acres" tableColumnId="8"/>
      <queryTableField id="9" name="Riparian Buffers" tableColumnId="9"/>
      <queryTableField id="10" name="Greenways" tableColumnId="10"/>
      <queryTableField id="11" name="Natural Heritage" tableColumnId="11"/>
      <queryTableField id="12" name="HistoricCultural" tableColumnId="12"/>
      <queryTableField id="21" name="tblProjectSummary_MilitaryBuffers" tableColumnId="21"/>
      <queryTableField id="13" name="Tier" tableColumnId="13"/>
      <queryTableField id="14" name="HometownStrong" tableColumnId="14"/>
      <queryTableField id="15" name="ResPoints" tableColumnId="15"/>
      <queryTableField id="16" name="TotalMatchResPts" tableColumnId="16"/>
      <queryTableField id="17" name="FundingStatusPts" tableColumnId="17"/>
      <queryTableField id="18" name="RecUsePts" tableColumnId="18"/>
      <queryTableField id="19" name="MilBufPts" tableColumnId="19"/>
      <queryTableField id="20" name="ProjectT_MilitaryBuffers" tableColumnId="20"/>
      <queryTableField id="23" name="Field Rep" tableColumnId="22"/>
      <queryTableField id="24" name="NonStdReq" tableColumnId="2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Acquisition_Scoring_DB_2018_Cycle.accdb" displayName="Table_Acquisition_Scoring_DB_2018_Cycle.accdb" ref="A4:U84" tableType="queryTable" totalsRowShown="0">
  <autoFilter ref="A4:U84" xr:uid="{00000000-0009-0000-0100-000001000000}"/>
  <sortState ref="A5:U84">
    <sortCondition descending="1" ref="C5:C84"/>
    <sortCondition descending="1" ref="P5:P84"/>
    <sortCondition descending="1" ref="Q5:Q84"/>
    <sortCondition descending="1" ref="R5:R84"/>
    <sortCondition descending="1" ref="S5:S84"/>
  </sortState>
  <tableColumns count="21">
    <tableColumn id="1" xr3:uid="{00000000-0010-0000-0000-000001000000}" uniqueName="1" name="Application ID" queryTableFieldId="1"/>
    <tableColumn id="2" xr3:uid="{00000000-0010-0000-0000-000002000000}" uniqueName="2" name="Project Name" queryTableFieldId="2"/>
    <tableColumn id="3" xr3:uid="{00000000-0010-0000-0000-000003000000}" uniqueName="3" name="TotalPoints" queryTableFieldId="3"/>
    <tableColumn id="4" xr3:uid="{00000000-0010-0000-0000-000004000000}" uniqueName="4" name="NGReq" queryTableFieldId="4"/>
    <tableColumn id="5" xr3:uid="{00000000-0010-0000-0000-000005000000}" uniqueName="5" name="NGMatch" queryTableFieldId="5"/>
    <tableColumn id="6" xr3:uid="{00000000-0010-0000-0000-000006000000}" uniqueName="6" name="NGTotal" queryTableFieldId="6"/>
    <tableColumn id="7" xr3:uid="{00000000-0010-0000-0000-000007000000}" uniqueName="7" name="County" queryTableFieldId="7"/>
    <tableColumn id="8" xr3:uid="{00000000-0010-0000-0000-000008000000}" uniqueName="8" name="Total Project Acres" queryTableFieldId="8"/>
    <tableColumn id="9" xr3:uid="{00000000-0010-0000-0000-000009000000}" uniqueName="9" name="Riparian Buffers" queryTableFieldId="9"/>
    <tableColumn id="10" xr3:uid="{00000000-0010-0000-0000-00000A000000}" uniqueName="10" name="Greenways" queryTableFieldId="10"/>
    <tableColumn id="11" xr3:uid="{00000000-0010-0000-0000-00000B000000}" uniqueName="11" name="Natural Heritage" queryTableFieldId="11"/>
    <tableColumn id="12" xr3:uid="{00000000-0010-0000-0000-00000C000000}" uniqueName="12" name="HistoricCultural" queryTableFieldId="12"/>
    <tableColumn id="19" xr3:uid="{00000000-0010-0000-0000-000013000000}" uniqueName="19" name="tblProjectSummary_MilitaryBuffers" queryTableFieldId="19"/>
    <tableColumn id="13" xr3:uid="{00000000-0010-0000-0000-00000D000000}" uniqueName="13" name="Tier" queryTableFieldId="13"/>
    <tableColumn id="14" xr3:uid="{00000000-0010-0000-0000-00000E000000}" uniqueName="14" name="HometownStrong" queryTableFieldId="14"/>
    <tableColumn id="15" xr3:uid="{00000000-0010-0000-0000-00000F000000}" uniqueName="15" name="ResPoints" queryTableFieldId="15"/>
    <tableColumn id="16" xr3:uid="{00000000-0010-0000-0000-000010000000}" uniqueName="16" name="TotalMatchResPts" queryTableFieldId="16"/>
    <tableColumn id="17" xr3:uid="{00000000-0010-0000-0000-000011000000}" uniqueName="17" name="FundingStatusPts" queryTableFieldId="17"/>
    <tableColumn id="18" xr3:uid="{00000000-0010-0000-0000-000012000000}" uniqueName="18" name="RecUsePts" queryTableFieldId="18"/>
    <tableColumn id="20" xr3:uid="{00000000-0010-0000-0000-000014000000}" uniqueName="20" name="Field Rep" queryTableFieldId="21"/>
    <tableColumn id="21" xr3:uid="{00000000-0010-0000-0000-000015000000}" uniqueName="21" name="NonStdReq" queryTableField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Acquisition_Scoring_DB_2018_Cycle.accdb3" displayName="Table_Acquisition_Scoring_DB_2018_Cycle.accdb3" ref="A3:W9" tableType="queryTable" totalsRowShown="0">
  <autoFilter ref="A3:W9" xr:uid="{00000000-0009-0000-0100-000002000000}"/>
  <tableColumns count="23">
    <tableColumn id="1" xr3:uid="{00000000-0010-0000-0100-000001000000}" uniqueName="1" name="Application ID" queryTableFieldId="1"/>
    <tableColumn id="2" xr3:uid="{00000000-0010-0000-0100-000002000000}" uniqueName="2" name="Project Name" queryTableFieldId="2"/>
    <tableColumn id="3" xr3:uid="{00000000-0010-0000-0100-000003000000}" uniqueName="3" name="TotalPoints" queryTableFieldId="3"/>
    <tableColumn id="4" xr3:uid="{00000000-0010-0000-0100-000004000000}" uniqueName="4" name="NGReq" queryTableFieldId="4"/>
    <tableColumn id="5" xr3:uid="{00000000-0010-0000-0100-000005000000}" uniqueName="5" name="NGMatch" queryTableFieldId="5"/>
    <tableColumn id="6" xr3:uid="{00000000-0010-0000-0100-000006000000}" uniqueName="6" name="NGTotal" queryTableFieldId="6"/>
    <tableColumn id="7" xr3:uid="{00000000-0010-0000-0100-000007000000}" uniqueName="7" name="County" queryTableFieldId="7"/>
    <tableColumn id="8" xr3:uid="{00000000-0010-0000-0100-000008000000}" uniqueName="8" name="Total Project Acres" queryTableFieldId="8"/>
    <tableColumn id="9" xr3:uid="{00000000-0010-0000-0100-000009000000}" uniqueName="9" name="Riparian Buffers" queryTableFieldId="9"/>
    <tableColumn id="10" xr3:uid="{00000000-0010-0000-0100-00000A000000}" uniqueName="10" name="Greenways" queryTableFieldId="10"/>
    <tableColumn id="11" xr3:uid="{00000000-0010-0000-0100-00000B000000}" uniqueName="11" name="Natural Heritage" queryTableFieldId="11"/>
    <tableColumn id="12" xr3:uid="{00000000-0010-0000-0100-00000C000000}" uniqueName="12" name="HistoricCultural" queryTableFieldId="12"/>
    <tableColumn id="21" xr3:uid="{00000000-0010-0000-0100-000015000000}" uniqueName="21" name="tblProjectSummary_MilitaryBuffers" queryTableFieldId="21"/>
    <tableColumn id="13" xr3:uid="{00000000-0010-0000-0100-00000D000000}" uniqueName="13" name="Tier" queryTableFieldId="13"/>
    <tableColumn id="14" xr3:uid="{00000000-0010-0000-0100-00000E000000}" uniqueName="14" name="HometownStrong" queryTableFieldId="14"/>
    <tableColumn id="15" xr3:uid="{00000000-0010-0000-0100-00000F000000}" uniqueName="15" name="ResPoints" queryTableFieldId="15"/>
    <tableColumn id="16" xr3:uid="{00000000-0010-0000-0100-000010000000}" uniqueName="16" name="TotalMatchResPts" queryTableFieldId="16"/>
    <tableColumn id="17" xr3:uid="{00000000-0010-0000-0100-000011000000}" uniqueName="17" name="FundingStatusPts" queryTableFieldId="17"/>
    <tableColumn id="18" xr3:uid="{00000000-0010-0000-0100-000012000000}" uniqueName="18" name="RecUsePts" queryTableFieldId="18"/>
    <tableColumn id="19" xr3:uid="{00000000-0010-0000-0100-000013000000}" uniqueName="19" name="MilBufPts" queryTableFieldId="19"/>
    <tableColumn id="20" xr3:uid="{00000000-0010-0000-0100-000014000000}" uniqueName="20" name="ProjectT_MilitaryBuffers" queryTableFieldId="20"/>
    <tableColumn id="22" xr3:uid="{00000000-0010-0000-0100-000016000000}" uniqueName="22" name="Field Rep" queryTableFieldId="23"/>
    <tableColumn id="23" xr3:uid="{00000000-0010-0000-0100-000017000000}" uniqueName="23" name="NonStdReq" queryTableFieldId="2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70"/>
  <sheetViews>
    <sheetView tabSelected="1" zoomScaleNormal="100" workbookViewId="0">
      <pane xSplit="4" ySplit="6" topLeftCell="E7" activePane="bottomRight" state="frozen"/>
      <selection pane="topRight" activeCell="E1" sqref="E1"/>
      <selection pane="bottomLeft" activeCell="A6" sqref="A6"/>
      <selection pane="bottomRight" activeCell="A2" sqref="A2:C4"/>
    </sheetView>
  </sheetViews>
  <sheetFormatPr defaultColWidth="9.140625" defaultRowHeight="15" x14ac:dyDescent="0.25"/>
  <cols>
    <col min="1" max="1" width="4.42578125" style="22" bestFit="1" customWidth="1"/>
    <col min="2" max="2" width="8.85546875" style="22" bestFit="1" customWidth="1"/>
    <col min="3" max="3" width="45.5703125" style="89" customWidth="1"/>
    <col min="4" max="4" width="6.5703125" style="22" bestFit="1" customWidth="1"/>
    <col min="5" max="5" width="10.5703125" style="22" bestFit="1" customWidth="1"/>
    <col min="6" max="6" width="10.140625" style="22" bestFit="1" customWidth="1"/>
    <col min="7" max="7" width="13.28515625" style="22" bestFit="1" customWidth="1"/>
    <col min="8" max="8" width="16.140625" style="22" customWidth="1"/>
    <col min="9" max="9" width="16.85546875" style="22" hidden="1" customWidth="1"/>
    <col min="10" max="10" width="12.140625" style="22" bestFit="1" customWidth="1"/>
    <col min="11" max="11" width="10.140625" style="22" bestFit="1" customWidth="1"/>
    <col min="12" max="12" width="7.5703125" style="22" customWidth="1"/>
    <col min="13" max="13" width="6.28515625" style="22" customWidth="1"/>
    <col min="14" max="14" width="8.7109375" style="22" customWidth="1"/>
    <col min="15" max="16" width="4.28515625" style="23" customWidth="1"/>
    <col min="17" max="19" width="4.28515625" style="14" customWidth="1"/>
    <col min="20" max="20" width="15.42578125" style="14" bestFit="1" customWidth="1"/>
    <col min="21" max="21" width="11.140625" style="14" customWidth="1"/>
    <col min="22" max="22" width="7.7109375" style="26" customWidth="1"/>
    <col min="23" max="23" width="10.28515625" style="14" customWidth="1"/>
    <col min="24" max="24" width="4.42578125" style="13" customWidth="1"/>
    <col min="25" max="25" width="4.5703125" style="13" customWidth="1"/>
    <col min="26" max="26" width="4.85546875" style="13" customWidth="1"/>
    <col min="27" max="27" width="5" style="13" customWidth="1"/>
    <col min="28" max="28" width="4" style="13" customWidth="1"/>
    <col min="29" max="29" width="12.7109375" style="13" customWidth="1"/>
    <col min="30" max="30" width="14.42578125" style="14" hidden="1" customWidth="1"/>
    <col min="31" max="31" width="17" style="15" customWidth="1"/>
    <col min="32" max="33" width="9.140625" style="12"/>
    <col min="34" max="34" width="11.140625" style="12" bestFit="1" customWidth="1"/>
    <col min="35" max="16384" width="9.140625" style="12"/>
  </cols>
  <sheetData>
    <row r="1" spans="1:31" ht="18" customHeight="1" x14ac:dyDescent="0.35">
      <c r="A1" s="8" t="s">
        <v>561</v>
      </c>
      <c r="C1" s="9"/>
      <c r="D1" s="9"/>
      <c r="E1" s="10"/>
      <c r="F1" s="42"/>
      <c r="G1" s="11" t="s">
        <v>563</v>
      </c>
      <c r="H1" s="90">
        <v>12293645</v>
      </c>
      <c r="J1" s="9"/>
      <c r="K1" s="9"/>
      <c r="L1" s="9"/>
      <c r="M1" s="9"/>
      <c r="N1" s="9"/>
      <c r="O1" s="9"/>
      <c r="P1" s="13"/>
      <c r="Q1" s="13"/>
      <c r="R1" s="13"/>
      <c r="S1" s="13"/>
      <c r="T1" s="13"/>
      <c r="V1" s="12"/>
      <c r="W1" s="12"/>
      <c r="X1" s="12"/>
      <c r="Y1" s="12"/>
      <c r="Z1" s="12"/>
      <c r="AA1" s="12"/>
      <c r="AB1" s="12"/>
      <c r="AC1" s="12"/>
      <c r="AD1" s="12"/>
      <c r="AE1" s="12"/>
    </row>
    <row r="2" spans="1:31" s="47" customFormat="1" ht="22.5" customHeight="1" x14ac:dyDescent="0.25">
      <c r="A2" s="122" t="s">
        <v>696</v>
      </c>
      <c r="B2" s="122"/>
      <c r="C2" s="122"/>
      <c r="D2" s="43"/>
      <c r="E2" s="44"/>
      <c r="F2" s="45"/>
      <c r="G2" s="17" t="s">
        <v>569</v>
      </c>
      <c r="H2" s="46">
        <f>SUM(H7:H78)</f>
        <v>0</v>
      </c>
      <c r="J2" s="43"/>
      <c r="K2" s="43"/>
      <c r="L2" s="43"/>
      <c r="M2" s="43"/>
      <c r="N2" s="43"/>
      <c r="O2" s="43"/>
      <c r="P2" s="48"/>
      <c r="Q2" s="48"/>
      <c r="R2" s="48"/>
      <c r="S2" s="48"/>
      <c r="T2" s="48"/>
      <c r="U2" s="49"/>
    </row>
    <row r="3" spans="1:31" s="47" customFormat="1" ht="22.5" customHeight="1" thickBot="1" x14ac:dyDescent="0.3">
      <c r="A3" s="122"/>
      <c r="B3" s="122"/>
      <c r="C3" s="122"/>
      <c r="D3" s="43"/>
      <c r="E3" s="50"/>
      <c r="F3" s="51"/>
      <c r="G3" s="52" t="s">
        <v>562</v>
      </c>
      <c r="H3" s="53">
        <f>H1-H2</f>
        <v>12293645</v>
      </c>
      <c r="J3" s="43"/>
      <c r="K3" s="43"/>
      <c r="L3" s="43"/>
      <c r="M3" s="43"/>
      <c r="N3" s="43"/>
      <c r="O3" s="43"/>
      <c r="P3" s="48"/>
      <c r="Q3" s="48"/>
      <c r="R3" s="48"/>
      <c r="S3" s="48"/>
      <c r="T3" s="48"/>
      <c r="U3" s="49"/>
    </row>
    <row r="4" spans="1:31" ht="22.5" customHeight="1" x14ac:dyDescent="0.25">
      <c r="A4" s="123"/>
      <c r="B4" s="123"/>
      <c r="C4" s="123"/>
      <c r="D4" s="14"/>
      <c r="E4" s="24" t="s">
        <v>33</v>
      </c>
      <c r="F4" s="6" t="s">
        <v>572</v>
      </c>
      <c r="H4" s="12"/>
      <c r="I4" s="12"/>
      <c r="J4" s="14"/>
      <c r="K4" s="14"/>
      <c r="L4" s="25"/>
      <c r="M4" s="26"/>
      <c r="N4" s="14"/>
      <c r="O4" s="13"/>
      <c r="P4" s="13"/>
      <c r="Q4" s="13"/>
      <c r="R4" s="13"/>
      <c r="S4" s="13"/>
      <c r="T4" s="13"/>
      <c r="V4" s="12"/>
      <c r="W4" s="12"/>
      <c r="X4" s="12"/>
      <c r="Y4" s="12"/>
      <c r="Z4" s="12"/>
      <c r="AA4" s="12"/>
      <c r="AB4" s="12"/>
      <c r="AC4" s="12"/>
      <c r="AD4" s="12"/>
      <c r="AE4" s="12"/>
    </row>
    <row r="5" spans="1:31" s="23" customFormat="1" ht="34.15" customHeight="1" x14ac:dyDescent="0.25">
      <c r="A5" s="117" t="s">
        <v>32</v>
      </c>
      <c r="B5" s="120" t="s">
        <v>15</v>
      </c>
      <c r="C5" s="121" t="s">
        <v>0</v>
      </c>
      <c r="D5" s="117" t="s">
        <v>1</v>
      </c>
      <c r="E5" s="117" t="s">
        <v>16</v>
      </c>
      <c r="F5" s="117" t="s">
        <v>557</v>
      </c>
      <c r="G5" s="117" t="s">
        <v>558</v>
      </c>
      <c r="H5" s="117" t="s">
        <v>17</v>
      </c>
      <c r="I5" s="117" t="s">
        <v>29</v>
      </c>
      <c r="J5" s="119" t="s">
        <v>18</v>
      </c>
      <c r="K5" s="119" t="s">
        <v>19</v>
      </c>
      <c r="L5" s="112" t="s">
        <v>2</v>
      </c>
      <c r="M5" s="111" t="s">
        <v>3</v>
      </c>
      <c r="N5" s="110" t="s">
        <v>4</v>
      </c>
      <c r="O5" s="115" t="s">
        <v>5</v>
      </c>
      <c r="P5" s="115"/>
      <c r="Q5" s="115"/>
      <c r="R5" s="115"/>
      <c r="S5" s="116" t="s">
        <v>6</v>
      </c>
      <c r="T5" s="113" t="s">
        <v>560</v>
      </c>
      <c r="U5" s="113" t="s">
        <v>8</v>
      </c>
    </row>
    <row r="6" spans="1:31" ht="100.5" x14ac:dyDescent="0.25">
      <c r="A6" s="118"/>
      <c r="B6" s="120"/>
      <c r="C6" s="121"/>
      <c r="D6" s="117"/>
      <c r="E6" s="117"/>
      <c r="F6" s="117"/>
      <c r="G6" s="117"/>
      <c r="H6" s="117"/>
      <c r="I6" s="117"/>
      <c r="J6" s="119"/>
      <c r="K6" s="119"/>
      <c r="L6" s="112"/>
      <c r="M6" s="111"/>
      <c r="N6" s="110"/>
      <c r="O6" s="28" t="s">
        <v>9</v>
      </c>
      <c r="P6" s="28" t="s">
        <v>10</v>
      </c>
      <c r="Q6" s="28" t="s">
        <v>11</v>
      </c>
      <c r="R6" s="28" t="s">
        <v>12</v>
      </c>
      <c r="S6" s="116"/>
      <c r="T6" s="114"/>
      <c r="U6" s="114"/>
      <c r="V6" s="12"/>
      <c r="W6" s="12"/>
      <c r="X6" s="12"/>
      <c r="Y6" s="12"/>
      <c r="Z6" s="12"/>
      <c r="AA6" s="12"/>
      <c r="AB6" s="12"/>
      <c r="AC6" s="12"/>
      <c r="AD6" s="12"/>
      <c r="AE6" s="12"/>
    </row>
    <row r="7" spans="1:31" ht="30" x14ac:dyDescent="0.25">
      <c r="A7" s="54">
        <v>1</v>
      </c>
      <c r="B7" s="98" t="str">
        <f>Linked_Table!A5</f>
        <v>2018-072</v>
      </c>
      <c r="C7" s="98" t="str">
        <f>Linked_Table!B5</f>
        <v>The Nature Conservancy - Harrison Tr, Roanoke R</v>
      </c>
      <c r="D7" s="99">
        <f>Linked_Table!C5</f>
        <v>88</v>
      </c>
      <c r="E7" s="100">
        <f>Linked_Table!D5</f>
        <v>375056</v>
      </c>
      <c r="F7" s="100">
        <f t="shared" ref="F7:F38" si="0">IF(E7&lt;$F$4,E7,$F$4)</f>
        <v>375056</v>
      </c>
      <c r="G7" s="101">
        <f>F7</f>
        <v>375056</v>
      </c>
      <c r="H7" s="102"/>
      <c r="I7" s="103">
        <f>H7</f>
        <v>0</v>
      </c>
      <c r="J7" s="100">
        <f>Linked_Table!F5</f>
        <v>1115352</v>
      </c>
      <c r="K7" s="100">
        <f>Linked_Table!E5</f>
        <v>740296</v>
      </c>
      <c r="L7" s="104">
        <f>(K7/J7)</f>
        <v>0.66373306364268858</v>
      </c>
      <c r="M7" s="105" t="str">
        <f>Linked_Table!H5</f>
        <v>1,246</v>
      </c>
      <c r="N7" s="106">
        <f>J7/M7</f>
        <v>895.14606741573039</v>
      </c>
      <c r="O7" s="107" t="str">
        <f>IF(Linked_Table!I5=TRUE,"X","")</f>
        <v>X</v>
      </c>
      <c r="P7" s="107" t="str">
        <f>IF(Linked_Table!J5=TRUE,"X","")</f>
        <v/>
      </c>
      <c r="Q7" s="107" t="str">
        <f>IF(Linked_Table!K5=TRUE,"X","")</f>
        <v>X</v>
      </c>
      <c r="R7" s="107" t="str">
        <f>IF(Linked_Table!L5=TRUE,"X","")</f>
        <v/>
      </c>
      <c r="S7" s="107" t="str">
        <f>IF(Linked_Table!M5=TRUE,"X","")</f>
        <v>X</v>
      </c>
      <c r="T7" s="55" t="str">
        <f>Linked_Table!G5&amp;" ("&amp;Linked_Table!N5&amp;")"</f>
        <v>Washington (1)</v>
      </c>
      <c r="U7" s="55" t="str">
        <f>Linked_Table!T5</f>
        <v>Justin Mercer</v>
      </c>
      <c r="V7" s="12"/>
      <c r="W7" s="12"/>
      <c r="X7" s="12"/>
      <c r="Y7" s="12"/>
      <c r="Z7" s="12"/>
      <c r="AA7" s="12"/>
      <c r="AB7" s="12"/>
      <c r="AC7" s="12"/>
      <c r="AD7" s="12"/>
      <c r="AE7" s="12"/>
    </row>
    <row r="8" spans="1:31" ht="30" x14ac:dyDescent="0.25">
      <c r="A8" s="54">
        <v>2</v>
      </c>
      <c r="B8" s="98" t="str">
        <f>Linked_Table!A6</f>
        <v>2018-045</v>
      </c>
      <c r="C8" s="98" t="str">
        <f>Linked_Table!B6</f>
        <v>NC Coastal Land Trust - Salters Cr Landing</v>
      </c>
      <c r="D8" s="99">
        <f>Linked_Table!C6</f>
        <v>87</v>
      </c>
      <c r="E8" s="100">
        <f>Linked_Table!D6</f>
        <v>1203815</v>
      </c>
      <c r="F8" s="100">
        <f t="shared" si="0"/>
        <v>1203815</v>
      </c>
      <c r="G8" s="101">
        <f>G7+F8</f>
        <v>1578871</v>
      </c>
      <c r="H8" s="102"/>
      <c r="I8" s="103">
        <f t="shared" ref="I8:I69" si="1">I7+H8</f>
        <v>0</v>
      </c>
      <c r="J8" s="100">
        <f>Linked_Table!F6</f>
        <v>4537815</v>
      </c>
      <c r="K8" s="100">
        <f>Linked_Table!E6</f>
        <v>3334000</v>
      </c>
      <c r="L8" s="104">
        <f t="shared" ref="L8:L71" si="2">(K8/J8)</f>
        <v>0.73471483522356029</v>
      </c>
      <c r="M8" s="105" t="str">
        <f>Linked_Table!H6</f>
        <v>5494</v>
      </c>
      <c r="N8" s="106">
        <f t="shared" ref="N8:N71" si="3">J8/M8</f>
        <v>825.95831816527118</v>
      </c>
      <c r="O8" s="107" t="str">
        <f>IF(Linked_Table!I6=TRUE,"X","")</f>
        <v>X</v>
      </c>
      <c r="P8" s="107" t="str">
        <f>IF(Linked_Table!J6=TRUE,"X","")</f>
        <v/>
      </c>
      <c r="Q8" s="107" t="str">
        <f>IF(Linked_Table!K6=TRUE,"X","")</f>
        <v>X</v>
      </c>
      <c r="R8" s="107" t="str">
        <f>IF(Linked_Table!L6=TRUE,"X","")</f>
        <v/>
      </c>
      <c r="S8" s="107" t="str">
        <f>IF(Linked_Table!M6=TRUE,"X","")</f>
        <v>X</v>
      </c>
      <c r="T8" s="55" t="str">
        <f>Linked_Table!G6&amp;" ("&amp;Linked_Table!N6&amp;")"</f>
        <v>Carteret (3)</v>
      </c>
      <c r="U8" s="55" t="str">
        <f>Linked_Table!T6</f>
        <v>Justin Mercer</v>
      </c>
      <c r="V8" s="12"/>
      <c r="W8" s="12"/>
      <c r="X8" s="12"/>
      <c r="Y8" s="12"/>
      <c r="Z8" s="12"/>
      <c r="AA8" s="12"/>
      <c r="AB8" s="12"/>
      <c r="AC8" s="12"/>
      <c r="AD8" s="12"/>
      <c r="AE8" s="12"/>
    </row>
    <row r="9" spans="1:31" ht="30" x14ac:dyDescent="0.25">
      <c r="A9" s="54">
        <v>3</v>
      </c>
      <c r="B9" s="98" t="str">
        <f>Linked_Table!A7</f>
        <v>2018-061</v>
      </c>
      <c r="C9" s="98" t="str">
        <f>Linked_Table!B7</f>
        <v>The Conservation Fund - Deep R</v>
      </c>
      <c r="D9" s="99">
        <f>Linked_Table!C7</f>
        <v>85</v>
      </c>
      <c r="E9" s="100">
        <f>Linked_Table!D7</f>
        <v>840000</v>
      </c>
      <c r="F9" s="100">
        <f t="shared" si="0"/>
        <v>840000</v>
      </c>
      <c r="G9" s="101">
        <f t="shared" ref="G9:G72" si="4">G8+F9</f>
        <v>2418871</v>
      </c>
      <c r="H9" s="102"/>
      <c r="I9" s="103">
        <f t="shared" si="1"/>
        <v>0</v>
      </c>
      <c r="J9" s="100">
        <f>Linked_Table!F7</f>
        <v>3110000</v>
      </c>
      <c r="K9" s="100">
        <f>Linked_Table!E7</f>
        <v>2270000</v>
      </c>
      <c r="L9" s="104">
        <f t="shared" si="2"/>
        <v>0.729903536977492</v>
      </c>
      <c r="M9" s="105" t="str">
        <f>Linked_Table!H7</f>
        <v>877</v>
      </c>
      <c r="N9" s="106">
        <f t="shared" si="3"/>
        <v>3546.1801596351197</v>
      </c>
      <c r="O9" s="107" t="str">
        <f>IF(Linked_Table!I7=TRUE,"X","")</f>
        <v>X</v>
      </c>
      <c r="P9" s="107" t="str">
        <f>IF(Linked_Table!J7=TRUE,"X","")</f>
        <v/>
      </c>
      <c r="Q9" s="107" t="str">
        <f>IF(Linked_Table!K7=TRUE,"X","")</f>
        <v>X</v>
      </c>
      <c r="R9" s="107" t="str">
        <f>IF(Linked_Table!L7=TRUE,"X","")</f>
        <v/>
      </c>
      <c r="S9" s="107" t="str">
        <f>IF(Linked_Table!M7=TRUE,"X","")</f>
        <v/>
      </c>
      <c r="T9" s="55" t="str">
        <f>Linked_Table!G7&amp;" ("&amp;Linked_Table!N7&amp;")"</f>
        <v>Chatham (3)</v>
      </c>
      <c r="U9" s="55" t="str">
        <f>Linked_Table!T7</f>
        <v>Justin Mercer</v>
      </c>
      <c r="V9" s="12"/>
      <c r="W9" s="12"/>
      <c r="X9" s="12"/>
      <c r="Y9" s="12"/>
      <c r="Z9" s="12"/>
      <c r="AA9" s="12"/>
      <c r="AB9" s="12"/>
      <c r="AC9" s="12"/>
      <c r="AD9" s="12"/>
      <c r="AE9" s="12"/>
    </row>
    <row r="10" spans="1:31" ht="30" x14ac:dyDescent="0.25">
      <c r="A10" s="54">
        <v>4</v>
      </c>
      <c r="B10" s="98" t="str">
        <f>Linked_Table!A8</f>
        <v>2018-010</v>
      </c>
      <c r="C10" s="98" t="str">
        <f>Linked_Table!B8</f>
        <v>Conserving Carolina - DuPont Connector, Green R HW NA</v>
      </c>
      <c r="D10" s="99">
        <f>Linked_Table!C8</f>
        <v>85</v>
      </c>
      <c r="E10" s="100">
        <f>Linked_Table!D8</f>
        <v>858900</v>
      </c>
      <c r="F10" s="100">
        <f t="shared" si="0"/>
        <v>858900</v>
      </c>
      <c r="G10" s="101">
        <f t="shared" si="4"/>
        <v>3277771</v>
      </c>
      <c r="H10" s="102"/>
      <c r="I10" s="103">
        <f t="shared" si="1"/>
        <v>0</v>
      </c>
      <c r="J10" s="100">
        <f>Linked_Table!F8</f>
        <v>4519900</v>
      </c>
      <c r="K10" s="100">
        <f>Linked_Table!E8</f>
        <v>3661000</v>
      </c>
      <c r="L10" s="104">
        <f t="shared" si="2"/>
        <v>0.80997367198389347</v>
      </c>
      <c r="M10" s="105" t="str">
        <f>Linked_Table!H8</f>
        <v>736</v>
      </c>
      <c r="N10" s="106">
        <f t="shared" si="3"/>
        <v>6141.16847826087</v>
      </c>
      <c r="O10" s="107" t="str">
        <f>IF(Linked_Table!I8=TRUE,"X","")</f>
        <v>X</v>
      </c>
      <c r="P10" s="107" t="str">
        <f>IF(Linked_Table!J8=TRUE,"X","")</f>
        <v/>
      </c>
      <c r="Q10" s="107" t="str">
        <f>IF(Linked_Table!K8=TRUE,"X","")</f>
        <v>X</v>
      </c>
      <c r="R10" s="107" t="str">
        <f>IF(Linked_Table!L8=TRUE,"X","")</f>
        <v/>
      </c>
      <c r="S10" s="107" t="str">
        <f>IF(Linked_Table!M8=TRUE,"X","")</f>
        <v/>
      </c>
      <c r="T10" s="55" t="str">
        <f>Linked_Table!G8&amp;" ("&amp;Linked_Table!N8&amp;")"</f>
        <v>Henderson (3)</v>
      </c>
      <c r="U10" s="55" t="str">
        <f>Linked_Table!T8</f>
        <v>Damon Hearne</v>
      </c>
      <c r="V10" s="12"/>
      <c r="W10" s="12"/>
      <c r="X10" s="12"/>
      <c r="Y10" s="12"/>
      <c r="Z10" s="12"/>
      <c r="AA10" s="12"/>
      <c r="AB10" s="12"/>
      <c r="AC10" s="12"/>
      <c r="AD10" s="12"/>
      <c r="AE10" s="12"/>
    </row>
    <row r="11" spans="1:31" ht="30" x14ac:dyDescent="0.25">
      <c r="A11" s="54">
        <v>5</v>
      </c>
      <c r="B11" s="98" t="str">
        <f>Linked_Table!A9</f>
        <v>2018-023</v>
      </c>
      <c r="C11" s="98" t="str">
        <f>Linked_Table!B9</f>
        <v>Foothills Conservancy of North Carolina - Bobs Cr Wilderness Ph 2</v>
      </c>
      <c r="D11" s="99">
        <f>Linked_Table!C9</f>
        <v>83</v>
      </c>
      <c r="E11" s="100">
        <f>Linked_Table!D9</f>
        <v>1200000</v>
      </c>
      <c r="F11" s="100">
        <f t="shared" si="0"/>
        <v>1200000</v>
      </c>
      <c r="G11" s="101">
        <f t="shared" si="4"/>
        <v>4477771</v>
      </c>
      <c r="H11" s="102"/>
      <c r="I11" s="103">
        <f t="shared" si="1"/>
        <v>0</v>
      </c>
      <c r="J11" s="100">
        <f>Linked_Table!F9</f>
        <v>4513000</v>
      </c>
      <c r="K11" s="100">
        <f>Linked_Table!E9</f>
        <v>3313000</v>
      </c>
      <c r="L11" s="104">
        <f t="shared" si="2"/>
        <v>0.73410148460004432</v>
      </c>
      <c r="M11" s="105" t="str">
        <f>Linked_Table!H9</f>
        <v>2,000</v>
      </c>
      <c r="N11" s="106">
        <f t="shared" si="3"/>
        <v>2256.5</v>
      </c>
      <c r="O11" s="107" t="str">
        <f>IF(Linked_Table!I9=TRUE,"X","")</f>
        <v>X</v>
      </c>
      <c r="P11" s="107" t="str">
        <f>IF(Linked_Table!J9=TRUE,"X","")</f>
        <v/>
      </c>
      <c r="Q11" s="107" t="str">
        <f>IF(Linked_Table!K9=TRUE,"X","")</f>
        <v>X</v>
      </c>
      <c r="R11" s="107" t="str">
        <f>IF(Linked_Table!L9=TRUE,"X","")</f>
        <v/>
      </c>
      <c r="S11" s="107" t="str">
        <f>IF(Linked_Table!M9=TRUE,"X","")</f>
        <v/>
      </c>
      <c r="T11" s="55" t="str">
        <f>Linked_Table!G9&amp;" ("&amp;Linked_Table!N9&amp;")"</f>
        <v>McDowell (1)</v>
      </c>
      <c r="U11" s="55" t="str">
        <f>Linked_Table!T9</f>
        <v>Damon Hearne</v>
      </c>
      <c r="V11" s="12"/>
      <c r="W11" s="12"/>
      <c r="X11" s="12"/>
      <c r="Y11" s="12"/>
      <c r="Z11" s="12"/>
      <c r="AA11" s="12"/>
      <c r="AB11" s="12"/>
      <c r="AC11" s="12"/>
      <c r="AD11" s="12"/>
      <c r="AE11" s="12"/>
    </row>
    <row r="12" spans="1:31" ht="30" x14ac:dyDescent="0.25">
      <c r="A12" s="54">
        <v>6</v>
      </c>
      <c r="B12" s="98" t="str">
        <f>Linked_Table!A10</f>
        <v>2018-039</v>
      </c>
      <c r="C12" s="98" t="str">
        <f>Linked_Table!B10</f>
        <v>Mainspring Conservation Trust - Simp Gap, Cheoah Bald</v>
      </c>
      <c r="D12" s="99">
        <f>Linked_Table!C10</f>
        <v>81</v>
      </c>
      <c r="E12" s="100">
        <f>Linked_Table!D10</f>
        <v>604831</v>
      </c>
      <c r="F12" s="100">
        <f t="shared" si="0"/>
        <v>604831</v>
      </c>
      <c r="G12" s="101">
        <f t="shared" si="4"/>
        <v>5082602</v>
      </c>
      <c r="H12" s="102"/>
      <c r="I12" s="103">
        <f t="shared" si="1"/>
        <v>0</v>
      </c>
      <c r="J12" s="100">
        <f>Linked_Table!F10</f>
        <v>1590331</v>
      </c>
      <c r="K12" s="100">
        <f>Linked_Table!E10</f>
        <v>985500</v>
      </c>
      <c r="L12" s="104">
        <f t="shared" si="2"/>
        <v>0.6196823177061882</v>
      </c>
      <c r="M12" s="105" t="str">
        <f>Linked_Table!H10</f>
        <v>504</v>
      </c>
      <c r="N12" s="106">
        <f t="shared" si="3"/>
        <v>3155.4186507936506</v>
      </c>
      <c r="O12" s="107" t="str">
        <f>IF(Linked_Table!I10=TRUE,"X","")</f>
        <v>X</v>
      </c>
      <c r="P12" s="107" t="str">
        <f>IF(Linked_Table!J10=TRUE,"X","")</f>
        <v/>
      </c>
      <c r="Q12" s="107" t="str">
        <f>IF(Linked_Table!K10=TRUE,"X","")</f>
        <v>X</v>
      </c>
      <c r="R12" s="107" t="str">
        <f>IF(Linked_Table!L10=TRUE,"X","")</f>
        <v/>
      </c>
      <c r="S12" s="107" t="str">
        <f>IF(Linked_Table!M10=TRUE,"X","")</f>
        <v/>
      </c>
      <c r="T12" s="55" t="str">
        <f>Linked_Table!G10&amp;" ("&amp;Linked_Table!N10&amp;")"</f>
        <v>Graham (1)</v>
      </c>
      <c r="U12" s="55" t="str">
        <f>Linked_Table!T10</f>
        <v>Damon Hearne</v>
      </c>
      <c r="V12" s="12"/>
      <c r="W12" s="12"/>
      <c r="X12" s="12"/>
      <c r="Y12" s="12"/>
      <c r="Z12" s="12"/>
      <c r="AA12" s="12"/>
      <c r="AB12" s="12"/>
      <c r="AC12" s="12"/>
      <c r="AD12" s="12"/>
      <c r="AE12" s="12"/>
    </row>
    <row r="13" spans="1:31" ht="30" x14ac:dyDescent="0.25">
      <c r="A13" s="54">
        <v>7</v>
      </c>
      <c r="B13" s="98" t="str">
        <f>Linked_Table!A11</f>
        <v>2018-075</v>
      </c>
      <c r="C13" s="98" t="str">
        <f>Linked_Table!B11</f>
        <v>Tar River Land Conservancy - Hunter Tr, Dickens Cr</v>
      </c>
      <c r="D13" s="99">
        <f>Linked_Table!C11</f>
        <v>81</v>
      </c>
      <c r="E13" s="100">
        <f>Linked_Table!D11</f>
        <v>137908</v>
      </c>
      <c r="F13" s="100">
        <f t="shared" si="0"/>
        <v>137908</v>
      </c>
      <c r="G13" s="101">
        <f t="shared" si="4"/>
        <v>5220510</v>
      </c>
      <c r="H13" s="102"/>
      <c r="I13" s="103">
        <f t="shared" si="1"/>
        <v>0</v>
      </c>
      <c r="J13" s="100">
        <f>Linked_Table!F11</f>
        <v>361808</v>
      </c>
      <c r="K13" s="100">
        <f>Linked_Table!E11</f>
        <v>223900</v>
      </c>
      <c r="L13" s="104">
        <f t="shared" si="2"/>
        <v>0.6188365099721399</v>
      </c>
      <c r="M13" s="105" t="str">
        <f>Linked_Table!H11</f>
        <v>65</v>
      </c>
      <c r="N13" s="106">
        <f t="shared" si="3"/>
        <v>5566.2769230769227</v>
      </c>
      <c r="O13" s="107" t="str">
        <f>IF(Linked_Table!I11=TRUE,"X","")</f>
        <v>X</v>
      </c>
      <c r="P13" s="107" t="str">
        <f>IF(Linked_Table!J11=TRUE,"X","")</f>
        <v/>
      </c>
      <c r="Q13" s="107" t="str">
        <f>IF(Linked_Table!K11=TRUE,"X","")</f>
        <v>X</v>
      </c>
      <c r="R13" s="107" t="str">
        <f>IF(Linked_Table!L11=TRUE,"X","")</f>
        <v/>
      </c>
      <c r="S13" s="107" t="str">
        <f>IF(Linked_Table!M11=TRUE,"X","")</f>
        <v>X</v>
      </c>
      <c r="T13" s="55" t="str">
        <f>Linked_Table!G11&amp;" ("&amp;Linked_Table!N11&amp;")"</f>
        <v>Granville (3)</v>
      </c>
      <c r="U13" s="55" t="str">
        <f>Linked_Table!T11</f>
        <v>Justin Mercer</v>
      </c>
      <c r="V13" s="12"/>
      <c r="W13" s="12"/>
      <c r="X13" s="12"/>
      <c r="Y13" s="12"/>
      <c r="Z13" s="12"/>
      <c r="AA13" s="12"/>
      <c r="AB13" s="12"/>
      <c r="AC13" s="12"/>
      <c r="AD13" s="12"/>
      <c r="AE13" s="12"/>
    </row>
    <row r="14" spans="1:31" ht="30" x14ac:dyDescent="0.25">
      <c r="A14" s="54">
        <v>8</v>
      </c>
      <c r="B14" s="98" t="str">
        <f>Linked_Table!A12</f>
        <v>2018-016</v>
      </c>
      <c r="C14" s="98" t="str">
        <f>Linked_Table!B12</f>
        <v>Conservation Trust for North Carolina - Florence Boyd Tr, Boone Fk</v>
      </c>
      <c r="D14" s="99">
        <f>Linked_Table!C12</f>
        <v>80</v>
      </c>
      <c r="E14" s="100">
        <f>Linked_Table!D12</f>
        <v>150977</v>
      </c>
      <c r="F14" s="100">
        <f t="shared" si="0"/>
        <v>150977</v>
      </c>
      <c r="G14" s="101">
        <f t="shared" si="4"/>
        <v>5371487</v>
      </c>
      <c r="H14" s="102"/>
      <c r="I14" s="103">
        <f t="shared" si="1"/>
        <v>0</v>
      </c>
      <c r="J14" s="100">
        <f>Linked_Table!F12</f>
        <v>692977</v>
      </c>
      <c r="K14" s="100">
        <f>Linked_Table!E12</f>
        <v>542000</v>
      </c>
      <c r="L14" s="104">
        <f t="shared" si="2"/>
        <v>0.78213274033625935</v>
      </c>
      <c r="M14" s="105" t="str">
        <f>Linked_Table!H12</f>
        <v>41</v>
      </c>
      <c r="N14" s="106">
        <f t="shared" si="3"/>
        <v>16901.878048780487</v>
      </c>
      <c r="O14" s="107" t="str">
        <f>IF(Linked_Table!I12=TRUE,"X","")</f>
        <v>X</v>
      </c>
      <c r="P14" s="107" t="str">
        <f>IF(Linked_Table!J12=TRUE,"X","")</f>
        <v/>
      </c>
      <c r="Q14" s="107" t="str">
        <f>IF(Linked_Table!K12=TRUE,"X","")</f>
        <v>X</v>
      </c>
      <c r="R14" s="107" t="str">
        <f>IF(Linked_Table!L12=TRUE,"X","")</f>
        <v>X</v>
      </c>
      <c r="S14" s="107" t="str">
        <f>IF(Linked_Table!M12=TRUE,"X","")</f>
        <v/>
      </c>
      <c r="T14" s="55" t="str">
        <f>Linked_Table!G12&amp;" ("&amp;Linked_Table!N12&amp;")"</f>
        <v>Watauga (3)</v>
      </c>
      <c r="U14" s="55" t="str">
        <f>Linked_Table!T12</f>
        <v>Damon Hearne</v>
      </c>
      <c r="V14" s="12"/>
      <c r="W14" s="12"/>
      <c r="X14" s="12"/>
      <c r="Y14" s="12"/>
      <c r="Z14" s="12"/>
      <c r="AA14" s="12"/>
      <c r="AB14" s="12"/>
      <c r="AC14" s="12"/>
      <c r="AD14" s="12"/>
      <c r="AE14" s="12"/>
    </row>
    <row r="15" spans="1:31" ht="30" x14ac:dyDescent="0.25">
      <c r="A15" s="54">
        <v>9</v>
      </c>
      <c r="B15" s="98" t="str">
        <f>Linked_Table!A13</f>
        <v>2018-069</v>
      </c>
      <c r="C15" s="98" t="str">
        <f>Linked_Table!B13</f>
        <v>The Nature Conservancy - Connell &amp; Crutchfield, Ft Bragg SHGL Gap</v>
      </c>
      <c r="D15" s="99">
        <f>Linked_Table!C13</f>
        <v>80</v>
      </c>
      <c r="E15" s="100">
        <f>Linked_Table!D13</f>
        <v>413367</v>
      </c>
      <c r="F15" s="100">
        <f t="shared" si="0"/>
        <v>413367</v>
      </c>
      <c r="G15" s="101">
        <f t="shared" si="4"/>
        <v>5784854</v>
      </c>
      <c r="H15" s="102"/>
      <c r="I15" s="103">
        <f t="shared" si="1"/>
        <v>0</v>
      </c>
      <c r="J15" s="100">
        <f>Linked_Table!F13</f>
        <v>1059093</v>
      </c>
      <c r="K15" s="100">
        <f>Linked_Table!E13</f>
        <v>645726</v>
      </c>
      <c r="L15" s="104">
        <f t="shared" si="2"/>
        <v>0.60969716540473784</v>
      </c>
      <c r="M15" s="105" t="str">
        <f>Linked_Table!H13</f>
        <v>249</v>
      </c>
      <c r="N15" s="106">
        <f t="shared" si="3"/>
        <v>4253.3855421686749</v>
      </c>
      <c r="O15" s="107" t="str">
        <f>IF(Linked_Table!I13=TRUE,"X","")</f>
        <v>X</v>
      </c>
      <c r="P15" s="107" t="str">
        <f>IF(Linked_Table!J13=TRUE,"X","")</f>
        <v/>
      </c>
      <c r="Q15" s="107" t="str">
        <f>IF(Linked_Table!K13=TRUE,"X","")</f>
        <v>X</v>
      </c>
      <c r="R15" s="107" t="str">
        <f>IF(Linked_Table!L13=TRUE,"X","")</f>
        <v/>
      </c>
      <c r="S15" s="107" t="str">
        <f>IF(Linked_Table!M13=TRUE,"X","")</f>
        <v>X</v>
      </c>
      <c r="T15" s="55" t="str">
        <f>Linked_Table!G13&amp;" ("&amp;Linked_Table!N13&amp;")"</f>
        <v>Hoke (2)</v>
      </c>
      <c r="U15" s="55" t="str">
        <f>Linked_Table!T13</f>
        <v>Justin Mercer</v>
      </c>
      <c r="V15" s="12"/>
      <c r="W15" s="12"/>
      <c r="X15" s="12"/>
      <c r="Y15" s="12"/>
      <c r="Z15" s="12"/>
      <c r="AA15" s="12"/>
      <c r="AB15" s="12"/>
      <c r="AC15" s="12"/>
      <c r="AD15" s="12"/>
      <c r="AE15" s="12"/>
    </row>
    <row r="16" spans="1:31" ht="30" x14ac:dyDescent="0.25">
      <c r="A16" s="54">
        <v>10</v>
      </c>
      <c r="B16" s="98" t="str">
        <f>Linked_Table!A14</f>
        <v>2018-003</v>
      </c>
      <c r="C16" s="98" t="str">
        <f>Linked_Table!B14</f>
        <v>Blue Ridge Conservancy - Shore Tr, Middle Fork GW</v>
      </c>
      <c r="D16" s="99">
        <f>Linked_Table!C14</f>
        <v>79</v>
      </c>
      <c r="E16" s="100">
        <f>Linked_Table!D14</f>
        <v>53196</v>
      </c>
      <c r="F16" s="100">
        <f t="shared" si="0"/>
        <v>53196</v>
      </c>
      <c r="G16" s="101">
        <f t="shared" si="4"/>
        <v>5838050</v>
      </c>
      <c r="H16" s="102"/>
      <c r="I16" s="103">
        <f t="shared" si="1"/>
        <v>0</v>
      </c>
      <c r="J16" s="100">
        <f>Linked_Table!F14</f>
        <v>91196</v>
      </c>
      <c r="K16" s="100">
        <f>Linked_Table!E14</f>
        <v>38000</v>
      </c>
      <c r="L16" s="104">
        <f t="shared" si="2"/>
        <v>0.41668494232203168</v>
      </c>
      <c r="M16" s="105" t="str">
        <f>Linked_Table!H14</f>
        <v>3</v>
      </c>
      <c r="N16" s="106">
        <f t="shared" si="3"/>
        <v>30398.666666666668</v>
      </c>
      <c r="O16" s="107" t="str">
        <f>IF(Linked_Table!I14=TRUE,"X","")</f>
        <v>X</v>
      </c>
      <c r="P16" s="107" t="str">
        <f>IF(Linked_Table!J14=TRUE,"X","")</f>
        <v>X</v>
      </c>
      <c r="Q16" s="107" t="str">
        <f>IF(Linked_Table!K14=TRUE,"X","")</f>
        <v/>
      </c>
      <c r="R16" s="107" t="str">
        <f>IF(Linked_Table!L14=TRUE,"X","")</f>
        <v/>
      </c>
      <c r="S16" s="107" t="str">
        <f>IF(Linked_Table!M14=TRUE,"X","")</f>
        <v/>
      </c>
      <c r="T16" s="55" t="str">
        <f>Linked_Table!G14&amp;" ("&amp;Linked_Table!N14&amp;")"</f>
        <v>Watauga (3)</v>
      </c>
      <c r="U16" s="55" t="str">
        <f>Linked_Table!T14</f>
        <v>Damon Hearne</v>
      </c>
      <c r="V16" s="12"/>
      <c r="W16" s="12"/>
      <c r="X16" s="12"/>
      <c r="Y16" s="12"/>
      <c r="Z16" s="12"/>
      <c r="AA16" s="12"/>
      <c r="AB16" s="12"/>
      <c r="AC16" s="12"/>
      <c r="AD16" s="12"/>
      <c r="AE16" s="12"/>
    </row>
    <row r="17" spans="1:31" ht="30" x14ac:dyDescent="0.25">
      <c r="A17" s="54">
        <v>11</v>
      </c>
      <c r="B17" s="98" t="str">
        <f>Linked_Table!A15</f>
        <v>2018-038</v>
      </c>
      <c r="C17" s="98" t="str">
        <f>Linked_Table!B15</f>
        <v>Mainspring Conservation Trust - Shut-In Cr, Plott Balsam Range</v>
      </c>
      <c r="D17" s="99">
        <f>Linked_Table!C15</f>
        <v>79</v>
      </c>
      <c r="E17" s="100">
        <f>Linked_Table!D15</f>
        <v>577685</v>
      </c>
      <c r="F17" s="100">
        <f t="shared" si="0"/>
        <v>577685</v>
      </c>
      <c r="G17" s="101">
        <f t="shared" si="4"/>
        <v>6415735</v>
      </c>
      <c r="H17" s="102"/>
      <c r="I17" s="103">
        <f t="shared" si="1"/>
        <v>0</v>
      </c>
      <c r="J17" s="100">
        <f>Linked_Table!F15</f>
        <v>2077685</v>
      </c>
      <c r="K17" s="100">
        <f>Linked_Table!E15</f>
        <v>1500000</v>
      </c>
      <c r="L17" s="104">
        <f t="shared" si="2"/>
        <v>0.72195737082377742</v>
      </c>
      <c r="M17" s="105" t="str">
        <f>Linked_Table!H15</f>
        <v>470</v>
      </c>
      <c r="N17" s="106">
        <f t="shared" si="3"/>
        <v>4420.6063829787236</v>
      </c>
      <c r="O17" s="107" t="str">
        <f>IF(Linked_Table!I15=TRUE,"X","")</f>
        <v>X</v>
      </c>
      <c r="P17" s="107" t="str">
        <f>IF(Linked_Table!J15=TRUE,"X","")</f>
        <v/>
      </c>
      <c r="Q17" s="107" t="str">
        <f>IF(Linked_Table!K15=TRUE,"X","")</f>
        <v>X</v>
      </c>
      <c r="R17" s="107" t="str">
        <f>IF(Linked_Table!L15=TRUE,"X","")</f>
        <v/>
      </c>
      <c r="S17" s="107" t="str">
        <f>IF(Linked_Table!M15=TRUE,"X","")</f>
        <v/>
      </c>
      <c r="T17" s="55" t="str">
        <f>Linked_Table!G15&amp;" ("&amp;Linked_Table!N15&amp;")"</f>
        <v>Jackson (1)</v>
      </c>
      <c r="U17" s="55" t="str">
        <f>Linked_Table!T15</f>
        <v>Damon Hearne</v>
      </c>
      <c r="V17" s="12"/>
      <c r="W17" s="12"/>
      <c r="X17" s="12"/>
      <c r="Y17" s="12"/>
      <c r="Z17" s="12"/>
      <c r="AA17" s="12"/>
      <c r="AB17" s="12"/>
      <c r="AC17" s="12"/>
      <c r="AD17" s="12"/>
      <c r="AE17" s="12"/>
    </row>
    <row r="18" spans="1:31" ht="30" x14ac:dyDescent="0.25">
      <c r="A18" s="54">
        <v>12</v>
      </c>
      <c r="B18" s="98" t="str">
        <f>Linked_Table!A16</f>
        <v>2018-060</v>
      </c>
      <c r="C18" s="98" t="str">
        <f>Linked_Table!B16</f>
        <v>The Conservation Fund - Blackrock Cr, Plott Balsam Range</v>
      </c>
      <c r="D18" s="99">
        <f>Linked_Table!C16</f>
        <v>79</v>
      </c>
      <c r="E18" s="100">
        <f>Linked_Table!D16</f>
        <v>1021600</v>
      </c>
      <c r="F18" s="100">
        <f t="shared" si="0"/>
        <v>1021600</v>
      </c>
      <c r="G18" s="101">
        <f t="shared" si="4"/>
        <v>7437335</v>
      </c>
      <c r="H18" s="102"/>
      <c r="I18" s="103">
        <f t="shared" si="1"/>
        <v>0</v>
      </c>
      <c r="J18" s="100">
        <f>Linked_Table!F16</f>
        <v>2179050</v>
      </c>
      <c r="K18" s="100">
        <f>Linked_Table!E16</f>
        <v>1157450</v>
      </c>
      <c r="L18" s="104">
        <f t="shared" si="2"/>
        <v>0.53117184093985914</v>
      </c>
      <c r="M18" s="105" t="str">
        <f>Linked_Table!H16</f>
        <v>442</v>
      </c>
      <c r="N18" s="106">
        <f t="shared" si="3"/>
        <v>4929.9773755656106</v>
      </c>
      <c r="O18" s="107" t="str">
        <f>IF(Linked_Table!I16=TRUE,"X","")</f>
        <v>X</v>
      </c>
      <c r="P18" s="107" t="str">
        <f>IF(Linked_Table!J16=TRUE,"X","")</f>
        <v/>
      </c>
      <c r="Q18" s="107" t="str">
        <f>IF(Linked_Table!K16=TRUE,"X","")</f>
        <v>X</v>
      </c>
      <c r="R18" s="107" t="str">
        <f>IF(Linked_Table!L16=TRUE,"X","")</f>
        <v/>
      </c>
      <c r="S18" s="107" t="str">
        <f>IF(Linked_Table!M16=TRUE,"X","")</f>
        <v/>
      </c>
      <c r="T18" s="55" t="str">
        <f>Linked_Table!G16&amp;" ("&amp;Linked_Table!N16&amp;")"</f>
        <v>Jackson (1)</v>
      </c>
      <c r="U18" s="55" t="str">
        <f>Linked_Table!T16</f>
        <v>Damon Hearne</v>
      </c>
      <c r="V18" s="12"/>
      <c r="W18" s="12"/>
      <c r="X18" s="12"/>
      <c r="Y18" s="12"/>
      <c r="Z18" s="12"/>
      <c r="AA18" s="12"/>
      <c r="AB18" s="12"/>
      <c r="AC18" s="12"/>
      <c r="AD18" s="12"/>
      <c r="AE18" s="12"/>
    </row>
    <row r="19" spans="1:31" ht="30" x14ac:dyDescent="0.25">
      <c r="A19" s="54">
        <v>13</v>
      </c>
      <c r="B19" s="98" t="str">
        <f>Linked_Table!A17</f>
        <v>2018-030</v>
      </c>
      <c r="C19" s="98" t="str">
        <f>Linked_Table!B17</f>
        <v>LandTrust for Central North Carolina - Bennett Pr, Suggs Cr UT</v>
      </c>
      <c r="D19" s="99">
        <f>Linked_Table!C17</f>
        <v>79</v>
      </c>
      <c r="E19" s="100">
        <f>Linked_Table!D17</f>
        <v>351916</v>
      </c>
      <c r="F19" s="100">
        <f t="shared" si="0"/>
        <v>351916</v>
      </c>
      <c r="G19" s="101">
        <f t="shared" si="4"/>
        <v>7789251</v>
      </c>
      <c r="H19" s="102"/>
      <c r="I19" s="103">
        <f t="shared" si="1"/>
        <v>0</v>
      </c>
      <c r="J19" s="100">
        <f>Linked_Table!F17</f>
        <v>651916</v>
      </c>
      <c r="K19" s="100">
        <f>Linked_Table!E17</f>
        <v>300000</v>
      </c>
      <c r="L19" s="104">
        <f t="shared" si="2"/>
        <v>0.4601819866363151</v>
      </c>
      <c r="M19" s="105" t="str">
        <f>Linked_Table!H17</f>
        <v>240</v>
      </c>
      <c r="N19" s="106">
        <f t="shared" si="3"/>
        <v>2716.3166666666666</v>
      </c>
      <c r="O19" s="107" t="str">
        <f>IF(Linked_Table!I17=TRUE,"X","")</f>
        <v>X</v>
      </c>
      <c r="P19" s="107" t="str">
        <f>IF(Linked_Table!J17=TRUE,"X","")</f>
        <v/>
      </c>
      <c r="Q19" s="107" t="str">
        <f>IF(Linked_Table!K17=TRUE,"X","")</f>
        <v>X</v>
      </c>
      <c r="R19" s="107" t="str">
        <f>IF(Linked_Table!L17=TRUE,"X","")</f>
        <v/>
      </c>
      <c r="S19" s="107" t="str">
        <f>IF(Linked_Table!M17=TRUE,"X","")</f>
        <v/>
      </c>
      <c r="T19" s="55" t="str">
        <f>Linked_Table!G17&amp;" ("&amp;Linked_Table!N17&amp;")"</f>
        <v>Montgomery (1)</v>
      </c>
      <c r="U19" s="55" t="str">
        <f>Linked_Table!T17</f>
        <v>Justin Mercer</v>
      </c>
      <c r="V19" s="12"/>
      <c r="W19" s="12"/>
      <c r="X19" s="12"/>
      <c r="Y19" s="12"/>
      <c r="Z19" s="12"/>
      <c r="AA19" s="12"/>
      <c r="AB19" s="12"/>
      <c r="AC19" s="12"/>
      <c r="AD19" s="12"/>
      <c r="AE19" s="12"/>
    </row>
    <row r="20" spans="1:31" ht="30" x14ac:dyDescent="0.25">
      <c r="A20" s="54">
        <v>14</v>
      </c>
      <c r="B20" s="98" t="str">
        <f>Linked_Table!A18</f>
        <v>2018-020</v>
      </c>
      <c r="C20" s="98" t="str">
        <f>Linked_Table!B18</f>
        <v>Ducks Unlimited - Hubbard-Pinketon, North R</v>
      </c>
      <c r="D20" s="99">
        <f>Linked_Table!C18</f>
        <v>79</v>
      </c>
      <c r="E20" s="100">
        <f>Linked_Table!D18</f>
        <v>1200000</v>
      </c>
      <c r="F20" s="100">
        <f t="shared" si="0"/>
        <v>1200000</v>
      </c>
      <c r="G20" s="101">
        <f t="shared" si="4"/>
        <v>8989251</v>
      </c>
      <c r="H20" s="102"/>
      <c r="I20" s="103">
        <f t="shared" si="1"/>
        <v>0</v>
      </c>
      <c r="J20" s="100">
        <f>Linked_Table!F18</f>
        <v>3452350</v>
      </c>
      <c r="K20" s="100">
        <f>Linked_Table!E18</f>
        <v>2252350</v>
      </c>
      <c r="L20" s="104">
        <f t="shared" si="2"/>
        <v>0.65241067678537812</v>
      </c>
      <c r="M20" s="105" t="str">
        <f>Linked_Table!H18</f>
        <v>6,310</v>
      </c>
      <c r="N20" s="106">
        <f t="shared" si="3"/>
        <v>547.12361331220291</v>
      </c>
      <c r="O20" s="107" t="str">
        <f>IF(Linked_Table!I18=TRUE,"X","")</f>
        <v>X</v>
      </c>
      <c r="P20" s="107" t="str">
        <f>IF(Linked_Table!J18=TRUE,"X","")</f>
        <v/>
      </c>
      <c r="Q20" s="107" t="str">
        <f>IF(Linked_Table!K18=TRUE,"X","")</f>
        <v>X</v>
      </c>
      <c r="R20" s="107" t="str">
        <f>IF(Linked_Table!L18=TRUE,"X","")</f>
        <v/>
      </c>
      <c r="S20" s="107" t="str">
        <f>IF(Linked_Table!M18=TRUE,"X","")</f>
        <v/>
      </c>
      <c r="T20" s="55" t="str">
        <f>Linked_Table!G18&amp;" ("&amp;Linked_Table!N18&amp;")"</f>
        <v>Camden (1)</v>
      </c>
      <c r="U20" s="55" t="str">
        <f>Linked_Table!T18</f>
        <v>Justin Mercer</v>
      </c>
      <c r="V20" s="12"/>
      <c r="W20" s="12"/>
      <c r="X20" s="12"/>
      <c r="Y20" s="12"/>
      <c r="Z20" s="12"/>
      <c r="AA20" s="12"/>
      <c r="AB20" s="12"/>
      <c r="AC20" s="12"/>
      <c r="AD20" s="12"/>
      <c r="AE20" s="12"/>
    </row>
    <row r="21" spans="1:31" ht="30" x14ac:dyDescent="0.25">
      <c r="A21" s="54">
        <v>15</v>
      </c>
      <c r="B21" s="98" t="str">
        <f>Linked_Table!A19</f>
        <v>2018-014</v>
      </c>
      <c r="C21" s="98" t="str">
        <f>Linked_Table!B19</f>
        <v>Conserving Carolina - Transfiguration Phase II, HNG</v>
      </c>
      <c r="D21" s="99">
        <f>Linked_Table!C19</f>
        <v>79</v>
      </c>
      <c r="E21" s="100">
        <f>Linked_Table!D19</f>
        <v>97232</v>
      </c>
      <c r="F21" s="100">
        <f t="shared" si="0"/>
        <v>97232</v>
      </c>
      <c r="G21" s="101">
        <f t="shared" si="4"/>
        <v>9086483</v>
      </c>
      <c r="H21" s="102"/>
      <c r="I21" s="103">
        <f t="shared" si="1"/>
        <v>0</v>
      </c>
      <c r="J21" s="100">
        <f>Linked_Table!F19</f>
        <v>199732</v>
      </c>
      <c r="K21" s="100">
        <f>Linked_Table!E19</f>
        <v>102500</v>
      </c>
      <c r="L21" s="104">
        <f t="shared" si="2"/>
        <v>0.51318767147978295</v>
      </c>
      <c r="M21" s="105" t="str">
        <f>Linked_Table!H19</f>
        <v>28</v>
      </c>
      <c r="N21" s="106">
        <f t="shared" si="3"/>
        <v>7133.2857142857147</v>
      </c>
      <c r="O21" s="107" t="str">
        <f>IF(Linked_Table!I19=TRUE,"X","")</f>
        <v>X</v>
      </c>
      <c r="P21" s="107" t="str">
        <f>IF(Linked_Table!J19=TRUE,"X","")</f>
        <v/>
      </c>
      <c r="Q21" s="107" t="str">
        <f>IF(Linked_Table!K19=TRUE,"X","")</f>
        <v>X</v>
      </c>
      <c r="R21" s="107" t="str">
        <f>IF(Linked_Table!L19=TRUE,"X","")</f>
        <v/>
      </c>
      <c r="S21" s="107" t="str">
        <f>IF(Linked_Table!M19=TRUE,"X","")</f>
        <v/>
      </c>
      <c r="T21" s="55" t="str">
        <f>Linked_Table!G19&amp;" ("&amp;Linked_Table!N19&amp;")"</f>
        <v>Henderson (3)</v>
      </c>
      <c r="U21" s="55" t="str">
        <f>Linked_Table!T19</f>
        <v>Damon Hearne</v>
      </c>
      <c r="V21" s="12"/>
      <c r="W21" s="12"/>
      <c r="X21" s="12"/>
      <c r="Y21" s="12"/>
      <c r="Z21" s="12"/>
      <c r="AA21" s="12"/>
      <c r="AB21" s="12"/>
      <c r="AC21" s="12"/>
      <c r="AD21" s="12"/>
      <c r="AE21" s="12"/>
    </row>
    <row r="22" spans="1:31" ht="30" x14ac:dyDescent="0.25">
      <c r="A22" s="54">
        <v>16</v>
      </c>
      <c r="B22" s="98" t="str">
        <f>Linked_Table!A20</f>
        <v>2018-002</v>
      </c>
      <c r="C22" s="98" t="str">
        <f>Linked_Table!B20</f>
        <v>Blue Ridge Conservancy - Paddy Mountain Preserve Trs</v>
      </c>
      <c r="D22" s="99">
        <f>Linked_Table!C20</f>
        <v>78</v>
      </c>
      <c r="E22" s="100">
        <f>Linked_Table!D20</f>
        <v>304122</v>
      </c>
      <c r="F22" s="100">
        <f t="shared" si="0"/>
        <v>304122</v>
      </c>
      <c r="G22" s="101">
        <f t="shared" si="4"/>
        <v>9390605</v>
      </c>
      <c r="H22" s="102"/>
      <c r="I22" s="103">
        <f t="shared" si="1"/>
        <v>0</v>
      </c>
      <c r="J22" s="100">
        <f>Linked_Table!F20</f>
        <v>554122</v>
      </c>
      <c r="K22" s="100">
        <f>Linked_Table!E20</f>
        <v>250000</v>
      </c>
      <c r="L22" s="104">
        <f t="shared" si="2"/>
        <v>0.45116418406054987</v>
      </c>
      <c r="M22" s="105" t="str">
        <f>Linked_Table!H20</f>
        <v>70</v>
      </c>
      <c r="N22" s="106">
        <f t="shared" si="3"/>
        <v>7916.028571428571</v>
      </c>
      <c r="O22" s="107" t="str">
        <f>IF(Linked_Table!I20=TRUE,"X","")</f>
        <v>X</v>
      </c>
      <c r="P22" s="107" t="str">
        <f>IF(Linked_Table!J20=TRUE,"X","")</f>
        <v/>
      </c>
      <c r="Q22" s="107" t="str">
        <f>IF(Linked_Table!K20=TRUE,"X","")</f>
        <v>X</v>
      </c>
      <c r="R22" s="107" t="str">
        <f>IF(Linked_Table!L20=TRUE,"X","")</f>
        <v/>
      </c>
      <c r="S22" s="107" t="str">
        <f>IF(Linked_Table!M20=TRUE,"X","")</f>
        <v/>
      </c>
      <c r="T22" s="55" t="str">
        <f>Linked_Table!G20&amp;" ("&amp;Linked_Table!N20&amp;")"</f>
        <v>Ashe (1)</v>
      </c>
      <c r="U22" s="55" t="str">
        <f>Linked_Table!T20</f>
        <v>Damon Hearne</v>
      </c>
      <c r="V22" s="12"/>
      <c r="W22" s="12"/>
      <c r="X22" s="12"/>
      <c r="Y22" s="12"/>
      <c r="Z22" s="12"/>
      <c r="AA22" s="12"/>
      <c r="AB22" s="12"/>
      <c r="AC22" s="12"/>
      <c r="AD22" s="12"/>
      <c r="AE22" s="12"/>
    </row>
    <row r="23" spans="1:31" ht="30" x14ac:dyDescent="0.25">
      <c r="A23" s="54">
        <v>17</v>
      </c>
      <c r="B23" s="98" t="str">
        <f>Linked_Table!A21</f>
        <v>2018-034</v>
      </c>
      <c r="C23" s="98" t="str">
        <f>Linked_Table!B21</f>
        <v>LandTrust for Central North Carolina - Redwine Farms, Yadkin R</v>
      </c>
      <c r="D23" s="99">
        <f>Linked_Table!C21</f>
        <v>78</v>
      </c>
      <c r="E23" s="100">
        <f>Linked_Table!D21</f>
        <v>759201</v>
      </c>
      <c r="F23" s="100">
        <f t="shared" si="0"/>
        <v>759201</v>
      </c>
      <c r="G23" s="101">
        <f t="shared" si="4"/>
        <v>10149806</v>
      </c>
      <c r="H23" s="102"/>
      <c r="I23" s="103">
        <f t="shared" si="1"/>
        <v>0</v>
      </c>
      <c r="J23" s="100">
        <f>Linked_Table!F21</f>
        <v>1480201</v>
      </c>
      <c r="K23" s="100">
        <f>Linked_Table!E21</f>
        <v>721000</v>
      </c>
      <c r="L23" s="104">
        <f t="shared" si="2"/>
        <v>0.48709600925820212</v>
      </c>
      <c r="M23" s="105" t="str">
        <f>Linked_Table!H21</f>
        <v>180</v>
      </c>
      <c r="N23" s="106">
        <f t="shared" si="3"/>
        <v>8223.3388888888894</v>
      </c>
      <c r="O23" s="107" t="str">
        <f>IF(Linked_Table!I21=TRUE,"X","")</f>
        <v>X</v>
      </c>
      <c r="P23" s="107" t="str">
        <f>IF(Linked_Table!J21=TRUE,"X","")</f>
        <v/>
      </c>
      <c r="Q23" s="107" t="str">
        <f>IF(Linked_Table!K21=TRUE,"X","")</f>
        <v>X</v>
      </c>
      <c r="R23" s="107" t="str">
        <f>IF(Linked_Table!L21=TRUE,"X","")</f>
        <v/>
      </c>
      <c r="S23" s="107" t="str">
        <f>IF(Linked_Table!M21=TRUE,"X","")</f>
        <v/>
      </c>
      <c r="T23" s="55" t="str">
        <f>Linked_Table!G21&amp;" ("&amp;Linked_Table!N21&amp;")"</f>
        <v>Davidson (2)</v>
      </c>
      <c r="U23" s="55" t="str">
        <f>Linked_Table!T21</f>
        <v>Justin Mercer</v>
      </c>
      <c r="V23" s="12"/>
      <c r="W23" s="12"/>
      <c r="X23" s="12"/>
      <c r="Y23" s="12"/>
      <c r="Z23" s="12"/>
      <c r="AA23" s="12"/>
      <c r="AB23" s="12"/>
      <c r="AC23" s="12"/>
      <c r="AD23" s="12"/>
      <c r="AE23" s="12"/>
    </row>
    <row r="24" spans="1:31" ht="30" x14ac:dyDescent="0.25">
      <c r="A24" s="54">
        <v>18</v>
      </c>
      <c r="B24" s="98" t="str">
        <f>Linked_Table!A22</f>
        <v>2018-042</v>
      </c>
      <c r="C24" s="98" t="str">
        <f>Linked_Table!B22</f>
        <v>NC Botanical Garden - Cochrane, Laurel Hill</v>
      </c>
      <c r="D24" s="99">
        <f>Linked_Table!C22</f>
        <v>78</v>
      </c>
      <c r="E24" s="100">
        <f>Linked_Table!D22</f>
        <v>442100</v>
      </c>
      <c r="F24" s="100">
        <f t="shared" si="0"/>
        <v>442100</v>
      </c>
      <c r="G24" s="101">
        <f t="shared" si="4"/>
        <v>10591906</v>
      </c>
      <c r="H24" s="102"/>
      <c r="I24" s="103">
        <f t="shared" si="1"/>
        <v>0</v>
      </c>
      <c r="J24" s="100">
        <f>Linked_Table!F22</f>
        <v>725400</v>
      </c>
      <c r="K24" s="100">
        <f>Linked_Table!E22</f>
        <v>250000</v>
      </c>
      <c r="L24" s="104">
        <f t="shared" si="2"/>
        <v>0.34463744141163494</v>
      </c>
      <c r="M24" s="105" t="str">
        <f>Linked_Table!H22</f>
        <v>13</v>
      </c>
      <c r="N24" s="106">
        <f t="shared" si="3"/>
        <v>55800</v>
      </c>
      <c r="O24" s="107" t="str">
        <f>IF(Linked_Table!I22=TRUE,"X","")</f>
        <v/>
      </c>
      <c r="P24" s="107" t="str">
        <f>IF(Linked_Table!J22=TRUE,"X","")</f>
        <v/>
      </c>
      <c r="Q24" s="107" t="str">
        <f>IF(Linked_Table!K22=TRUE,"X","")</f>
        <v>X</v>
      </c>
      <c r="R24" s="107" t="str">
        <f>IF(Linked_Table!L22=TRUE,"X","")</f>
        <v/>
      </c>
      <c r="S24" s="107" t="str">
        <f>IF(Linked_Table!M22=TRUE,"X","")</f>
        <v/>
      </c>
      <c r="T24" s="55" t="str">
        <f>Linked_Table!G22&amp;" ("&amp;Linked_Table!N22&amp;")"</f>
        <v>Orange (3)</v>
      </c>
      <c r="U24" s="55" t="str">
        <f>Linked_Table!T22</f>
        <v>Justin Mercer</v>
      </c>
      <c r="V24" s="12"/>
      <c r="W24" s="12"/>
      <c r="X24" s="12"/>
      <c r="Y24" s="12"/>
      <c r="Z24" s="12"/>
      <c r="AA24" s="12"/>
      <c r="AB24" s="12"/>
      <c r="AC24" s="12"/>
      <c r="AD24" s="12"/>
      <c r="AE24" s="12"/>
    </row>
    <row r="25" spans="1:31" ht="30" x14ac:dyDescent="0.25">
      <c r="A25" s="54">
        <v>19</v>
      </c>
      <c r="B25" s="98" t="str">
        <f>Linked_Table!A23</f>
        <v>2018-037</v>
      </c>
      <c r="C25" s="98" t="str">
        <f>Linked_Table!B23</f>
        <v>Mainspring Conservation Trust - Cartoogechaye Cr GW Extension</v>
      </c>
      <c r="D25" s="99">
        <f>Linked_Table!C23</f>
        <v>78</v>
      </c>
      <c r="E25" s="100">
        <f>Linked_Table!D23</f>
        <v>156141</v>
      </c>
      <c r="F25" s="100">
        <f t="shared" si="0"/>
        <v>156141</v>
      </c>
      <c r="G25" s="101">
        <f t="shared" si="4"/>
        <v>10748047</v>
      </c>
      <c r="H25" s="102"/>
      <c r="I25" s="103">
        <f t="shared" si="1"/>
        <v>0</v>
      </c>
      <c r="J25" s="100">
        <f>Linked_Table!F23</f>
        <v>256501</v>
      </c>
      <c r="K25" s="100">
        <f>Linked_Table!E23</f>
        <v>100360</v>
      </c>
      <c r="L25" s="104">
        <f t="shared" si="2"/>
        <v>0.39126553112853363</v>
      </c>
      <c r="M25" s="105" t="str">
        <f>Linked_Table!H23</f>
        <v>14</v>
      </c>
      <c r="N25" s="106">
        <f t="shared" si="3"/>
        <v>18321.5</v>
      </c>
      <c r="O25" s="107" t="str">
        <f>IF(Linked_Table!I23=TRUE,"X","")</f>
        <v>X</v>
      </c>
      <c r="P25" s="107" t="str">
        <f>IF(Linked_Table!J23=TRUE,"X","")</f>
        <v>X</v>
      </c>
      <c r="Q25" s="107" t="str">
        <f>IF(Linked_Table!K23=TRUE,"X","")</f>
        <v>X</v>
      </c>
      <c r="R25" s="107" t="str">
        <f>IF(Linked_Table!L23=TRUE,"X","")</f>
        <v/>
      </c>
      <c r="S25" s="107" t="str">
        <f>IF(Linked_Table!M23=TRUE,"X","")</f>
        <v/>
      </c>
      <c r="T25" s="55" t="str">
        <f>Linked_Table!G23&amp;" ("&amp;Linked_Table!N23&amp;")"</f>
        <v>Macon (1)</v>
      </c>
      <c r="U25" s="55" t="str">
        <f>Linked_Table!T23</f>
        <v>Damon Hearne</v>
      </c>
      <c r="V25" s="12"/>
      <c r="W25" s="12"/>
      <c r="X25" s="12"/>
      <c r="Y25" s="12"/>
      <c r="Z25" s="12"/>
      <c r="AA25" s="12"/>
      <c r="AB25" s="12"/>
      <c r="AC25" s="12"/>
      <c r="AD25" s="12"/>
      <c r="AE25" s="12"/>
    </row>
    <row r="26" spans="1:31" ht="30" x14ac:dyDescent="0.25">
      <c r="A26" s="54">
        <v>20</v>
      </c>
      <c r="B26" s="98" t="str">
        <f>Linked_Table!A24</f>
        <v>2018-025</v>
      </c>
      <c r="C26" s="98" t="str">
        <f>Linked_Table!B24</f>
        <v>Foothills Conservancy of North Carolina - Paddy's Cr, OVNHT</v>
      </c>
      <c r="D26" s="99">
        <f>Linked_Table!C24</f>
        <v>78</v>
      </c>
      <c r="E26" s="100">
        <f>Linked_Table!D24</f>
        <v>154685</v>
      </c>
      <c r="F26" s="100">
        <f t="shared" si="0"/>
        <v>154685</v>
      </c>
      <c r="G26" s="101">
        <f t="shared" si="4"/>
        <v>10902732</v>
      </c>
      <c r="H26" s="102"/>
      <c r="I26" s="103">
        <f t="shared" si="1"/>
        <v>0</v>
      </c>
      <c r="J26" s="100">
        <f>Linked_Table!F24</f>
        <v>305635</v>
      </c>
      <c r="K26" s="100">
        <f>Linked_Table!E24</f>
        <v>150950</v>
      </c>
      <c r="L26" s="104">
        <f t="shared" si="2"/>
        <v>0.49388977047785759</v>
      </c>
      <c r="M26" s="105" t="str">
        <f>Linked_Table!H24</f>
        <v>36</v>
      </c>
      <c r="N26" s="106">
        <f t="shared" si="3"/>
        <v>8489.8611111111113</v>
      </c>
      <c r="O26" s="107" t="str">
        <f>IF(Linked_Table!I24=TRUE,"X","")</f>
        <v>X</v>
      </c>
      <c r="P26" s="107" t="str">
        <f>IF(Linked_Table!J24=TRUE,"X","")</f>
        <v/>
      </c>
      <c r="Q26" s="107" t="str">
        <f>IF(Linked_Table!K24=TRUE,"X","")</f>
        <v/>
      </c>
      <c r="R26" s="107" t="str">
        <f>IF(Linked_Table!L24=TRUE,"X","")</f>
        <v>X</v>
      </c>
      <c r="S26" s="107" t="str">
        <f>IF(Linked_Table!M24=TRUE,"X","")</f>
        <v/>
      </c>
      <c r="T26" s="55" t="str">
        <f>Linked_Table!G24&amp;" ("&amp;Linked_Table!N24&amp;")"</f>
        <v>Burke (2)</v>
      </c>
      <c r="U26" s="55" t="str">
        <f>Linked_Table!T24</f>
        <v>Damon Hearne</v>
      </c>
      <c r="V26" s="12"/>
      <c r="W26" s="12"/>
      <c r="X26" s="12"/>
      <c r="Y26" s="12"/>
      <c r="Z26" s="12"/>
      <c r="AA26" s="12"/>
      <c r="AB26" s="12"/>
      <c r="AC26" s="12"/>
      <c r="AD26" s="12"/>
      <c r="AE26" s="12"/>
    </row>
    <row r="27" spans="1:31" ht="30" x14ac:dyDescent="0.25">
      <c r="A27" s="54">
        <v>21</v>
      </c>
      <c r="B27" s="98" t="str">
        <f>Linked_Table!A25</f>
        <v>2018-059</v>
      </c>
      <c r="C27" s="98" t="str">
        <f>Linked_Table!B25</f>
        <v>Sandhills Area Land Trust - Rogers, Dronwing Cr</v>
      </c>
      <c r="D27" s="99">
        <f>Linked_Table!C25</f>
        <v>78</v>
      </c>
      <c r="E27" s="100">
        <f>Linked_Table!D25</f>
        <v>221748</v>
      </c>
      <c r="F27" s="100">
        <f t="shared" si="0"/>
        <v>221748</v>
      </c>
      <c r="G27" s="101">
        <f t="shared" si="4"/>
        <v>11124480</v>
      </c>
      <c r="H27" s="102"/>
      <c r="I27" s="103">
        <f t="shared" si="1"/>
        <v>0</v>
      </c>
      <c r="J27" s="100">
        <f>Linked_Table!F25</f>
        <v>694748</v>
      </c>
      <c r="K27" s="100">
        <f>Linked_Table!E25</f>
        <v>473000</v>
      </c>
      <c r="L27" s="104">
        <f t="shared" si="2"/>
        <v>0.68082239891298713</v>
      </c>
      <c r="M27" s="105" t="str">
        <f>Linked_Table!H25</f>
        <v>201</v>
      </c>
      <c r="N27" s="106">
        <f t="shared" si="3"/>
        <v>3456.4577114427861</v>
      </c>
      <c r="O27" s="107" t="str">
        <f>IF(Linked_Table!I25=TRUE,"X","")</f>
        <v>X</v>
      </c>
      <c r="P27" s="107" t="str">
        <f>IF(Linked_Table!J25=TRUE,"X","")</f>
        <v/>
      </c>
      <c r="Q27" s="107" t="str">
        <f>IF(Linked_Table!K25=TRUE,"X","")</f>
        <v>X</v>
      </c>
      <c r="R27" s="107" t="str">
        <f>IF(Linked_Table!L25=TRUE,"X","")</f>
        <v/>
      </c>
      <c r="S27" s="107" t="str">
        <f>IF(Linked_Table!M25=TRUE,"X","")</f>
        <v/>
      </c>
      <c r="T27" s="55" t="str">
        <f>Linked_Table!G25&amp;" ("&amp;Linked_Table!N25&amp;")"</f>
        <v>Moore (3)</v>
      </c>
      <c r="U27" s="55" t="str">
        <f>Linked_Table!T25</f>
        <v>Justin Mercer</v>
      </c>
      <c r="V27" s="12"/>
      <c r="W27" s="12"/>
      <c r="X27" s="12"/>
      <c r="Y27" s="12"/>
      <c r="Z27" s="12"/>
      <c r="AA27" s="12"/>
      <c r="AB27" s="12"/>
      <c r="AC27" s="12"/>
      <c r="AD27" s="12"/>
      <c r="AE27" s="12"/>
    </row>
    <row r="28" spans="1:31" ht="30" x14ac:dyDescent="0.25">
      <c r="A28" s="54">
        <v>22</v>
      </c>
      <c r="B28" s="98" t="str">
        <f>Linked_Table!A26</f>
        <v>2018-044</v>
      </c>
      <c r="C28" s="98" t="str">
        <f>Linked_Table!B26</f>
        <v>NC Coastal Land Trust - Duck Cr Wetlands</v>
      </c>
      <c r="D28" s="99">
        <f>Linked_Table!C26</f>
        <v>78</v>
      </c>
      <c r="E28" s="100">
        <f>Linked_Table!D26</f>
        <v>259350</v>
      </c>
      <c r="F28" s="100">
        <f t="shared" si="0"/>
        <v>259350</v>
      </c>
      <c r="G28" s="101">
        <f t="shared" si="4"/>
        <v>11383830</v>
      </c>
      <c r="H28" s="102"/>
      <c r="I28" s="103">
        <f t="shared" si="1"/>
        <v>0</v>
      </c>
      <c r="J28" s="100">
        <f>Linked_Table!F26</f>
        <v>898350</v>
      </c>
      <c r="K28" s="100">
        <f>Linked_Table!E26</f>
        <v>639000</v>
      </c>
      <c r="L28" s="104">
        <f t="shared" si="2"/>
        <v>0.71130405743863745</v>
      </c>
      <c r="M28" s="105" t="str">
        <f>Linked_Table!H26</f>
        <v>715</v>
      </c>
      <c r="N28" s="106">
        <f t="shared" si="3"/>
        <v>1256.4335664335665</v>
      </c>
      <c r="O28" s="107" t="str">
        <f>IF(Linked_Table!I26=TRUE,"X","")</f>
        <v>X</v>
      </c>
      <c r="P28" s="107" t="str">
        <f>IF(Linked_Table!J26=TRUE,"X","")</f>
        <v/>
      </c>
      <c r="Q28" s="107" t="str">
        <f>IF(Linked_Table!K26=TRUE,"X","")</f>
        <v>X</v>
      </c>
      <c r="R28" s="107" t="str">
        <f>IF(Linked_Table!L26=TRUE,"X","")</f>
        <v/>
      </c>
      <c r="S28" s="107" t="str">
        <f>IF(Linked_Table!M26=TRUE,"X","")</f>
        <v/>
      </c>
      <c r="T28" s="55" t="str">
        <f>Linked_Table!G26&amp;" ("&amp;Linked_Table!N26&amp;")"</f>
        <v>Craven (2)</v>
      </c>
      <c r="U28" s="55" t="str">
        <f>Linked_Table!T26</f>
        <v>Justin Mercer</v>
      </c>
      <c r="V28" s="12"/>
      <c r="W28" s="12"/>
      <c r="X28" s="12"/>
      <c r="Y28" s="12"/>
      <c r="Z28" s="12"/>
      <c r="AA28" s="12"/>
      <c r="AB28" s="12"/>
      <c r="AC28" s="12"/>
      <c r="AD28" s="12"/>
      <c r="AE28" s="12"/>
    </row>
    <row r="29" spans="1:31" ht="30" x14ac:dyDescent="0.25">
      <c r="A29" s="54">
        <v>23</v>
      </c>
      <c r="B29" s="98" t="str">
        <f>Linked_Table!A27</f>
        <v>2018-048</v>
      </c>
      <c r="C29" s="98" t="str">
        <f>Linked_Table!B27</f>
        <v>NC Division of Parks and Recreation - Ivy Creek Tr, South Mtn SP</v>
      </c>
      <c r="D29" s="99">
        <f>Linked_Table!C27</f>
        <v>78</v>
      </c>
      <c r="E29" s="100">
        <f>Linked_Table!D27</f>
        <v>370000</v>
      </c>
      <c r="F29" s="100">
        <f t="shared" si="0"/>
        <v>370000</v>
      </c>
      <c r="G29" s="101">
        <f t="shared" si="4"/>
        <v>11753830</v>
      </c>
      <c r="H29" s="102"/>
      <c r="I29" s="103">
        <f t="shared" si="1"/>
        <v>0</v>
      </c>
      <c r="J29" s="100">
        <f>Linked_Table!F27</f>
        <v>787167</v>
      </c>
      <c r="K29" s="100">
        <f>Linked_Table!E27</f>
        <v>417167</v>
      </c>
      <c r="L29" s="104">
        <f t="shared" si="2"/>
        <v>0.52995997037477438</v>
      </c>
      <c r="M29" s="105" t="str">
        <f>Linked_Table!H27</f>
        <v>377</v>
      </c>
      <c r="N29" s="106">
        <f t="shared" si="3"/>
        <v>2087.9761273209551</v>
      </c>
      <c r="O29" s="107" t="str">
        <f>IF(Linked_Table!I27=TRUE,"X","")</f>
        <v>X</v>
      </c>
      <c r="P29" s="107" t="str">
        <f>IF(Linked_Table!J27=TRUE,"X","")</f>
        <v/>
      </c>
      <c r="Q29" s="107" t="str">
        <f>IF(Linked_Table!K27=TRUE,"X","")</f>
        <v>X</v>
      </c>
      <c r="R29" s="107" t="str">
        <f>IF(Linked_Table!L27=TRUE,"X","")</f>
        <v/>
      </c>
      <c r="S29" s="107" t="str">
        <f>IF(Linked_Table!M27=TRUE,"X","")</f>
        <v/>
      </c>
      <c r="T29" s="55" t="str">
        <f>Linked_Table!G27&amp;" ("&amp;Linked_Table!N27&amp;")"</f>
        <v>Burke (2)</v>
      </c>
      <c r="U29" s="55" t="str">
        <f>Linked_Table!T27</f>
        <v>Damon Hearne</v>
      </c>
      <c r="V29" s="12"/>
      <c r="W29" s="12"/>
      <c r="X29" s="12"/>
      <c r="Y29" s="12"/>
      <c r="Z29" s="12"/>
      <c r="AA29" s="12"/>
      <c r="AB29" s="12"/>
      <c r="AC29" s="12"/>
      <c r="AD29" s="12"/>
      <c r="AE29" s="12"/>
    </row>
    <row r="30" spans="1:31" ht="30" x14ac:dyDescent="0.25">
      <c r="A30" s="54">
        <v>24</v>
      </c>
      <c r="B30" s="98" t="str">
        <f>Linked_Table!A28</f>
        <v>2018-027</v>
      </c>
      <c r="C30" s="98" t="str">
        <f>Linked_Table!B28</f>
        <v>Jonesville - Sloop-Nabors Tr, Yadkin R GW</v>
      </c>
      <c r="D30" s="99">
        <f>Linked_Table!C28</f>
        <v>77</v>
      </c>
      <c r="E30" s="100">
        <f>Linked_Table!D28</f>
        <v>450000</v>
      </c>
      <c r="F30" s="100">
        <f t="shared" si="0"/>
        <v>450000</v>
      </c>
      <c r="G30" s="101">
        <f t="shared" si="4"/>
        <v>12203830</v>
      </c>
      <c r="H30" s="102"/>
      <c r="I30" s="103">
        <f t="shared" si="1"/>
        <v>0</v>
      </c>
      <c r="J30" s="100">
        <f>Linked_Table!F28</f>
        <v>612400</v>
      </c>
      <c r="K30" s="100">
        <f>Linked_Table!E28</f>
        <v>12400</v>
      </c>
      <c r="L30" s="104">
        <f t="shared" si="2"/>
        <v>2.0248203788373612E-2</v>
      </c>
      <c r="M30" s="105" t="str">
        <f>Linked_Table!H28</f>
        <v>156</v>
      </c>
      <c r="N30" s="106">
        <f t="shared" si="3"/>
        <v>3925.6410256410259</v>
      </c>
      <c r="O30" s="107" t="str">
        <f>IF(Linked_Table!I28=TRUE,"X","")</f>
        <v>X</v>
      </c>
      <c r="P30" s="107" t="str">
        <f>IF(Linked_Table!J28=TRUE,"X","")</f>
        <v>X</v>
      </c>
      <c r="Q30" s="107" t="str">
        <f>IF(Linked_Table!K28=TRUE,"X","")</f>
        <v>X</v>
      </c>
      <c r="R30" s="107" t="str">
        <f>IF(Linked_Table!L28=TRUE,"X","")</f>
        <v/>
      </c>
      <c r="S30" s="107" t="str">
        <f>IF(Linked_Table!M28=TRUE,"X","")</f>
        <v/>
      </c>
      <c r="T30" s="55" t="str">
        <f>Linked_Table!G28&amp;" ("&amp;Linked_Table!N28&amp;")"</f>
        <v>Yadkin (1)</v>
      </c>
      <c r="U30" s="55" t="str">
        <f>Linked_Table!T28</f>
        <v>Damon Hearne</v>
      </c>
      <c r="V30" s="12"/>
      <c r="W30" s="12"/>
      <c r="X30" s="12"/>
      <c r="Y30" s="12"/>
      <c r="Z30" s="12"/>
      <c r="AA30" s="12"/>
      <c r="AB30" s="12"/>
      <c r="AC30" s="12"/>
      <c r="AD30" s="12"/>
      <c r="AE30" s="12"/>
    </row>
    <row r="31" spans="1:31" ht="30" x14ac:dyDescent="0.25">
      <c r="A31" s="54">
        <v>25</v>
      </c>
      <c r="B31" s="98" t="str">
        <f>Linked_Table!A29</f>
        <v>2018-008</v>
      </c>
      <c r="C31" s="98" t="str">
        <f>Linked_Table!B29</f>
        <v>Conserving Carolina - Camp Buc, Thompson R HW</v>
      </c>
      <c r="D31" s="99">
        <f>Linked_Table!C29</f>
        <v>77</v>
      </c>
      <c r="E31" s="100">
        <f>Linked_Table!D29</f>
        <v>252014</v>
      </c>
      <c r="F31" s="100">
        <f t="shared" si="0"/>
        <v>252014</v>
      </c>
      <c r="G31" s="101">
        <f t="shared" si="4"/>
        <v>12455844</v>
      </c>
      <c r="H31" s="102"/>
      <c r="I31" s="103">
        <f t="shared" si="1"/>
        <v>0</v>
      </c>
      <c r="J31" s="100">
        <f>Linked_Table!F29</f>
        <v>652014</v>
      </c>
      <c r="K31" s="100">
        <f>Linked_Table!E29</f>
        <v>400000</v>
      </c>
      <c r="L31" s="104">
        <f t="shared" si="2"/>
        <v>0.61348375955117529</v>
      </c>
      <c r="M31" s="105" t="str">
        <f>Linked_Table!H29</f>
        <v>182</v>
      </c>
      <c r="N31" s="106">
        <f t="shared" si="3"/>
        <v>3582.4945054945056</v>
      </c>
      <c r="O31" s="107" t="str">
        <f>IF(Linked_Table!I29=TRUE,"X","")</f>
        <v>X</v>
      </c>
      <c r="P31" s="107" t="str">
        <f>IF(Linked_Table!J29=TRUE,"X","")</f>
        <v/>
      </c>
      <c r="Q31" s="107" t="str">
        <f>IF(Linked_Table!K29=TRUE,"X","")</f>
        <v>X</v>
      </c>
      <c r="R31" s="107" t="str">
        <f>IF(Linked_Table!L29=TRUE,"X","")</f>
        <v/>
      </c>
      <c r="S31" s="107" t="str">
        <f>IF(Linked_Table!M29=TRUE,"X","")</f>
        <v/>
      </c>
      <c r="T31" s="55" t="str">
        <f>Linked_Table!G29&amp;" ("&amp;Linked_Table!N29&amp;")"</f>
        <v>Transylvania (2)</v>
      </c>
      <c r="U31" s="55" t="str">
        <f>Linked_Table!T29</f>
        <v>Damon Hearne</v>
      </c>
      <c r="V31" s="12"/>
      <c r="W31" s="12"/>
      <c r="X31" s="12"/>
      <c r="Y31" s="12"/>
      <c r="Z31" s="12"/>
      <c r="AA31" s="12"/>
      <c r="AB31" s="12"/>
      <c r="AC31" s="12"/>
      <c r="AD31" s="12"/>
      <c r="AE31" s="12"/>
    </row>
    <row r="32" spans="1:31" ht="30" x14ac:dyDescent="0.25">
      <c r="A32" s="54">
        <v>26</v>
      </c>
      <c r="B32" s="98" t="str">
        <f>Linked_Table!A30</f>
        <v>2018-015</v>
      </c>
      <c r="C32" s="98" t="str">
        <f>Linked_Table!B30</f>
        <v>Catawba Lands Conservancy - Saint James Preserve, Forney Cr</v>
      </c>
      <c r="D32" s="99">
        <f>Linked_Table!C30</f>
        <v>77</v>
      </c>
      <c r="E32" s="100">
        <f>Linked_Table!D30</f>
        <v>555800</v>
      </c>
      <c r="F32" s="100">
        <f t="shared" si="0"/>
        <v>555800</v>
      </c>
      <c r="G32" s="101">
        <f t="shared" si="4"/>
        <v>13011644</v>
      </c>
      <c r="H32" s="102"/>
      <c r="I32" s="103">
        <f t="shared" si="1"/>
        <v>0</v>
      </c>
      <c r="J32" s="100">
        <f>Linked_Table!F30</f>
        <v>1111720</v>
      </c>
      <c r="K32" s="100">
        <f>Linked_Table!E30</f>
        <v>555920</v>
      </c>
      <c r="L32" s="104">
        <f t="shared" si="2"/>
        <v>0.50005397042420752</v>
      </c>
      <c r="M32" s="105" t="str">
        <f>Linked_Table!H30</f>
        <v>73</v>
      </c>
      <c r="N32" s="106">
        <f t="shared" si="3"/>
        <v>15229.04109589041</v>
      </c>
      <c r="O32" s="107" t="str">
        <f>IF(Linked_Table!I30=TRUE,"X","")</f>
        <v>X</v>
      </c>
      <c r="P32" s="107" t="str">
        <f>IF(Linked_Table!J30=TRUE,"X","")</f>
        <v>X</v>
      </c>
      <c r="Q32" s="107" t="str">
        <f>IF(Linked_Table!K30=TRUE,"X","")</f>
        <v/>
      </c>
      <c r="R32" s="107" t="str">
        <f>IF(Linked_Table!L30=TRUE,"X","")</f>
        <v/>
      </c>
      <c r="S32" s="107" t="str">
        <f>IF(Linked_Table!M30=TRUE,"X","")</f>
        <v/>
      </c>
      <c r="T32" s="55" t="str">
        <f>Linked_Table!G30&amp;" ("&amp;Linked_Table!N30&amp;")"</f>
        <v>Lincoln (3)</v>
      </c>
      <c r="U32" s="55" t="str">
        <f>Linked_Table!T30</f>
        <v>Damon Hearne</v>
      </c>
      <c r="V32" s="12"/>
      <c r="W32" s="12"/>
      <c r="X32" s="12"/>
      <c r="Y32" s="12"/>
      <c r="Z32" s="12"/>
      <c r="AA32" s="12"/>
      <c r="AB32" s="12"/>
      <c r="AC32" s="12"/>
      <c r="AD32" s="12"/>
      <c r="AE32" s="12"/>
    </row>
    <row r="33" spans="1:31" ht="30" x14ac:dyDescent="0.25">
      <c r="A33" s="54">
        <v>27</v>
      </c>
      <c r="B33" s="98" t="str">
        <f>Linked_Table!A31</f>
        <v>2018-055</v>
      </c>
      <c r="C33" s="98" t="str">
        <f>Linked_Table!B31</f>
        <v>Southern Appalachian Highlands Conservancy - Greene Cr, Yellow Mtn SNA</v>
      </c>
      <c r="D33" s="99">
        <f>Linked_Table!C31</f>
        <v>77</v>
      </c>
      <c r="E33" s="100">
        <f>Linked_Table!D31</f>
        <v>521848</v>
      </c>
      <c r="F33" s="100">
        <f t="shared" si="0"/>
        <v>521848</v>
      </c>
      <c r="G33" s="101">
        <f t="shared" si="4"/>
        <v>13533492</v>
      </c>
      <c r="H33" s="102"/>
      <c r="I33" s="103">
        <f t="shared" si="1"/>
        <v>0</v>
      </c>
      <c r="J33" s="100">
        <f>Linked_Table!F31</f>
        <v>1071848</v>
      </c>
      <c r="K33" s="100">
        <f>Linked_Table!E31</f>
        <v>550000</v>
      </c>
      <c r="L33" s="104">
        <f t="shared" si="2"/>
        <v>0.51313245908001881</v>
      </c>
      <c r="M33" s="105" t="str">
        <f>Linked_Table!H31</f>
        <v>141</v>
      </c>
      <c r="N33" s="106">
        <f t="shared" si="3"/>
        <v>7601.7588652482273</v>
      </c>
      <c r="O33" s="107" t="str">
        <f>IF(Linked_Table!I31=TRUE,"X","")</f>
        <v>X</v>
      </c>
      <c r="P33" s="107" t="str">
        <f>IF(Linked_Table!J31=TRUE,"X","")</f>
        <v/>
      </c>
      <c r="Q33" s="107" t="str">
        <f>IF(Linked_Table!K31=TRUE,"X","")</f>
        <v>X</v>
      </c>
      <c r="R33" s="107" t="str">
        <f>IF(Linked_Table!L31=TRUE,"X","")</f>
        <v/>
      </c>
      <c r="S33" s="107" t="str">
        <f>IF(Linked_Table!M31=TRUE,"X","")</f>
        <v/>
      </c>
      <c r="T33" s="55" t="str">
        <f>Linked_Table!G31&amp;" ("&amp;Linked_Table!N31&amp;")"</f>
        <v>Mitchell (1)</v>
      </c>
      <c r="U33" s="55" t="str">
        <f>Linked_Table!T31</f>
        <v>Damon Hearne</v>
      </c>
      <c r="V33" s="12"/>
      <c r="W33" s="12"/>
      <c r="X33" s="12"/>
      <c r="Y33" s="12"/>
      <c r="Z33" s="12"/>
      <c r="AA33" s="12"/>
      <c r="AB33" s="12"/>
      <c r="AC33" s="12"/>
      <c r="AD33" s="12"/>
      <c r="AE33" s="12"/>
    </row>
    <row r="34" spans="1:31" ht="30" x14ac:dyDescent="0.25">
      <c r="A34" s="54">
        <v>28</v>
      </c>
      <c r="B34" s="98" t="str">
        <f>Linked_Table!A32</f>
        <v>2018-033</v>
      </c>
      <c r="C34" s="98" t="str">
        <f>Linked_Table!B32</f>
        <v>LandTrust for Central North Carolina - Deeck Pr, Mtn Cr</v>
      </c>
      <c r="D34" s="99">
        <f>Linked_Table!C32</f>
        <v>76</v>
      </c>
      <c r="E34" s="100">
        <f>Linked_Table!D32</f>
        <v>98100</v>
      </c>
      <c r="F34" s="100">
        <f t="shared" si="0"/>
        <v>98100</v>
      </c>
      <c r="G34" s="101">
        <f t="shared" si="4"/>
        <v>13631592</v>
      </c>
      <c r="H34" s="102"/>
      <c r="I34" s="103">
        <f t="shared" si="1"/>
        <v>0</v>
      </c>
      <c r="J34" s="100">
        <f>Linked_Table!F32</f>
        <v>491100</v>
      </c>
      <c r="K34" s="100">
        <f>Linked_Table!E32</f>
        <v>393000</v>
      </c>
      <c r="L34" s="104">
        <f t="shared" si="2"/>
        <v>0.80024434941967015</v>
      </c>
      <c r="M34" s="105" t="str">
        <f>Linked_Table!H32</f>
        <v>70</v>
      </c>
      <c r="N34" s="106">
        <f t="shared" si="3"/>
        <v>7015.7142857142853</v>
      </c>
      <c r="O34" s="107" t="str">
        <f>IF(Linked_Table!I32=TRUE,"X","")</f>
        <v>X</v>
      </c>
      <c r="P34" s="107" t="str">
        <f>IF(Linked_Table!J32=TRUE,"X","")</f>
        <v/>
      </c>
      <c r="Q34" s="107" t="str">
        <f>IF(Linked_Table!K32=TRUE,"X","")</f>
        <v>X</v>
      </c>
      <c r="R34" s="107" t="str">
        <f>IF(Linked_Table!L32=TRUE,"X","")</f>
        <v/>
      </c>
      <c r="S34" s="107" t="str">
        <f>IF(Linked_Table!M32=TRUE,"X","")</f>
        <v/>
      </c>
      <c r="T34" s="55" t="str">
        <f>Linked_Table!G32&amp;" ("&amp;Linked_Table!N32&amp;")"</f>
        <v>Stanly (2)</v>
      </c>
      <c r="U34" s="55" t="str">
        <f>Linked_Table!T32</f>
        <v>Justin Mercer</v>
      </c>
      <c r="V34" s="12"/>
      <c r="W34" s="12"/>
      <c r="X34" s="12"/>
      <c r="Y34" s="12"/>
      <c r="Z34" s="12"/>
      <c r="AA34" s="12"/>
      <c r="AB34" s="12"/>
      <c r="AC34" s="12"/>
      <c r="AD34" s="12"/>
      <c r="AE34" s="12"/>
    </row>
    <row r="35" spans="1:31" ht="30" x14ac:dyDescent="0.25">
      <c r="A35" s="54">
        <v>29</v>
      </c>
      <c r="B35" s="98" t="str">
        <f>Linked_Table!A33</f>
        <v>2018-067</v>
      </c>
      <c r="C35" s="98" t="str">
        <f>Linked_Table!B33</f>
        <v>The Nature Conservancy - Brown Tr, Black R</v>
      </c>
      <c r="D35" s="99">
        <f>Linked_Table!C33</f>
        <v>76</v>
      </c>
      <c r="E35" s="100">
        <f>Linked_Table!D33</f>
        <v>32181</v>
      </c>
      <c r="F35" s="100">
        <f t="shared" si="0"/>
        <v>32181</v>
      </c>
      <c r="G35" s="101">
        <f t="shared" si="4"/>
        <v>13663773</v>
      </c>
      <c r="H35" s="102"/>
      <c r="I35" s="103">
        <f t="shared" si="1"/>
        <v>0</v>
      </c>
      <c r="J35" s="100">
        <f>Linked_Table!F33</f>
        <v>60877</v>
      </c>
      <c r="K35" s="100">
        <f>Linked_Table!E33</f>
        <v>28696</v>
      </c>
      <c r="L35" s="104">
        <f t="shared" si="2"/>
        <v>0.47137671041608487</v>
      </c>
      <c r="M35" s="105" t="str">
        <f>Linked_Table!H33</f>
        <v>35</v>
      </c>
      <c r="N35" s="106">
        <f t="shared" si="3"/>
        <v>1739.3428571428572</v>
      </c>
      <c r="O35" s="107" t="str">
        <f>IF(Linked_Table!I33=TRUE,"X","")</f>
        <v>X</v>
      </c>
      <c r="P35" s="107" t="str">
        <f>IF(Linked_Table!J33=TRUE,"X","")</f>
        <v/>
      </c>
      <c r="Q35" s="107" t="str">
        <f>IF(Linked_Table!K33=TRUE,"X","")</f>
        <v>X</v>
      </c>
      <c r="R35" s="107" t="str">
        <f>IF(Linked_Table!L33=TRUE,"X","")</f>
        <v/>
      </c>
      <c r="S35" s="107" t="str">
        <f>IF(Linked_Table!M33=TRUE,"X","")</f>
        <v/>
      </c>
      <c r="T35" s="55" t="str">
        <f>Linked_Table!G33&amp;" ("&amp;Linked_Table!N33&amp;")"</f>
        <v>Bladen (1)</v>
      </c>
      <c r="U35" s="55" t="str">
        <f>Linked_Table!T33</f>
        <v>Justin Mercer</v>
      </c>
      <c r="V35" s="12"/>
      <c r="W35" s="12"/>
      <c r="X35" s="12"/>
      <c r="Y35" s="12"/>
      <c r="Z35" s="12"/>
      <c r="AA35" s="12"/>
      <c r="AB35" s="12"/>
      <c r="AC35" s="12"/>
      <c r="AD35" s="12"/>
      <c r="AE35" s="12"/>
    </row>
    <row r="36" spans="1:31" ht="30" x14ac:dyDescent="0.25">
      <c r="A36" s="54">
        <v>30</v>
      </c>
      <c r="B36" s="98" t="str">
        <f>Linked_Table!A34</f>
        <v>2018-018</v>
      </c>
      <c r="C36" s="98" t="str">
        <f>Linked_Table!B34</f>
        <v>Civil War Preservation Trust Fund - Ray &amp; Ellis, Averasboro BF</v>
      </c>
      <c r="D36" s="99">
        <f>Linked_Table!C34</f>
        <v>76</v>
      </c>
      <c r="E36" s="100">
        <f>Linked_Table!D34</f>
        <v>139355</v>
      </c>
      <c r="F36" s="100">
        <f t="shared" si="0"/>
        <v>139355</v>
      </c>
      <c r="G36" s="101">
        <f t="shared" si="4"/>
        <v>13803128</v>
      </c>
      <c r="H36" s="102"/>
      <c r="I36" s="103">
        <f t="shared" si="1"/>
        <v>0</v>
      </c>
      <c r="J36" s="100">
        <f>Linked_Table!F34</f>
        <v>268235</v>
      </c>
      <c r="K36" s="100">
        <f>Linked_Table!E34</f>
        <v>128880</v>
      </c>
      <c r="L36" s="104">
        <f t="shared" si="2"/>
        <v>0.48047421104628402</v>
      </c>
      <c r="M36" s="105" t="str">
        <f>Linked_Table!H34</f>
        <v>49</v>
      </c>
      <c r="N36" s="106">
        <f t="shared" si="3"/>
        <v>5474.1836734693879</v>
      </c>
      <c r="O36" s="107" t="str">
        <f>IF(Linked_Table!I34=TRUE,"X","")</f>
        <v>X</v>
      </c>
      <c r="P36" s="107" t="str">
        <f>IF(Linked_Table!J34=TRUE,"X","")</f>
        <v/>
      </c>
      <c r="Q36" s="107" t="str">
        <f>IF(Linked_Table!K34=TRUE,"X","")</f>
        <v>X</v>
      </c>
      <c r="R36" s="107" t="str">
        <f>IF(Linked_Table!L34=TRUE,"X","")</f>
        <v>X</v>
      </c>
      <c r="S36" s="107" t="str">
        <f>IF(Linked_Table!M34=TRUE,"X","")</f>
        <v/>
      </c>
      <c r="T36" s="55" t="str">
        <f>Linked_Table!G34&amp;" ("&amp;Linked_Table!N34&amp;")"</f>
        <v>Harnett (2)</v>
      </c>
      <c r="U36" s="55" t="str">
        <f>Linked_Table!T34</f>
        <v>Justin Mercer</v>
      </c>
      <c r="V36" s="12"/>
      <c r="W36" s="12"/>
      <c r="X36" s="12"/>
      <c r="Y36" s="12"/>
      <c r="Z36" s="12"/>
      <c r="AA36" s="12"/>
      <c r="AB36" s="12"/>
      <c r="AC36" s="12"/>
      <c r="AD36" s="12"/>
      <c r="AE36" s="12"/>
    </row>
    <row r="37" spans="1:31" ht="30" x14ac:dyDescent="0.25">
      <c r="A37" s="54">
        <v>31</v>
      </c>
      <c r="B37" s="98" t="str">
        <f>Linked_Table!A35</f>
        <v>2018-047</v>
      </c>
      <c r="C37" s="98" t="str">
        <f>Linked_Table!B35</f>
        <v>NC Department of Natural and Cultural Resources - Sharpe &amp; Drake Tr, Alamance BG</v>
      </c>
      <c r="D37" s="99">
        <f>Linked_Table!C35</f>
        <v>76</v>
      </c>
      <c r="E37" s="100">
        <f>Linked_Table!D35</f>
        <v>304181</v>
      </c>
      <c r="F37" s="100">
        <f t="shared" si="0"/>
        <v>304181</v>
      </c>
      <c r="G37" s="101">
        <f t="shared" si="4"/>
        <v>14107309</v>
      </c>
      <c r="H37" s="102"/>
      <c r="I37" s="103">
        <f t="shared" si="1"/>
        <v>0</v>
      </c>
      <c r="J37" s="100">
        <f>Linked_Table!F35</f>
        <v>434902</v>
      </c>
      <c r="K37" s="100">
        <f>Linked_Table!E35</f>
        <v>130721</v>
      </c>
      <c r="L37" s="104">
        <f t="shared" si="2"/>
        <v>0.30057576189578344</v>
      </c>
      <c r="M37" s="105" t="str">
        <f>Linked_Table!H35</f>
        <v>45</v>
      </c>
      <c r="N37" s="106">
        <f t="shared" si="3"/>
        <v>9664.4888888888891</v>
      </c>
      <c r="O37" s="107" t="str">
        <f>IF(Linked_Table!I35=TRUE,"X","")</f>
        <v>X</v>
      </c>
      <c r="P37" s="107" t="str">
        <f>IF(Linked_Table!J35=TRUE,"X","")</f>
        <v/>
      </c>
      <c r="Q37" s="107" t="str">
        <f>IF(Linked_Table!K35=TRUE,"X","")</f>
        <v/>
      </c>
      <c r="R37" s="107" t="str">
        <f>IF(Linked_Table!L35=TRUE,"X","")</f>
        <v>X</v>
      </c>
      <c r="S37" s="107" t="str">
        <f>IF(Linked_Table!M35=TRUE,"X","")</f>
        <v/>
      </c>
      <c r="T37" s="55" t="str">
        <f>Linked_Table!G35&amp;" ("&amp;Linked_Table!N35&amp;")"</f>
        <v>Alamance (2)</v>
      </c>
      <c r="U37" s="55" t="str">
        <f>Linked_Table!T35</f>
        <v>Justin Mercer</v>
      </c>
      <c r="V37" s="12"/>
      <c r="W37" s="12"/>
      <c r="X37" s="12"/>
      <c r="Y37" s="12"/>
      <c r="Z37" s="12"/>
      <c r="AA37" s="12"/>
      <c r="AB37" s="12"/>
      <c r="AC37" s="12"/>
      <c r="AD37" s="12"/>
      <c r="AE37" s="12"/>
    </row>
    <row r="38" spans="1:31" ht="30" x14ac:dyDescent="0.25">
      <c r="A38" s="54">
        <v>32</v>
      </c>
      <c r="B38" s="98" t="str">
        <f>Linked_Table!A36</f>
        <v>2018-066</v>
      </c>
      <c r="C38" s="98" t="str">
        <f>Linked_Table!B36</f>
        <v>Triangle Land Conservancy - Turnipseed South</v>
      </c>
      <c r="D38" s="99">
        <f>Linked_Table!C36</f>
        <v>76</v>
      </c>
      <c r="E38" s="100">
        <f>Linked_Table!D36</f>
        <v>443511</v>
      </c>
      <c r="F38" s="100">
        <f t="shared" si="0"/>
        <v>443511</v>
      </c>
      <c r="G38" s="101">
        <f t="shared" si="4"/>
        <v>14550820</v>
      </c>
      <c r="H38" s="102"/>
      <c r="I38" s="103">
        <f t="shared" si="1"/>
        <v>0</v>
      </c>
      <c r="J38" s="100">
        <f>Linked_Table!F36</f>
        <v>989861</v>
      </c>
      <c r="K38" s="100">
        <f>Linked_Table!E36</f>
        <v>546350</v>
      </c>
      <c r="L38" s="108">
        <f t="shared" si="2"/>
        <v>0.55194618234277337</v>
      </c>
      <c r="M38" s="105" t="str">
        <f>Linked_Table!H36</f>
        <v>54</v>
      </c>
      <c r="N38" s="106">
        <f t="shared" si="3"/>
        <v>18330.759259259259</v>
      </c>
      <c r="O38" s="107" t="str">
        <f>IF(Linked_Table!I36=TRUE,"X","")</f>
        <v>X</v>
      </c>
      <c r="P38" s="107" t="str">
        <f>IF(Linked_Table!J36=TRUE,"X","")</f>
        <v>X</v>
      </c>
      <c r="Q38" s="107" t="str">
        <f>IF(Linked_Table!K36=TRUE,"X","")</f>
        <v>X</v>
      </c>
      <c r="R38" s="107" t="str">
        <f>IF(Linked_Table!L36=TRUE,"X","")</f>
        <v>X</v>
      </c>
      <c r="S38" s="107" t="str">
        <f>IF(Linked_Table!M36=TRUE,"X","")</f>
        <v/>
      </c>
      <c r="T38" s="55" t="str">
        <f>Linked_Table!G36&amp;" ("&amp;Linked_Table!N36&amp;")"</f>
        <v>Wake (3)</v>
      </c>
      <c r="U38" s="55" t="str">
        <f>Linked_Table!T36</f>
        <v>Justin Mercer</v>
      </c>
      <c r="V38" s="12"/>
      <c r="W38" s="12"/>
      <c r="X38" s="12"/>
      <c r="Y38" s="12"/>
      <c r="Z38" s="12"/>
      <c r="AA38" s="12"/>
      <c r="AB38" s="12"/>
      <c r="AC38" s="12"/>
      <c r="AD38" s="12"/>
      <c r="AE38" s="12"/>
    </row>
    <row r="39" spans="1:31" ht="30" x14ac:dyDescent="0.25">
      <c r="A39" s="54">
        <v>33</v>
      </c>
      <c r="B39" s="98" t="str">
        <f>Linked_Table!A37</f>
        <v>2018-053</v>
      </c>
      <c r="C39" s="98" t="str">
        <f>Linked_Table!B37</f>
        <v>Orange Co - Sevenmile Cr Preserve</v>
      </c>
      <c r="D39" s="99">
        <f>Linked_Table!C37</f>
        <v>76</v>
      </c>
      <c r="E39" s="100">
        <f>Linked_Table!D37</f>
        <v>1300000</v>
      </c>
      <c r="F39" s="100">
        <f t="shared" ref="F39:F70" si="5">IF(E39&lt;$F$4,E39,$F$4)</f>
        <v>1300000</v>
      </c>
      <c r="G39" s="101">
        <f t="shared" si="4"/>
        <v>15850820</v>
      </c>
      <c r="H39" s="102"/>
      <c r="I39" s="103">
        <f t="shared" si="1"/>
        <v>0</v>
      </c>
      <c r="J39" s="100">
        <f>Linked_Table!F37</f>
        <v>2813500</v>
      </c>
      <c r="K39" s="100">
        <f>Linked_Table!E37</f>
        <v>1513500</v>
      </c>
      <c r="L39" s="108">
        <f t="shared" si="2"/>
        <v>0.53794206504354003</v>
      </c>
      <c r="M39" s="105" t="str">
        <f>Linked_Table!H37</f>
        <v>195</v>
      </c>
      <c r="N39" s="106">
        <f t="shared" si="3"/>
        <v>14428.205128205129</v>
      </c>
      <c r="O39" s="107" t="str">
        <f>IF(Linked_Table!I37=TRUE,"X","")</f>
        <v>X</v>
      </c>
      <c r="P39" s="107" t="str">
        <f>IF(Linked_Table!J37=TRUE,"X","")</f>
        <v>X</v>
      </c>
      <c r="Q39" s="107" t="str">
        <f>IF(Linked_Table!K37=TRUE,"X","")</f>
        <v>X</v>
      </c>
      <c r="R39" s="107" t="str">
        <f>IF(Linked_Table!L37=TRUE,"X","")</f>
        <v>X</v>
      </c>
      <c r="S39" s="107" t="str">
        <f>IF(Linked_Table!M37=TRUE,"X","")</f>
        <v/>
      </c>
      <c r="T39" s="55" t="str">
        <f>Linked_Table!G37&amp;" ("&amp;Linked_Table!N37&amp;")"</f>
        <v>Orange (3)</v>
      </c>
      <c r="U39" s="55" t="str">
        <f>Linked_Table!T37</f>
        <v>Justin Mercer</v>
      </c>
      <c r="V39" s="12"/>
      <c r="W39" s="12"/>
      <c r="X39" s="12"/>
      <c r="Y39" s="12"/>
      <c r="Z39" s="12"/>
      <c r="AA39" s="12"/>
      <c r="AB39" s="12"/>
      <c r="AC39" s="12"/>
      <c r="AD39" s="12"/>
      <c r="AE39" s="12"/>
    </row>
    <row r="40" spans="1:31" ht="30" x14ac:dyDescent="0.25">
      <c r="A40" s="54">
        <v>34</v>
      </c>
      <c r="B40" s="98" t="str">
        <f>Linked_Table!A38</f>
        <v>2018-052</v>
      </c>
      <c r="C40" s="98" t="str">
        <f>Linked_Table!B38</f>
        <v>NC Wildlife Resources Commission - Rocky Swp</v>
      </c>
      <c r="D40" s="99">
        <f>Linked_Table!C38</f>
        <v>76</v>
      </c>
      <c r="E40" s="100">
        <f>Linked_Table!D38</f>
        <v>592414</v>
      </c>
      <c r="F40" s="100">
        <f t="shared" si="5"/>
        <v>592414</v>
      </c>
      <c r="G40" s="101">
        <f t="shared" si="4"/>
        <v>16443234</v>
      </c>
      <c r="H40" s="102"/>
      <c r="I40" s="103">
        <f t="shared" si="1"/>
        <v>0</v>
      </c>
      <c r="J40" s="100">
        <f>Linked_Table!F38</f>
        <v>2369655</v>
      </c>
      <c r="K40" s="100">
        <f>Linked_Table!E38</f>
        <v>1777241</v>
      </c>
      <c r="L40" s="108">
        <f t="shared" si="2"/>
        <v>0.74999989449941029</v>
      </c>
      <c r="M40" s="105" t="str">
        <f>Linked_Table!H38</f>
        <v>1,344</v>
      </c>
      <c r="N40" s="106">
        <f t="shared" si="3"/>
        <v>1763.1361607142858</v>
      </c>
      <c r="O40" s="107" t="str">
        <f>IF(Linked_Table!I38=TRUE,"X","")</f>
        <v>X</v>
      </c>
      <c r="P40" s="107" t="str">
        <f>IF(Linked_Table!J38=TRUE,"X","")</f>
        <v/>
      </c>
      <c r="Q40" s="107" t="str">
        <f>IF(Linked_Table!K38=TRUE,"X","")</f>
        <v>X</v>
      </c>
      <c r="R40" s="107" t="str">
        <f>IF(Linked_Table!L38=TRUE,"X","")</f>
        <v/>
      </c>
      <c r="S40" s="107" t="str">
        <f>IF(Linked_Table!M38=TRUE,"X","")</f>
        <v/>
      </c>
      <c r="T40" s="55" t="str">
        <f>Linked_Table!G38&amp;" ("&amp;Linked_Table!N38&amp;")"</f>
        <v>Halifax (1)</v>
      </c>
      <c r="U40" s="55" t="str">
        <f>Linked_Table!T38</f>
        <v>Justin Mercer</v>
      </c>
      <c r="V40" s="12"/>
      <c r="W40" s="12"/>
      <c r="X40" s="12"/>
      <c r="Y40" s="12"/>
      <c r="Z40" s="12"/>
      <c r="AA40" s="12"/>
      <c r="AB40" s="12"/>
      <c r="AC40" s="12"/>
      <c r="AD40" s="12"/>
      <c r="AE40" s="12"/>
    </row>
    <row r="41" spans="1:31" ht="30" x14ac:dyDescent="0.25">
      <c r="A41" s="54">
        <v>35</v>
      </c>
      <c r="B41" s="98" t="str">
        <f>Linked_Table!A39</f>
        <v>2018-051</v>
      </c>
      <c r="C41" s="98" t="str">
        <f>Linked_Table!B39</f>
        <v>NC Wildlife Resources Commission - Herrin Tr, Pond Mtn GL</v>
      </c>
      <c r="D41" s="99">
        <f>Linked_Table!C39</f>
        <v>76</v>
      </c>
      <c r="E41" s="100">
        <f>Linked_Table!D39</f>
        <v>200000</v>
      </c>
      <c r="F41" s="100">
        <f t="shared" si="5"/>
        <v>200000</v>
      </c>
      <c r="G41" s="101">
        <f t="shared" si="4"/>
        <v>16643234</v>
      </c>
      <c r="H41" s="102"/>
      <c r="I41" s="103">
        <f t="shared" si="1"/>
        <v>0</v>
      </c>
      <c r="J41" s="100">
        <f>Linked_Table!F39</f>
        <v>598000</v>
      </c>
      <c r="K41" s="100">
        <f>Linked_Table!E39</f>
        <v>398000</v>
      </c>
      <c r="L41" s="108">
        <f t="shared" si="2"/>
        <v>0.66555183946488294</v>
      </c>
      <c r="M41" s="105" t="str">
        <f>Linked_Table!H39</f>
        <v>171</v>
      </c>
      <c r="N41" s="106">
        <f t="shared" si="3"/>
        <v>3497.0760233918127</v>
      </c>
      <c r="O41" s="107" t="str">
        <f>IF(Linked_Table!I39=TRUE,"X","")</f>
        <v>X</v>
      </c>
      <c r="P41" s="107" t="str">
        <f>IF(Linked_Table!J39=TRUE,"X","")</f>
        <v/>
      </c>
      <c r="Q41" s="107" t="str">
        <f>IF(Linked_Table!K39=TRUE,"X","")</f>
        <v>X</v>
      </c>
      <c r="R41" s="107" t="str">
        <f>IF(Linked_Table!L39=TRUE,"X","")</f>
        <v/>
      </c>
      <c r="S41" s="107" t="str">
        <f>IF(Linked_Table!M39=TRUE,"X","")</f>
        <v/>
      </c>
      <c r="T41" s="55" t="str">
        <f>Linked_Table!G39&amp;" ("&amp;Linked_Table!N39&amp;")"</f>
        <v>Ashe (1)</v>
      </c>
      <c r="U41" s="55" t="str">
        <f>Linked_Table!T39</f>
        <v>Damon Hearne</v>
      </c>
      <c r="V41" s="12"/>
      <c r="W41" s="12"/>
      <c r="X41" s="12"/>
      <c r="Y41" s="12"/>
      <c r="Z41" s="12"/>
      <c r="AA41" s="12"/>
      <c r="AB41" s="12"/>
      <c r="AC41" s="12"/>
      <c r="AD41" s="12"/>
      <c r="AE41" s="12"/>
    </row>
    <row r="42" spans="1:31" ht="30" x14ac:dyDescent="0.25">
      <c r="A42" s="54">
        <v>36</v>
      </c>
      <c r="B42" s="98" t="str">
        <f>Linked_Table!A40</f>
        <v>2018-080</v>
      </c>
      <c r="C42" s="98" t="str">
        <f>Linked_Table!B40</f>
        <v>Winston-Salem - Muddy Cr Pr, Historic Bethania</v>
      </c>
      <c r="D42" s="99">
        <f>Linked_Table!C40</f>
        <v>76</v>
      </c>
      <c r="E42" s="100">
        <f>Linked_Table!D40</f>
        <v>123250</v>
      </c>
      <c r="F42" s="100">
        <f t="shared" si="5"/>
        <v>123250</v>
      </c>
      <c r="G42" s="101">
        <f t="shared" si="4"/>
        <v>16766484</v>
      </c>
      <c r="H42" s="102"/>
      <c r="I42" s="103">
        <f t="shared" si="1"/>
        <v>0</v>
      </c>
      <c r="J42" s="100">
        <f>Linked_Table!F40</f>
        <v>269000</v>
      </c>
      <c r="K42" s="100">
        <f>Linked_Table!E40</f>
        <v>145750</v>
      </c>
      <c r="L42" s="108">
        <f t="shared" si="2"/>
        <v>0.54182156133828996</v>
      </c>
      <c r="M42" s="105" t="str">
        <f>Linked_Table!H40</f>
        <v>63</v>
      </c>
      <c r="N42" s="106">
        <f t="shared" si="3"/>
        <v>4269.8412698412694</v>
      </c>
      <c r="O42" s="107" t="str">
        <f>IF(Linked_Table!I40=TRUE,"X","")</f>
        <v>X</v>
      </c>
      <c r="P42" s="107" t="str">
        <f>IF(Linked_Table!J40=TRUE,"X","")</f>
        <v>X</v>
      </c>
      <c r="Q42" s="107" t="str">
        <f>IF(Linked_Table!K40=TRUE,"X","")</f>
        <v/>
      </c>
      <c r="R42" s="107" t="str">
        <f>IF(Linked_Table!L40=TRUE,"X","")</f>
        <v>X</v>
      </c>
      <c r="S42" s="107" t="str">
        <f>IF(Linked_Table!M40=TRUE,"X","")</f>
        <v/>
      </c>
      <c r="T42" s="55" t="str">
        <f>Linked_Table!G40&amp;" ("&amp;Linked_Table!N40&amp;")"</f>
        <v>Forsyth (2)</v>
      </c>
      <c r="U42" s="55" t="str">
        <f>Linked_Table!T40</f>
        <v>Justin Mercer</v>
      </c>
      <c r="V42" s="12"/>
      <c r="W42" s="12"/>
      <c r="X42" s="12"/>
      <c r="Y42" s="12"/>
      <c r="Z42" s="12"/>
      <c r="AA42" s="12"/>
      <c r="AB42" s="12"/>
      <c r="AC42" s="12"/>
      <c r="AD42" s="12"/>
      <c r="AE42" s="12"/>
    </row>
    <row r="43" spans="1:31" ht="30" x14ac:dyDescent="0.25">
      <c r="A43" s="54">
        <v>37</v>
      </c>
      <c r="B43" s="98" t="str">
        <f>Linked_Table!A41</f>
        <v>2018-076</v>
      </c>
      <c r="C43" s="98" t="str">
        <f>Linked_Table!B41</f>
        <v>Tar River Land Conservancy - Hunter Tr, Little Fishing Cr</v>
      </c>
      <c r="D43" s="99">
        <f>Linked_Table!C41</f>
        <v>75</v>
      </c>
      <c r="E43" s="100">
        <f>Linked_Table!D41</f>
        <v>65403</v>
      </c>
      <c r="F43" s="100">
        <f t="shared" si="5"/>
        <v>65403</v>
      </c>
      <c r="G43" s="101">
        <f t="shared" si="4"/>
        <v>16831887</v>
      </c>
      <c r="H43" s="102"/>
      <c r="I43" s="103">
        <f t="shared" si="1"/>
        <v>0</v>
      </c>
      <c r="J43" s="100">
        <f>Linked_Table!F41</f>
        <v>133903</v>
      </c>
      <c r="K43" s="100">
        <f>Linked_Table!E41</f>
        <v>68500</v>
      </c>
      <c r="L43" s="108">
        <f t="shared" si="2"/>
        <v>0.51156434135157536</v>
      </c>
      <c r="M43" s="105" t="str">
        <f>Linked_Table!H41</f>
        <v>30</v>
      </c>
      <c r="N43" s="106">
        <f t="shared" si="3"/>
        <v>4463.4333333333334</v>
      </c>
      <c r="O43" s="107" t="str">
        <f>IF(Linked_Table!I41=TRUE,"X","")</f>
        <v>X</v>
      </c>
      <c r="P43" s="107" t="str">
        <f>IF(Linked_Table!J41=TRUE,"X","")</f>
        <v/>
      </c>
      <c r="Q43" s="107" t="str">
        <f>IF(Linked_Table!K41=TRUE,"X","")</f>
        <v>X</v>
      </c>
      <c r="R43" s="107" t="str">
        <f>IF(Linked_Table!L41=TRUE,"X","")</f>
        <v/>
      </c>
      <c r="S43" s="107" t="str">
        <f>IF(Linked_Table!M41=TRUE,"X","")</f>
        <v/>
      </c>
      <c r="T43" s="55" t="str">
        <f>Linked_Table!G41&amp;" ("&amp;Linked_Table!N41&amp;")"</f>
        <v>Halifax (1)</v>
      </c>
      <c r="U43" s="55" t="str">
        <f>Linked_Table!T41</f>
        <v>Justin Mercer</v>
      </c>
      <c r="V43" s="12"/>
      <c r="W43" s="12"/>
      <c r="X43" s="12"/>
      <c r="Y43" s="12"/>
      <c r="Z43" s="12"/>
      <c r="AA43" s="12"/>
      <c r="AB43" s="12"/>
      <c r="AC43" s="12"/>
      <c r="AD43" s="12"/>
      <c r="AE43" s="12"/>
    </row>
    <row r="44" spans="1:31" ht="30" x14ac:dyDescent="0.25">
      <c r="A44" s="54">
        <v>38</v>
      </c>
      <c r="B44" s="98" t="str">
        <f>Linked_Table!A42</f>
        <v>2018-040</v>
      </c>
      <c r="C44" s="98" t="str">
        <f>Linked_Table!B42</f>
        <v>Maggie Valley Sanitary District - Campbell Lick Trs</v>
      </c>
      <c r="D44" s="99">
        <f>Linked_Table!C42</f>
        <v>75</v>
      </c>
      <c r="E44" s="100">
        <f>Linked_Table!D42</f>
        <v>925125</v>
      </c>
      <c r="F44" s="100">
        <f t="shared" si="5"/>
        <v>925125</v>
      </c>
      <c r="G44" s="101">
        <f t="shared" si="4"/>
        <v>17757012</v>
      </c>
      <c r="H44" s="102"/>
      <c r="I44" s="103">
        <f t="shared" si="1"/>
        <v>0</v>
      </c>
      <c r="J44" s="100">
        <f>Linked_Table!F42</f>
        <v>1982985</v>
      </c>
      <c r="K44" s="100">
        <f>Linked_Table!E42</f>
        <v>1057860</v>
      </c>
      <c r="L44" s="108">
        <f t="shared" si="2"/>
        <v>0.53346848312014461</v>
      </c>
      <c r="M44" s="105" t="str">
        <f>Linked_Table!H42</f>
        <v>471</v>
      </c>
      <c r="N44" s="106">
        <f t="shared" si="3"/>
        <v>4210.1592356687897</v>
      </c>
      <c r="O44" s="107" t="str">
        <f>IF(Linked_Table!I42=TRUE,"X","")</f>
        <v>X</v>
      </c>
      <c r="P44" s="107" t="str">
        <f>IF(Linked_Table!J42=TRUE,"X","")</f>
        <v/>
      </c>
      <c r="Q44" s="107" t="str">
        <f>IF(Linked_Table!K42=TRUE,"X","")</f>
        <v>X</v>
      </c>
      <c r="R44" s="107" t="str">
        <f>IF(Linked_Table!L42=TRUE,"X","")</f>
        <v/>
      </c>
      <c r="S44" s="107" t="str">
        <f>IF(Linked_Table!M42=TRUE,"X","")</f>
        <v/>
      </c>
      <c r="T44" s="55" t="str">
        <f>Linked_Table!G42&amp;" ("&amp;Linked_Table!N42&amp;")"</f>
        <v>Haywood (3)</v>
      </c>
      <c r="U44" s="55" t="str">
        <f>Linked_Table!T42</f>
        <v>Damon Hearne</v>
      </c>
      <c r="V44" s="12"/>
      <c r="W44" s="12"/>
      <c r="X44" s="12"/>
      <c r="Y44" s="12"/>
      <c r="Z44" s="12"/>
      <c r="AA44" s="12"/>
      <c r="AB44" s="12"/>
      <c r="AC44" s="12"/>
      <c r="AD44" s="12"/>
      <c r="AE44" s="12"/>
    </row>
    <row r="45" spans="1:31" ht="30" x14ac:dyDescent="0.25">
      <c r="A45" s="54">
        <v>39</v>
      </c>
      <c r="B45" s="98" t="str">
        <f>Linked_Table!A43</f>
        <v>2018-049</v>
      </c>
      <c r="C45" s="98" t="str">
        <f>Linked_Table!B43</f>
        <v>NC Forest Service - Addition Trs, Headwaters SF</v>
      </c>
      <c r="D45" s="99">
        <f>Linked_Table!C43</f>
        <v>75</v>
      </c>
      <c r="E45" s="100">
        <f>Linked_Table!D43</f>
        <v>1200000</v>
      </c>
      <c r="F45" s="100">
        <f t="shared" si="5"/>
        <v>1200000</v>
      </c>
      <c r="G45" s="101">
        <f t="shared" si="4"/>
        <v>18957012</v>
      </c>
      <c r="H45" s="102"/>
      <c r="I45" s="103">
        <f t="shared" si="1"/>
        <v>0</v>
      </c>
      <c r="J45" s="100">
        <f>Linked_Table!F43</f>
        <v>2130000</v>
      </c>
      <c r="K45" s="100">
        <f>Linked_Table!E43</f>
        <v>930000</v>
      </c>
      <c r="L45" s="108">
        <f t="shared" si="2"/>
        <v>0.43661971830985913</v>
      </c>
      <c r="M45" s="105" t="str">
        <f>Linked_Table!H43</f>
        <v>275</v>
      </c>
      <c r="N45" s="106">
        <f t="shared" si="3"/>
        <v>7745.454545454545</v>
      </c>
      <c r="O45" s="107" t="str">
        <f>IF(Linked_Table!I43=TRUE,"X","")</f>
        <v>X</v>
      </c>
      <c r="P45" s="107" t="str">
        <f>IF(Linked_Table!J43=TRUE,"X","")</f>
        <v/>
      </c>
      <c r="Q45" s="107" t="str">
        <f>IF(Linked_Table!K43=TRUE,"X","")</f>
        <v>X</v>
      </c>
      <c r="R45" s="107" t="str">
        <f>IF(Linked_Table!L43=TRUE,"X","")</f>
        <v/>
      </c>
      <c r="S45" s="107" t="str">
        <f>IF(Linked_Table!M43=TRUE,"X","")</f>
        <v/>
      </c>
      <c r="T45" s="55" t="str">
        <f>Linked_Table!G43&amp;" ("&amp;Linked_Table!N43&amp;")"</f>
        <v>Transylvania (2)</v>
      </c>
      <c r="U45" s="55" t="str">
        <f>Linked_Table!T43</f>
        <v>Damon Hearne</v>
      </c>
      <c r="V45" s="12"/>
      <c r="W45" s="12"/>
      <c r="X45" s="12"/>
      <c r="Y45" s="12"/>
      <c r="Z45" s="12"/>
      <c r="AA45" s="12"/>
      <c r="AB45" s="12"/>
      <c r="AC45" s="12"/>
      <c r="AD45" s="12"/>
      <c r="AE45" s="12"/>
    </row>
    <row r="46" spans="1:31" ht="30" x14ac:dyDescent="0.25">
      <c r="A46" s="54">
        <v>40</v>
      </c>
      <c r="B46" s="98" t="str">
        <f>Linked_Table!A44</f>
        <v>2018-041</v>
      </c>
      <c r="C46" s="98" t="str">
        <f>Linked_Table!B44</f>
        <v>Maggie Valley Sanitary District - Johnson Br Trs</v>
      </c>
      <c r="D46" s="99">
        <f>Linked_Table!C44</f>
        <v>75</v>
      </c>
      <c r="E46" s="100">
        <f>Linked_Table!D44</f>
        <v>1281865</v>
      </c>
      <c r="F46" s="100">
        <f t="shared" si="5"/>
        <v>1281865</v>
      </c>
      <c r="G46" s="101">
        <f t="shared" si="4"/>
        <v>20238877</v>
      </c>
      <c r="H46" s="102"/>
      <c r="I46" s="103">
        <f t="shared" si="1"/>
        <v>0</v>
      </c>
      <c r="J46" s="100">
        <f>Linked_Table!F44</f>
        <v>4177325</v>
      </c>
      <c r="K46" s="100">
        <f>Linked_Table!E44</f>
        <v>2895460</v>
      </c>
      <c r="L46" s="108">
        <f t="shared" si="2"/>
        <v>0.69313735464681347</v>
      </c>
      <c r="M46" s="105" t="str">
        <f>Linked_Table!H44</f>
        <v>1015</v>
      </c>
      <c r="N46" s="106">
        <f t="shared" si="3"/>
        <v>4115.5911330049257</v>
      </c>
      <c r="O46" s="107" t="str">
        <f>IF(Linked_Table!I44=TRUE,"X","")</f>
        <v>X</v>
      </c>
      <c r="P46" s="107" t="str">
        <f>IF(Linked_Table!J44=TRUE,"X","")</f>
        <v/>
      </c>
      <c r="Q46" s="107" t="str">
        <f>IF(Linked_Table!K44=TRUE,"X","")</f>
        <v>X</v>
      </c>
      <c r="R46" s="107" t="str">
        <f>IF(Linked_Table!L44=TRUE,"X","")</f>
        <v/>
      </c>
      <c r="S46" s="107" t="str">
        <f>IF(Linked_Table!M44=TRUE,"X","")</f>
        <v/>
      </c>
      <c r="T46" s="55" t="str">
        <f>Linked_Table!G44&amp;" ("&amp;Linked_Table!N44&amp;")"</f>
        <v>Haywood (3)</v>
      </c>
      <c r="U46" s="55" t="str">
        <f>Linked_Table!T44</f>
        <v>Damon Hearne</v>
      </c>
      <c r="V46" s="12"/>
      <c r="W46" s="12"/>
      <c r="X46" s="12"/>
      <c r="Y46" s="12"/>
      <c r="Z46" s="12"/>
      <c r="AA46" s="12"/>
      <c r="AB46" s="12"/>
      <c r="AC46" s="12"/>
      <c r="AD46" s="12"/>
      <c r="AE46" s="12"/>
    </row>
    <row r="47" spans="1:31" ht="30" x14ac:dyDescent="0.25">
      <c r="A47" s="54">
        <v>41</v>
      </c>
      <c r="B47" s="98" t="str">
        <f>Linked_Table!A45</f>
        <v>2018-074</v>
      </c>
      <c r="C47" s="98" t="str">
        <f>Linked_Table!B45</f>
        <v>Tar River Land Conservancy - Hosley Tr, Shocco Cr</v>
      </c>
      <c r="D47" s="99">
        <f>Linked_Table!C45</f>
        <v>75</v>
      </c>
      <c r="E47" s="100">
        <f>Linked_Table!D45</f>
        <v>314754</v>
      </c>
      <c r="F47" s="100">
        <f t="shared" si="5"/>
        <v>314754</v>
      </c>
      <c r="G47" s="101">
        <f t="shared" si="4"/>
        <v>20553631</v>
      </c>
      <c r="H47" s="102"/>
      <c r="I47" s="103">
        <f t="shared" si="1"/>
        <v>0</v>
      </c>
      <c r="J47" s="100">
        <f>Linked_Table!F45</f>
        <v>764754</v>
      </c>
      <c r="K47" s="100">
        <f>Linked_Table!E45</f>
        <v>450000</v>
      </c>
      <c r="L47" s="108">
        <f t="shared" si="2"/>
        <v>0.5884245129806448</v>
      </c>
      <c r="M47" s="105" t="str">
        <f>Linked_Table!H45</f>
        <v>254</v>
      </c>
      <c r="N47" s="106">
        <f t="shared" si="3"/>
        <v>3010.8425196850394</v>
      </c>
      <c r="O47" s="107" t="str">
        <f>IF(Linked_Table!I45=TRUE,"X","")</f>
        <v>X</v>
      </c>
      <c r="P47" s="107" t="str">
        <f>IF(Linked_Table!J45=TRUE,"X","")</f>
        <v/>
      </c>
      <c r="Q47" s="107" t="str">
        <f>IF(Linked_Table!K45=TRUE,"X","")</f>
        <v>X</v>
      </c>
      <c r="R47" s="107" t="str">
        <f>IF(Linked_Table!L45=TRUE,"X","")</f>
        <v/>
      </c>
      <c r="S47" s="107" t="str">
        <f>IF(Linked_Table!M45=TRUE,"X","")</f>
        <v/>
      </c>
      <c r="T47" s="55" t="str">
        <f>Linked_Table!G45&amp;" ("&amp;Linked_Table!N45&amp;")"</f>
        <v>Franklin (2)</v>
      </c>
      <c r="U47" s="55" t="str">
        <f>Linked_Table!T45</f>
        <v>Justin Mercer</v>
      </c>
      <c r="V47" s="12"/>
      <c r="W47" s="12"/>
      <c r="X47" s="12"/>
      <c r="Y47" s="12"/>
      <c r="Z47" s="12"/>
      <c r="AA47" s="12"/>
      <c r="AB47" s="12"/>
      <c r="AC47" s="12"/>
      <c r="AD47" s="12"/>
      <c r="AE47" s="12"/>
    </row>
    <row r="48" spans="1:31" ht="30" x14ac:dyDescent="0.25">
      <c r="A48" s="54">
        <v>42</v>
      </c>
      <c r="B48" s="98" t="str">
        <f>Linked_Table!A46</f>
        <v>2018-071</v>
      </c>
      <c r="C48" s="98" t="str">
        <f>Linked_Table!B46</f>
        <v>The Nature Conservancy - Gray Tr, Flat Swp</v>
      </c>
      <c r="D48" s="99">
        <f>Linked_Table!C46</f>
        <v>75</v>
      </c>
      <c r="E48" s="100">
        <f>Linked_Table!D46</f>
        <v>387860</v>
      </c>
      <c r="F48" s="100">
        <f t="shared" si="5"/>
        <v>387860</v>
      </c>
      <c r="G48" s="101">
        <f t="shared" si="4"/>
        <v>20941491</v>
      </c>
      <c r="H48" s="102"/>
      <c r="I48" s="103">
        <f t="shared" si="1"/>
        <v>0</v>
      </c>
      <c r="J48" s="100">
        <f>Linked_Table!F46</f>
        <v>793660</v>
      </c>
      <c r="K48" s="100">
        <f>Linked_Table!E46</f>
        <v>405800</v>
      </c>
      <c r="L48" s="108">
        <f t="shared" si="2"/>
        <v>0.51130206889600083</v>
      </c>
      <c r="M48" s="105" t="str">
        <f>Linked_Table!H46</f>
        <v>50</v>
      </c>
      <c r="N48" s="106">
        <f t="shared" si="3"/>
        <v>15873.2</v>
      </c>
      <c r="O48" s="107" t="str">
        <f>IF(Linked_Table!I46=TRUE,"X","")</f>
        <v>X</v>
      </c>
      <c r="P48" s="107" t="str">
        <f>IF(Linked_Table!J46=TRUE,"X","")</f>
        <v/>
      </c>
      <c r="Q48" s="107" t="str">
        <f>IF(Linked_Table!K46=TRUE,"X","")</f>
        <v>X</v>
      </c>
      <c r="R48" s="107" t="str">
        <f>IF(Linked_Table!L46=TRUE,"X","")</f>
        <v/>
      </c>
      <c r="S48" s="107" t="str">
        <f>IF(Linked_Table!M46=TRUE,"X","")</f>
        <v>X</v>
      </c>
      <c r="T48" s="55" t="str">
        <f>Linked_Table!G46&amp;" ("&amp;Linked_Table!N46&amp;")"</f>
        <v>Onslow (2)</v>
      </c>
      <c r="U48" s="55" t="str">
        <f>Linked_Table!T46</f>
        <v>Justin Mercer</v>
      </c>
      <c r="V48" s="12"/>
      <c r="W48" s="12"/>
      <c r="X48" s="12"/>
      <c r="Y48" s="12"/>
      <c r="Z48" s="12"/>
      <c r="AA48" s="12"/>
      <c r="AB48" s="12"/>
      <c r="AC48" s="12"/>
      <c r="AD48" s="12"/>
      <c r="AE48" s="12"/>
    </row>
    <row r="49" spans="1:31" ht="30" x14ac:dyDescent="0.25">
      <c r="A49" s="54">
        <v>43</v>
      </c>
      <c r="B49" s="98" t="str">
        <f>Linked_Table!A47</f>
        <v>2018-070</v>
      </c>
      <c r="C49" s="98" t="str">
        <f>Linked_Table!B47</f>
        <v>The Nature Conservancy - Evans and K&amp;W, Black R</v>
      </c>
      <c r="D49" s="99">
        <f>Linked_Table!C47</f>
        <v>75</v>
      </c>
      <c r="E49" s="100">
        <f>Linked_Table!D47</f>
        <v>215452</v>
      </c>
      <c r="F49" s="100">
        <f t="shared" si="5"/>
        <v>215452</v>
      </c>
      <c r="G49" s="101">
        <f t="shared" si="4"/>
        <v>21156943</v>
      </c>
      <c r="H49" s="102"/>
      <c r="I49" s="103">
        <f t="shared" si="1"/>
        <v>0</v>
      </c>
      <c r="J49" s="100">
        <f>Linked_Table!F47</f>
        <v>439080</v>
      </c>
      <c r="K49" s="100">
        <f>Linked_Table!E47</f>
        <v>223628</v>
      </c>
      <c r="L49" s="108">
        <f t="shared" si="2"/>
        <v>0.50931037624123165</v>
      </c>
      <c r="M49" s="105" t="str">
        <f>Linked_Table!H47</f>
        <v>184</v>
      </c>
      <c r="N49" s="106">
        <f t="shared" si="3"/>
        <v>2386.304347826087</v>
      </c>
      <c r="O49" s="107" t="str">
        <f>IF(Linked_Table!I47=TRUE,"X","")</f>
        <v>X</v>
      </c>
      <c r="P49" s="107" t="str">
        <f>IF(Linked_Table!J47=TRUE,"X","")</f>
        <v/>
      </c>
      <c r="Q49" s="107" t="str">
        <f>IF(Linked_Table!K47=TRUE,"X","")</f>
        <v>X</v>
      </c>
      <c r="R49" s="107" t="str">
        <f>IF(Linked_Table!L47=TRUE,"X","")</f>
        <v/>
      </c>
      <c r="S49" s="107" t="str">
        <f>IF(Linked_Table!M47=TRUE,"X","")</f>
        <v/>
      </c>
      <c r="T49" s="55" t="str">
        <f>Linked_Table!G47&amp;" ("&amp;Linked_Table!N47&amp;")"</f>
        <v>Sampson (2)</v>
      </c>
      <c r="U49" s="55" t="str">
        <f>Linked_Table!T47</f>
        <v>Justin Mercer</v>
      </c>
      <c r="V49" s="12"/>
      <c r="W49" s="12"/>
      <c r="X49" s="12"/>
      <c r="Y49" s="12"/>
      <c r="Z49" s="12"/>
      <c r="AA49" s="12"/>
      <c r="AB49" s="12"/>
      <c r="AC49" s="12"/>
      <c r="AD49" s="12"/>
      <c r="AE49" s="12"/>
    </row>
    <row r="50" spans="1:31" ht="30" x14ac:dyDescent="0.25">
      <c r="A50" s="54">
        <v>44</v>
      </c>
      <c r="B50" s="98" t="str">
        <f>Linked_Table!A48</f>
        <v>2018-073</v>
      </c>
      <c r="C50" s="98" t="str">
        <f>Linked_Table!B48</f>
        <v>The Nature Conservancy - Squires Tr 2, Black R</v>
      </c>
      <c r="D50" s="99">
        <f>Linked_Table!C48</f>
        <v>74</v>
      </c>
      <c r="E50" s="100">
        <f>Linked_Table!D48</f>
        <v>210391</v>
      </c>
      <c r="F50" s="100">
        <f t="shared" si="5"/>
        <v>210391</v>
      </c>
      <c r="G50" s="101">
        <f t="shared" si="4"/>
        <v>21367334</v>
      </c>
      <c r="H50" s="102"/>
      <c r="I50" s="103">
        <f t="shared" si="1"/>
        <v>0</v>
      </c>
      <c r="J50" s="100">
        <f>Linked_Table!F48</f>
        <v>409179</v>
      </c>
      <c r="K50" s="100">
        <f>Linked_Table!E48</f>
        <v>198788</v>
      </c>
      <c r="L50" s="108">
        <f t="shared" si="2"/>
        <v>0.48582160863582929</v>
      </c>
      <c r="M50" s="105" t="str">
        <f>Linked_Table!H48</f>
        <v>499</v>
      </c>
      <c r="N50" s="106">
        <f t="shared" si="3"/>
        <v>819.997995991984</v>
      </c>
      <c r="O50" s="107" t="str">
        <f>IF(Linked_Table!I48=TRUE,"X","")</f>
        <v>X</v>
      </c>
      <c r="P50" s="107" t="str">
        <f>IF(Linked_Table!J48=TRUE,"X","")</f>
        <v/>
      </c>
      <c r="Q50" s="107" t="str">
        <f>IF(Linked_Table!K48=TRUE,"X","")</f>
        <v>X</v>
      </c>
      <c r="R50" s="107" t="str">
        <f>IF(Linked_Table!L48=TRUE,"X","")</f>
        <v/>
      </c>
      <c r="S50" s="107" t="str">
        <f>IF(Linked_Table!M48=TRUE,"X","")</f>
        <v/>
      </c>
      <c r="T50" s="55" t="str">
        <f>Linked_Table!G48&amp;" ("&amp;Linked_Table!N48&amp;")"</f>
        <v>Pender (3)</v>
      </c>
      <c r="U50" s="55" t="str">
        <f>Linked_Table!T48</f>
        <v>Justin Mercer</v>
      </c>
      <c r="V50" s="12"/>
      <c r="W50" s="12"/>
      <c r="X50" s="12"/>
      <c r="Y50" s="12"/>
      <c r="Z50" s="12"/>
      <c r="AA50" s="12"/>
      <c r="AB50" s="12"/>
      <c r="AC50" s="12"/>
      <c r="AD50" s="12"/>
      <c r="AE50" s="12"/>
    </row>
    <row r="51" spans="1:31" ht="30" x14ac:dyDescent="0.25">
      <c r="A51" s="54">
        <v>45</v>
      </c>
      <c r="B51" s="98" t="str">
        <f>Linked_Table!A49</f>
        <v>2018-036</v>
      </c>
      <c r="C51" s="98" t="str">
        <f>Linked_Table!B49</f>
        <v>LandTrust for Central North Carolina - Young Pr, S Yadkin UT</v>
      </c>
      <c r="D51" s="99">
        <f>Linked_Table!C49</f>
        <v>74</v>
      </c>
      <c r="E51" s="100">
        <f>Linked_Table!D49</f>
        <v>60189</v>
      </c>
      <c r="F51" s="100">
        <f t="shared" si="5"/>
        <v>60189</v>
      </c>
      <c r="G51" s="101">
        <f t="shared" si="4"/>
        <v>21427523</v>
      </c>
      <c r="H51" s="102"/>
      <c r="I51" s="103">
        <f t="shared" si="1"/>
        <v>0</v>
      </c>
      <c r="J51" s="100">
        <f>Linked_Table!F49</f>
        <v>96189</v>
      </c>
      <c r="K51" s="100">
        <f>Linked_Table!E49</f>
        <v>36000</v>
      </c>
      <c r="L51" s="108">
        <f t="shared" si="2"/>
        <v>0.37426316938527276</v>
      </c>
      <c r="M51" s="105" t="str">
        <f>Linked_Table!H49</f>
        <v>9</v>
      </c>
      <c r="N51" s="106">
        <f t="shared" si="3"/>
        <v>10687.666666666666</v>
      </c>
      <c r="O51" s="107" t="str">
        <f>IF(Linked_Table!I49=TRUE,"X","")</f>
        <v>X</v>
      </c>
      <c r="P51" s="107" t="str">
        <f>IF(Linked_Table!J49=TRUE,"X","")</f>
        <v/>
      </c>
      <c r="Q51" s="107" t="str">
        <f>IF(Linked_Table!K49=TRUE,"X","")</f>
        <v/>
      </c>
      <c r="R51" s="107" t="str">
        <f>IF(Linked_Table!L49=TRUE,"X","")</f>
        <v/>
      </c>
      <c r="S51" s="107" t="str">
        <f>IF(Linked_Table!M49=TRUE,"X","")</f>
        <v/>
      </c>
      <c r="T51" s="55" t="str">
        <f>Linked_Table!G49&amp;" ("&amp;Linked_Table!N49&amp;")"</f>
        <v>Rowan (2)</v>
      </c>
      <c r="U51" s="55" t="str">
        <f>Linked_Table!T49</f>
        <v>Justin Mercer</v>
      </c>
      <c r="V51" s="12"/>
      <c r="W51" s="12"/>
      <c r="X51" s="12"/>
      <c r="Y51" s="12"/>
      <c r="Z51" s="12"/>
      <c r="AA51" s="12"/>
      <c r="AB51" s="12"/>
      <c r="AC51" s="12"/>
      <c r="AD51" s="12"/>
      <c r="AE51" s="12"/>
    </row>
    <row r="52" spans="1:31" ht="30" x14ac:dyDescent="0.25">
      <c r="A52" s="54">
        <v>46</v>
      </c>
      <c r="B52" s="98" t="str">
        <f>Linked_Table!A50</f>
        <v>2018-068</v>
      </c>
      <c r="C52" s="98" t="str">
        <f>Linked_Table!B50</f>
        <v>The Nature Conservancy - Bull Hill, Roanoke R</v>
      </c>
      <c r="D52" s="99">
        <f>Linked_Table!C50</f>
        <v>74</v>
      </c>
      <c r="E52" s="100">
        <f>Linked_Table!D50</f>
        <v>707142</v>
      </c>
      <c r="F52" s="100">
        <f t="shared" si="5"/>
        <v>707142</v>
      </c>
      <c r="G52" s="101">
        <f t="shared" si="4"/>
        <v>22134665</v>
      </c>
      <c r="H52" s="102"/>
      <c r="I52" s="103">
        <f t="shared" si="1"/>
        <v>0</v>
      </c>
      <c r="J52" s="100">
        <f>Linked_Table!F50</f>
        <v>1401027</v>
      </c>
      <c r="K52" s="100">
        <f>Linked_Table!E50</f>
        <v>693885</v>
      </c>
      <c r="L52" s="108">
        <f t="shared" si="2"/>
        <v>0.49526882779560993</v>
      </c>
      <c r="M52" s="105" t="str">
        <f>Linked_Table!H50</f>
        <v>603</v>
      </c>
      <c r="N52" s="106">
        <f t="shared" si="3"/>
        <v>2323.4278606965172</v>
      </c>
      <c r="O52" s="107" t="str">
        <f>IF(Linked_Table!I50=TRUE,"X","")</f>
        <v>X</v>
      </c>
      <c r="P52" s="107" t="str">
        <f>IF(Linked_Table!J50=TRUE,"X","")</f>
        <v/>
      </c>
      <c r="Q52" s="107" t="str">
        <f>IF(Linked_Table!K50=TRUE,"X","")</f>
        <v>X</v>
      </c>
      <c r="R52" s="107" t="str">
        <f>IF(Linked_Table!L50=TRUE,"X","")</f>
        <v/>
      </c>
      <c r="S52" s="107" t="str">
        <f>IF(Linked_Table!M50=TRUE,"X","")</f>
        <v/>
      </c>
      <c r="T52" s="55" t="str">
        <f>Linked_Table!G50&amp;" ("&amp;Linked_Table!N50&amp;")"</f>
        <v>Northampton (1)</v>
      </c>
      <c r="U52" s="55" t="str">
        <f>Linked_Table!T50</f>
        <v>Justin Mercer</v>
      </c>
      <c r="V52" s="12"/>
      <c r="W52" s="12"/>
      <c r="X52" s="12"/>
      <c r="Y52" s="12"/>
      <c r="Z52" s="12"/>
      <c r="AA52" s="12"/>
      <c r="AB52" s="12"/>
      <c r="AC52" s="12"/>
      <c r="AD52" s="12"/>
      <c r="AE52" s="12"/>
    </row>
    <row r="53" spans="1:31" ht="30" x14ac:dyDescent="0.25">
      <c r="A53" s="54">
        <v>47</v>
      </c>
      <c r="B53" s="98" t="str">
        <f>Linked_Table!A51</f>
        <v>2018-043</v>
      </c>
      <c r="C53" s="98" t="str">
        <f>Linked_Table!B51</f>
        <v>NC Coastal Federation - Stroud Tr, Bogue Sd</v>
      </c>
      <c r="D53" s="99">
        <f>Linked_Table!C51</f>
        <v>74</v>
      </c>
      <c r="E53" s="100">
        <f>Linked_Table!D51</f>
        <v>1936211</v>
      </c>
      <c r="F53" s="100">
        <f t="shared" si="5"/>
        <v>1936211</v>
      </c>
      <c r="G53" s="101">
        <f t="shared" si="4"/>
        <v>24070876</v>
      </c>
      <c r="H53" s="102"/>
      <c r="I53" s="103">
        <f t="shared" si="1"/>
        <v>0</v>
      </c>
      <c r="J53" s="100">
        <f>Linked_Table!F51</f>
        <v>4028711</v>
      </c>
      <c r="K53" s="100">
        <f>Linked_Table!E51</f>
        <v>2018500</v>
      </c>
      <c r="L53" s="108">
        <f t="shared" si="2"/>
        <v>0.50102874095461303</v>
      </c>
      <c r="M53" s="105" t="str">
        <f>Linked_Table!H51</f>
        <v>40</v>
      </c>
      <c r="N53" s="106">
        <f t="shared" si="3"/>
        <v>100717.77499999999</v>
      </c>
      <c r="O53" s="107" t="str">
        <f>IF(Linked_Table!I51=TRUE,"X","")</f>
        <v>X</v>
      </c>
      <c r="P53" s="107" t="str">
        <f>IF(Linked_Table!J51=TRUE,"X","")</f>
        <v/>
      </c>
      <c r="Q53" s="107" t="str">
        <f>IF(Linked_Table!K51=TRUE,"X","")</f>
        <v>X</v>
      </c>
      <c r="R53" s="107" t="str">
        <f>IF(Linked_Table!L51=TRUE,"X","")</f>
        <v/>
      </c>
      <c r="S53" s="107" t="str">
        <f>IF(Linked_Table!M51=TRUE,"X","")</f>
        <v>X</v>
      </c>
      <c r="T53" s="55" t="str">
        <f>Linked_Table!G51&amp;" ("&amp;Linked_Table!N51&amp;")"</f>
        <v>Carteret (3)</v>
      </c>
      <c r="U53" s="55" t="str">
        <f>Linked_Table!T51</f>
        <v>Justin Mercer</v>
      </c>
      <c r="V53" s="12"/>
      <c r="W53" s="12"/>
      <c r="X53" s="12"/>
      <c r="Y53" s="12"/>
      <c r="Z53" s="12"/>
      <c r="AA53" s="12"/>
      <c r="AB53" s="12"/>
      <c r="AC53" s="12"/>
      <c r="AD53" s="12"/>
      <c r="AE53" s="12"/>
    </row>
    <row r="54" spans="1:31" ht="30" x14ac:dyDescent="0.25">
      <c r="A54" s="54">
        <v>48</v>
      </c>
      <c r="B54" s="98" t="str">
        <f>Linked_Table!A52</f>
        <v>2018-004</v>
      </c>
      <c r="C54" s="98" t="str">
        <f>Linked_Table!B52</f>
        <v>Blue Ridge Conservancy - Three Top East</v>
      </c>
      <c r="D54" s="99">
        <f>Linked_Table!C52</f>
        <v>74</v>
      </c>
      <c r="E54" s="100">
        <f>Linked_Table!D52</f>
        <v>513171</v>
      </c>
      <c r="F54" s="100">
        <f t="shared" si="5"/>
        <v>513171</v>
      </c>
      <c r="G54" s="101">
        <f t="shared" si="4"/>
        <v>24584047</v>
      </c>
      <c r="H54" s="102"/>
      <c r="I54" s="103">
        <f t="shared" si="1"/>
        <v>0</v>
      </c>
      <c r="J54" s="100">
        <f>Linked_Table!F52</f>
        <v>950671</v>
      </c>
      <c r="K54" s="100">
        <f>Linked_Table!E52</f>
        <v>437500</v>
      </c>
      <c r="L54" s="108">
        <f t="shared" si="2"/>
        <v>0.46020126836729003</v>
      </c>
      <c r="M54" s="105" t="str">
        <f>Linked_Table!H52</f>
        <v>273</v>
      </c>
      <c r="N54" s="106">
        <f t="shared" si="3"/>
        <v>3482.3113553113553</v>
      </c>
      <c r="O54" s="107" t="str">
        <f>IF(Linked_Table!I52=TRUE,"X","")</f>
        <v>X</v>
      </c>
      <c r="P54" s="107" t="str">
        <f>IF(Linked_Table!J52=TRUE,"X","")</f>
        <v/>
      </c>
      <c r="Q54" s="107" t="str">
        <f>IF(Linked_Table!K52=TRUE,"X","")</f>
        <v>X</v>
      </c>
      <c r="R54" s="107" t="str">
        <f>IF(Linked_Table!L52=TRUE,"X","")</f>
        <v/>
      </c>
      <c r="S54" s="107" t="str">
        <f>IF(Linked_Table!M52=TRUE,"X","")</f>
        <v/>
      </c>
      <c r="T54" s="55" t="str">
        <f>Linked_Table!G52&amp;" ("&amp;Linked_Table!N52&amp;")"</f>
        <v>Ashe (1)</v>
      </c>
      <c r="U54" s="55" t="str">
        <f>Linked_Table!T52</f>
        <v>Damon Hearne</v>
      </c>
      <c r="V54" s="12"/>
      <c r="W54" s="12"/>
      <c r="X54" s="12"/>
      <c r="Y54" s="12"/>
      <c r="Z54" s="12"/>
      <c r="AA54" s="12"/>
      <c r="AB54" s="12"/>
      <c r="AC54" s="12"/>
      <c r="AD54" s="12"/>
      <c r="AE54" s="12"/>
    </row>
    <row r="55" spans="1:31" ht="30" x14ac:dyDescent="0.25">
      <c r="A55" s="54">
        <v>49</v>
      </c>
      <c r="B55" s="98" t="str">
        <f>Linked_Table!A53</f>
        <v>2018-011</v>
      </c>
      <c r="C55" s="98" t="str">
        <f>Linked_Table!B53</f>
        <v>Conserving Carolina - Joel Ridge, Weed Patch Mtn NA</v>
      </c>
      <c r="D55" s="99">
        <f>Linked_Table!C53</f>
        <v>74</v>
      </c>
      <c r="E55" s="100">
        <f>Linked_Table!D53</f>
        <v>332355</v>
      </c>
      <c r="F55" s="100">
        <f t="shared" si="5"/>
        <v>332355</v>
      </c>
      <c r="G55" s="101">
        <f t="shared" si="4"/>
        <v>24916402</v>
      </c>
      <c r="H55" s="102"/>
      <c r="I55" s="103">
        <f t="shared" si="1"/>
        <v>0</v>
      </c>
      <c r="J55" s="100">
        <f>Linked_Table!F53</f>
        <v>1156355</v>
      </c>
      <c r="K55" s="100">
        <f>Linked_Table!E53</f>
        <v>824000</v>
      </c>
      <c r="L55" s="108">
        <f t="shared" si="2"/>
        <v>0.71258393832343869</v>
      </c>
      <c r="M55" s="105" t="str">
        <f>Linked_Table!H53</f>
        <v>587</v>
      </c>
      <c r="N55" s="106">
        <f t="shared" si="3"/>
        <v>1969.9403747870529</v>
      </c>
      <c r="O55" s="107" t="str">
        <f>IF(Linked_Table!I53=TRUE,"X","")</f>
        <v>X</v>
      </c>
      <c r="P55" s="107" t="str">
        <f>IF(Linked_Table!J53=TRUE,"X","")</f>
        <v/>
      </c>
      <c r="Q55" s="107" t="str">
        <f>IF(Linked_Table!K53=TRUE,"X","")</f>
        <v>X</v>
      </c>
      <c r="R55" s="107" t="str">
        <f>IF(Linked_Table!L53=TRUE,"X","")</f>
        <v/>
      </c>
      <c r="S55" s="107" t="str">
        <f>IF(Linked_Table!M53=TRUE,"X","")</f>
        <v/>
      </c>
      <c r="T55" s="55" t="str">
        <f>Linked_Table!G53&amp;" ("&amp;Linked_Table!N53&amp;")"</f>
        <v>Rutherford (2)</v>
      </c>
      <c r="U55" s="55" t="str">
        <f>Linked_Table!T53</f>
        <v>Damon Hearne</v>
      </c>
      <c r="V55" s="12"/>
      <c r="W55" s="12"/>
      <c r="X55" s="12"/>
      <c r="Y55" s="12"/>
      <c r="Z55" s="12"/>
      <c r="AA55" s="12"/>
      <c r="AB55" s="12"/>
      <c r="AC55" s="12"/>
      <c r="AD55" s="12"/>
      <c r="AE55" s="12"/>
    </row>
    <row r="56" spans="1:31" ht="30" x14ac:dyDescent="0.25">
      <c r="A56" s="54">
        <v>50</v>
      </c>
      <c r="B56" s="98" t="str">
        <f>Linked_Table!A54</f>
        <v>2018-017</v>
      </c>
      <c r="C56" s="98" t="str">
        <f>Linked_Table!B54</f>
        <v>Conservation Trust for North Carolina - Hornbuckle Cr, Blue Ridge Pkwy</v>
      </c>
      <c r="D56" s="99">
        <f>Linked_Table!C54</f>
        <v>73</v>
      </c>
      <c r="E56" s="100">
        <f>Linked_Table!D54</f>
        <v>396958</v>
      </c>
      <c r="F56" s="100">
        <f t="shared" si="5"/>
        <v>396958</v>
      </c>
      <c r="G56" s="101">
        <f t="shared" si="4"/>
        <v>25313360</v>
      </c>
      <c r="H56" s="102"/>
      <c r="I56" s="103">
        <f t="shared" si="1"/>
        <v>0</v>
      </c>
      <c r="J56" s="100">
        <f>Linked_Table!F54</f>
        <v>624958</v>
      </c>
      <c r="K56" s="100">
        <f>Linked_Table!E54</f>
        <v>228000</v>
      </c>
      <c r="L56" s="108">
        <f t="shared" si="2"/>
        <v>0.36482451620748912</v>
      </c>
      <c r="M56" s="105" t="str">
        <f>Linked_Table!H54</f>
        <v>114</v>
      </c>
      <c r="N56" s="106">
        <f t="shared" si="3"/>
        <v>5482.0877192982452</v>
      </c>
      <c r="O56" s="107" t="str">
        <f>IF(Linked_Table!I54=TRUE,"X","")</f>
        <v>X</v>
      </c>
      <c r="P56" s="107" t="str">
        <f>IF(Linked_Table!J54=TRUE,"X","")</f>
        <v/>
      </c>
      <c r="Q56" s="107" t="str">
        <f>IF(Linked_Table!K54=TRUE,"X","")</f>
        <v>X</v>
      </c>
      <c r="R56" s="107" t="str">
        <f>IF(Linked_Table!L54=TRUE,"X","")</f>
        <v/>
      </c>
      <c r="S56" s="107" t="str">
        <f>IF(Linked_Table!M54=TRUE,"X","")</f>
        <v/>
      </c>
      <c r="T56" s="55" t="str">
        <f>Linked_Table!G54&amp;" ("&amp;Linked_Table!N54&amp;")"</f>
        <v>Jackson (1)</v>
      </c>
      <c r="U56" s="55" t="str">
        <f>Linked_Table!T54</f>
        <v>Damon Hearne</v>
      </c>
      <c r="V56" s="12"/>
      <c r="W56" s="12"/>
      <c r="X56" s="12"/>
      <c r="Y56" s="12"/>
      <c r="Z56" s="12"/>
      <c r="AA56" s="12"/>
      <c r="AB56" s="12"/>
      <c r="AC56" s="12"/>
      <c r="AD56" s="12"/>
      <c r="AE56" s="12"/>
    </row>
    <row r="57" spans="1:31" ht="30" x14ac:dyDescent="0.25">
      <c r="A57" s="54">
        <v>51</v>
      </c>
      <c r="B57" s="98" t="str">
        <f>Linked_Table!A55</f>
        <v>2018-057</v>
      </c>
      <c r="C57" s="98" t="str">
        <f>Linked_Table!B55</f>
        <v>Sandhills Area Land Trust - Kiser, Deep R</v>
      </c>
      <c r="D57" s="99">
        <f>Linked_Table!C55</f>
        <v>73</v>
      </c>
      <c r="E57" s="100">
        <f>Linked_Table!D55</f>
        <v>191701</v>
      </c>
      <c r="F57" s="100">
        <f t="shared" si="5"/>
        <v>191701</v>
      </c>
      <c r="G57" s="101">
        <f t="shared" si="4"/>
        <v>25505061</v>
      </c>
      <c r="H57" s="102"/>
      <c r="I57" s="103">
        <f t="shared" si="1"/>
        <v>0</v>
      </c>
      <c r="J57" s="100">
        <f>Linked_Table!F55</f>
        <v>471701</v>
      </c>
      <c r="K57" s="100">
        <f>Linked_Table!E55</f>
        <v>280000</v>
      </c>
      <c r="L57" s="108">
        <f t="shared" si="2"/>
        <v>0.59359636719023279</v>
      </c>
      <c r="M57" s="105" t="str">
        <f>Linked_Table!H55</f>
        <v>160</v>
      </c>
      <c r="N57" s="106">
        <f t="shared" si="3"/>
        <v>2948.1312499999999</v>
      </c>
      <c r="O57" s="107" t="str">
        <f>IF(Linked_Table!I55=TRUE,"X","")</f>
        <v>X</v>
      </c>
      <c r="P57" s="107" t="str">
        <f>IF(Linked_Table!J55=TRUE,"X","")</f>
        <v/>
      </c>
      <c r="Q57" s="107" t="str">
        <f>IF(Linked_Table!K55=TRUE,"X","")</f>
        <v>X</v>
      </c>
      <c r="R57" s="107" t="str">
        <f>IF(Linked_Table!L55=TRUE,"X","")</f>
        <v/>
      </c>
      <c r="S57" s="107" t="str">
        <f>IF(Linked_Table!M55=TRUE,"X","")</f>
        <v/>
      </c>
      <c r="T57" s="55" t="str">
        <f>Linked_Table!G55&amp;" ("&amp;Linked_Table!N55&amp;")"</f>
        <v>Moore (3)</v>
      </c>
      <c r="U57" s="55" t="str">
        <f>Linked_Table!T55</f>
        <v>Justin Mercer</v>
      </c>
      <c r="V57" s="12"/>
      <c r="W57" s="12"/>
      <c r="X57" s="12"/>
      <c r="Y57" s="12"/>
      <c r="Z57" s="12"/>
      <c r="AA57" s="12"/>
      <c r="AB57" s="12"/>
      <c r="AC57" s="12"/>
      <c r="AD57" s="12"/>
      <c r="AE57" s="12"/>
    </row>
    <row r="58" spans="1:31" ht="30" x14ac:dyDescent="0.25">
      <c r="A58" s="54">
        <v>52</v>
      </c>
      <c r="B58" s="98" t="str">
        <f>Linked_Table!A56</f>
        <v>2018-001</v>
      </c>
      <c r="C58" s="98" t="str">
        <f>Linked_Table!B56</f>
        <v>Alamance Co - Sizemore Tr, Cane Cr Mtn NA</v>
      </c>
      <c r="D58" s="99">
        <f>Linked_Table!C56</f>
        <v>73</v>
      </c>
      <c r="E58" s="100">
        <f>Linked_Table!D56</f>
        <v>1200000</v>
      </c>
      <c r="F58" s="100">
        <f t="shared" si="5"/>
        <v>1200000</v>
      </c>
      <c r="G58" s="101">
        <f t="shared" si="4"/>
        <v>26705061</v>
      </c>
      <c r="H58" s="102"/>
      <c r="I58" s="103">
        <f t="shared" si="1"/>
        <v>0</v>
      </c>
      <c r="J58" s="100">
        <f>Linked_Table!F56</f>
        <v>2079900</v>
      </c>
      <c r="K58" s="100">
        <f>Linked_Table!E56</f>
        <v>879900</v>
      </c>
      <c r="L58" s="108">
        <f t="shared" si="2"/>
        <v>0.42304918505697392</v>
      </c>
      <c r="M58" s="105" t="str">
        <f>Linked_Table!H56</f>
        <v>438</v>
      </c>
      <c r="N58" s="106">
        <f t="shared" si="3"/>
        <v>4748.6301369863013</v>
      </c>
      <c r="O58" s="107" t="str">
        <f>IF(Linked_Table!I56=TRUE,"X","")</f>
        <v>X</v>
      </c>
      <c r="P58" s="107" t="str">
        <f>IF(Linked_Table!J56=TRUE,"X","")</f>
        <v/>
      </c>
      <c r="Q58" s="107" t="str">
        <f>IF(Linked_Table!K56=TRUE,"X","")</f>
        <v>X</v>
      </c>
      <c r="R58" s="107" t="str">
        <f>IF(Linked_Table!L56=TRUE,"X","")</f>
        <v/>
      </c>
      <c r="S58" s="107" t="str">
        <f>IF(Linked_Table!M56=TRUE,"X","")</f>
        <v/>
      </c>
      <c r="T58" s="55" t="str">
        <f>Linked_Table!G56&amp;" ("&amp;Linked_Table!N56&amp;")"</f>
        <v>Alamance (2)</v>
      </c>
      <c r="U58" s="55" t="str">
        <f>Linked_Table!T56</f>
        <v>Justin Mercer</v>
      </c>
      <c r="V58" s="12"/>
      <c r="W58" s="12"/>
      <c r="X58" s="12"/>
      <c r="Y58" s="12"/>
      <c r="Z58" s="12"/>
      <c r="AA58" s="12"/>
      <c r="AB58" s="12"/>
      <c r="AC58" s="12"/>
      <c r="AD58" s="12"/>
      <c r="AE58" s="12"/>
    </row>
    <row r="59" spans="1:31" ht="30" x14ac:dyDescent="0.25">
      <c r="A59" s="54">
        <v>53</v>
      </c>
      <c r="B59" s="98" t="str">
        <f>Linked_Table!A57</f>
        <v>2018-029</v>
      </c>
      <c r="C59" s="98" t="str">
        <f>Linked_Table!B57</f>
        <v>LandTrust for Central North Carolina - Bennett Pr, Poison Fk</v>
      </c>
      <c r="D59" s="99">
        <f>Linked_Table!C57</f>
        <v>73</v>
      </c>
      <c r="E59" s="100">
        <f>Linked_Table!D57</f>
        <v>924566</v>
      </c>
      <c r="F59" s="100">
        <f t="shared" si="5"/>
        <v>924566</v>
      </c>
      <c r="G59" s="101">
        <f t="shared" si="4"/>
        <v>27629627</v>
      </c>
      <c r="H59" s="102"/>
      <c r="I59" s="103">
        <f t="shared" si="1"/>
        <v>0</v>
      </c>
      <c r="J59" s="100">
        <f>Linked_Table!F57</f>
        <v>1577910</v>
      </c>
      <c r="K59" s="100">
        <f>Linked_Table!E57</f>
        <v>653344</v>
      </c>
      <c r="L59" s="108">
        <f t="shared" si="2"/>
        <v>0.4140565684988371</v>
      </c>
      <c r="M59" s="105" t="str">
        <f>Linked_Table!H57</f>
        <v>500</v>
      </c>
      <c r="N59" s="106">
        <f t="shared" si="3"/>
        <v>3155.82</v>
      </c>
      <c r="O59" s="107" t="str">
        <f>IF(Linked_Table!I57=TRUE,"X","")</f>
        <v>X</v>
      </c>
      <c r="P59" s="107" t="str">
        <f>IF(Linked_Table!J57=TRUE,"X","")</f>
        <v/>
      </c>
      <c r="Q59" s="107" t="str">
        <f>IF(Linked_Table!K57=TRUE,"X","")</f>
        <v>X</v>
      </c>
      <c r="R59" s="107" t="str">
        <f>IF(Linked_Table!L57=TRUE,"X","")</f>
        <v/>
      </c>
      <c r="S59" s="107" t="str">
        <f>IF(Linked_Table!M57=TRUE,"X","")</f>
        <v/>
      </c>
      <c r="T59" s="55" t="str">
        <f>Linked_Table!G57&amp;" ("&amp;Linked_Table!N57&amp;")"</f>
        <v>Randolph (2)</v>
      </c>
      <c r="U59" s="55" t="str">
        <f>Linked_Table!T57</f>
        <v>Justin Mercer</v>
      </c>
      <c r="V59" s="12"/>
      <c r="W59" s="12"/>
      <c r="X59" s="12"/>
      <c r="Y59" s="12"/>
      <c r="Z59" s="12"/>
      <c r="AA59" s="12"/>
      <c r="AB59" s="12"/>
      <c r="AC59" s="12"/>
      <c r="AD59" s="12"/>
      <c r="AE59" s="12"/>
    </row>
    <row r="60" spans="1:31" ht="30" x14ac:dyDescent="0.25">
      <c r="A60" s="54">
        <v>54</v>
      </c>
      <c r="B60" s="98" t="str">
        <f>Linked_Table!A58</f>
        <v>2018-077</v>
      </c>
      <c r="C60" s="98" t="str">
        <f>Linked_Table!B58</f>
        <v>Tar River Land Conservancy - Norwood Tr, Smith Cr</v>
      </c>
      <c r="D60" s="99">
        <f>Linked_Table!C58</f>
        <v>72</v>
      </c>
      <c r="E60" s="100">
        <f>Linked_Table!D58</f>
        <v>826925</v>
      </c>
      <c r="F60" s="100">
        <f t="shared" si="5"/>
        <v>826925</v>
      </c>
      <c r="G60" s="101">
        <f t="shared" si="4"/>
        <v>28456552</v>
      </c>
      <c r="H60" s="102"/>
      <c r="I60" s="103">
        <f t="shared" si="1"/>
        <v>0</v>
      </c>
      <c r="J60" s="100">
        <f>Linked_Table!F58</f>
        <v>1654175</v>
      </c>
      <c r="K60" s="100">
        <f>Linked_Table!E58</f>
        <v>827250</v>
      </c>
      <c r="L60" s="108">
        <f t="shared" si="2"/>
        <v>0.50009823628092553</v>
      </c>
      <c r="M60" s="105" t="str">
        <f>Linked_Table!H58</f>
        <v>195</v>
      </c>
      <c r="N60" s="106">
        <f t="shared" si="3"/>
        <v>8482.9487179487187</v>
      </c>
      <c r="O60" s="107" t="str">
        <f>IF(Linked_Table!I58=TRUE,"X","")</f>
        <v>X</v>
      </c>
      <c r="P60" s="107" t="str">
        <f>IF(Linked_Table!J58=TRUE,"X","")</f>
        <v/>
      </c>
      <c r="Q60" s="107" t="str">
        <f>IF(Linked_Table!K58=TRUE,"X","")</f>
        <v>X</v>
      </c>
      <c r="R60" s="107" t="str">
        <f>IF(Linked_Table!L58=TRUE,"X","")</f>
        <v/>
      </c>
      <c r="S60" s="107" t="str">
        <f>IF(Linked_Table!M58=TRUE,"X","")</f>
        <v/>
      </c>
      <c r="T60" s="55" t="str">
        <f>Linked_Table!G58&amp;" ("&amp;Linked_Table!N58&amp;")"</f>
        <v>Granville (3)</v>
      </c>
      <c r="U60" s="55" t="str">
        <f>Linked_Table!T58</f>
        <v>Justin Mercer</v>
      </c>
      <c r="V60" s="12"/>
      <c r="W60" s="12"/>
      <c r="X60" s="12"/>
      <c r="Y60" s="12"/>
      <c r="Z60" s="12"/>
      <c r="AA60" s="12"/>
      <c r="AB60" s="12"/>
      <c r="AC60" s="12"/>
      <c r="AD60" s="12"/>
      <c r="AE60" s="12"/>
    </row>
    <row r="61" spans="1:31" ht="30" x14ac:dyDescent="0.25">
      <c r="A61" s="54">
        <v>55</v>
      </c>
      <c r="B61" s="98" t="str">
        <f>Linked_Table!A59</f>
        <v>2018-056</v>
      </c>
      <c r="C61" s="98" t="str">
        <f>Linked_Table!B59</f>
        <v>Southern Appalachian Highlands Conservancy - Jones Tr, Roaring Cr</v>
      </c>
      <c r="D61" s="99">
        <f>Linked_Table!C59</f>
        <v>72</v>
      </c>
      <c r="E61" s="100">
        <f>Linked_Table!D59</f>
        <v>161936</v>
      </c>
      <c r="F61" s="100">
        <f t="shared" si="5"/>
        <v>161936</v>
      </c>
      <c r="G61" s="101">
        <f t="shared" si="4"/>
        <v>28618488</v>
      </c>
      <c r="H61" s="102"/>
      <c r="I61" s="103">
        <f t="shared" si="1"/>
        <v>0</v>
      </c>
      <c r="J61" s="100">
        <f>Linked_Table!F59</f>
        <v>266936</v>
      </c>
      <c r="K61" s="100">
        <f>Linked_Table!E59</f>
        <v>105000</v>
      </c>
      <c r="L61" s="108">
        <f t="shared" si="2"/>
        <v>0.3933527137591033</v>
      </c>
      <c r="M61" s="105" t="str">
        <f>Linked_Table!H59</f>
        <v>36</v>
      </c>
      <c r="N61" s="106">
        <f t="shared" si="3"/>
        <v>7414.8888888888887</v>
      </c>
      <c r="O61" s="107" t="str">
        <f>IF(Linked_Table!I59=TRUE,"X","")</f>
        <v>X</v>
      </c>
      <c r="P61" s="107" t="str">
        <f>IF(Linked_Table!J59=TRUE,"X","")</f>
        <v/>
      </c>
      <c r="Q61" s="107" t="str">
        <f>IF(Linked_Table!K59=TRUE,"X","")</f>
        <v>X</v>
      </c>
      <c r="R61" s="107" t="str">
        <f>IF(Linked_Table!L59=TRUE,"X","")</f>
        <v/>
      </c>
      <c r="S61" s="107" t="str">
        <f>IF(Linked_Table!M59=TRUE,"X","")</f>
        <v/>
      </c>
      <c r="T61" s="55" t="str">
        <f>Linked_Table!G59&amp;" ("&amp;Linked_Table!N59&amp;")"</f>
        <v>Avery (2)</v>
      </c>
      <c r="U61" s="55" t="str">
        <f>Linked_Table!T59</f>
        <v>Damon Hearne</v>
      </c>
      <c r="V61" s="12"/>
      <c r="W61" s="12"/>
      <c r="X61" s="12"/>
      <c r="Y61" s="12"/>
      <c r="Z61" s="12"/>
      <c r="AA61" s="12"/>
      <c r="AB61" s="12"/>
      <c r="AC61" s="12"/>
      <c r="AD61" s="12"/>
      <c r="AE61" s="12"/>
    </row>
    <row r="62" spans="1:31" ht="30" x14ac:dyDescent="0.25">
      <c r="A62" s="54">
        <v>56</v>
      </c>
      <c r="B62" s="98" t="str">
        <f>Linked_Table!A60</f>
        <v>2018-065</v>
      </c>
      <c r="C62" s="98" t="str">
        <f>Linked_Table!B60</f>
        <v>The Conservation Fund - Turkey Ridge, Cane R</v>
      </c>
      <c r="D62" s="99">
        <f>Linked_Table!C60</f>
        <v>72</v>
      </c>
      <c r="E62" s="100">
        <f>Linked_Table!D60</f>
        <v>1205000</v>
      </c>
      <c r="F62" s="100">
        <f t="shared" si="5"/>
        <v>1205000</v>
      </c>
      <c r="G62" s="101">
        <f t="shared" si="4"/>
        <v>29823488</v>
      </c>
      <c r="H62" s="102"/>
      <c r="I62" s="103">
        <f t="shared" si="1"/>
        <v>0</v>
      </c>
      <c r="J62" s="100">
        <f>Linked_Table!F60</f>
        <v>3082000</v>
      </c>
      <c r="K62" s="100">
        <f>Linked_Table!E60</f>
        <v>1877000</v>
      </c>
      <c r="L62" s="108">
        <f t="shared" si="2"/>
        <v>0.60902011680726797</v>
      </c>
      <c r="M62" s="105" t="str">
        <f>Linked_Table!H60</f>
        <v>709</v>
      </c>
      <c r="N62" s="106">
        <f t="shared" si="3"/>
        <v>4346.9675599435823</v>
      </c>
      <c r="O62" s="107" t="str">
        <f>IF(Linked_Table!I60=TRUE,"X","")</f>
        <v>X</v>
      </c>
      <c r="P62" s="107" t="str">
        <f>IF(Linked_Table!J60=TRUE,"X","")</f>
        <v/>
      </c>
      <c r="Q62" s="107" t="str">
        <f>IF(Linked_Table!K60=TRUE,"X","")</f>
        <v>X</v>
      </c>
      <c r="R62" s="107" t="str">
        <f>IF(Linked_Table!L60=TRUE,"X","")</f>
        <v/>
      </c>
      <c r="S62" s="107" t="str">
        <f>IF(Linked_Table!M60=TRUE,"X","")</f>
        <v/>
      </c>
      <c r="T62" s="55" t="str">
        <f>Linked_Table!G60&amp;" ("&amp;Linked_Table!N60&amp;")"</f>
        <v>Yancey (1)</v>
      </c>
      <c r="U62" s="55" t="str">
        <f>Linked_Table!T60</f>
        <v>Damon Hearne</v>
      </c>
      <c r="V62" s="12"/>
      <c r="W62" s="12"/>
      <c r="X62" s="12"/>
      <c r="Y62" s="12"/>
      <c r="Z62" s="12"/>
      <c r="AA62" s="12"/>
      <c r="AB62" s="12"/>
      <c r="AC62" s="12"/>
      <c r="AD62" s="12"/>
      <c r="AE62" s="12"/>
    </row>
    <row r="63" spans="1:31" ht="30" x14ac:dyDescent="0.25">
      <c r="A63" s="54">
        <v>57</v>
      </c>
      <c r="B63" s="98" t="str">
        <f>Linked_Table!A61</f>
        <v>2018-009</v>
      </c>
      <c r="C63" s="98" t="str">
        <f>Linked_Table!B61</f>
        <v>Conserving Carolina - Dehon Mtn-Sherwood Forest NA</v>
      </c>
      <c r="D63" s="99">
        <f>Linked_Table!C61</f>
        <v>72</v>
      </c>
      <c r="E63" s="100">
        <f>Linked_Table!D61</f>
        <v>128648</v>
      </c>
      <c r="F63" s="100">
        <f t="shared" si="5"/>
        <v>128648</v>
      </c>
      <c r="G63" s="101">
        <f t="shared" si="4"/>
        <v>29952136</v>
      </c>
      <c r="H63" s="102"/>
      <c r="I63" s="103">
        <f t="shared" si="1"/>
        <v>0</v>
      </c>
      <c r="J63" s="100">
        <f>Linked_Table!F61</f>
        <v>522148</v>
      </c>
      <c r="K63" s="100">
        <f>Linked_Table!E61</f>
        <v>393500</v>
      </c>
      <c r="L63" s="108">
        <f t="shared" si="2"/>
        <v>0.75361774822464134</v>
      </c>
      <c r="M63" s="105" t="str">
        <f>Linked_Table!H61</f>
        <v>65</v>
      </c>
      <c r="N63" s="106">
        <f t="shared" si="3"/>
        <v>8033.0461538461541</v>
      </c>
      <c r="O63" s="107" t="str">
        <f>IF(Linked_Table!I61=TRUE,"X","")</f>
        <v>X</v>
      </c>
      <c r="P63" s="107" t="str">
        <f>IF(Linked_Table!J61=TRUE,"X","")</f>
        <v/>
      </c>
      <c r="Q63" s="107" t="str">
        <f>IF(Linked_Table!K61=TRUE,"X","")</f>
        <v>X</v>
      </c>
      <c r="R63" s="107" t="str">
        <f>IF(Linked_Table!L61=TRUE,"X","")</f>
        <v/>
      </c>
      <c r="S63" s="107" t="str">
        <f>IF(Linked_Table!M61=TRUE,"X","")</f>
        <v/>
      </c>
      <c r="T63" s="55" t="str">
        <f>Linked_Table!G61&amp;" ("&amp;Linked_Table!N61&amp;")"</f>
        <v>Transylvania (2)</v>
      </c>
      <c r="U63" s="55" t="str">
        <f>Linked_Table!T61</f>
        <v>Damon Hearne</v>
      </c>
      <c r="V63" s="12"/>
      <c r="W63" s="12"/>
      <c r="X63" s="12"/>
      <c r="Y63" s="12"/>
      <c r="Z63" s="12"/>
      <c r="AA63" s="12"/>
      <c r="AB63" s="12"/>
      <c r="AC63" s="12"/>
      <c r="AD63" s="12"/>
      <c r="AE63" s="12"/>
    </row>
    <row r="64" spans="1:31" ht="30" x14ac:dyDescent="0.25">
      <c r="A64" s="54">
        <v>58</v>
      </c>
      <c r="B64" s="98" t="str">
        <f>Linked_Table!A62</f>
        <v>2018-007</v>
      </c>
      <c r="C64" s="98" t="str">
        <f>Linked_Table!B62</f>
        <v>Conserving Carolina - Blue Moon Tr, Pinnacle Mtn NA</v>
      </c>
      <c r="D64" s="99">
        <f>Linked_Table!C62</f>
        <v>71</v>
      </c>
      <c r="E64" s="100">
        <f>Linked_Table!D62</f>
        <v>90932</v>
      </c>
      <c r="F64" s="100">
        <f t="shared" si="5"/>
        <v>90932</v>
      </c>
      <c r="G64" s="101">
        <f t="shared" si="4"/>
        <v>30043068</v>
      </c>
      <c r="H64" s="102"/>
      <c r="I64" s="103">
        <f t="shared" si="1"/>
        <v>0</v>
      </c>
      <c r="J64" s="100">
        <f>Linked_Table!F62</f>
        <v>586132</v>
      </c>
      <c r="K64" s="100">
        <f>Linked_Table!E62</f>
        <v>495200</v>
      </c>
      <c r="L64" s="108">
        <f t="shared" si="2"/>
        <v>0.8448608845789003</v>
      </c>
      <c r="M64" s="105" t="str">
        <f>Linked_Table!H62</f>
        <v>25</v>
      </c>
      <c r="N64" s="106">
        <f t="shared" si="3"/>
        <v>23445.279999999999</v>
      </c>
      <c r="O64" s="107" t="str">
        <f>IF(Linked_Table!I62=TRUE,"X","")</f>
        <v>X</v>
      </c>
      <c r="P64" s="107" t="str">
        <f>IF(Linked_Table!J62=TRUE,"X","")</f>
        <v/>
      </c>
      <c r="Q64" s="107" t="str">
        <f>IF(Linked_Table!K62=TRUE,"X","")</f>
        <v>X</v>
      </c>
      <c r="R64" s="107" t="str">
        <f>IF(Linked_Table!L62=TRUE,"X","")</f>
        <v/>
      </c>
      <c r="S64" s="107" t="str">
        <f>IF(Linked_Table!M62=TRUE,"X","")</f>
        <v/>
      </c>
      <c r="T64" s="55" t="str">
        <f>Linked_Table!G62&amp;" ("&amp;Linked_Table!N62&amp;")"</f>
        <v>Henderson (3)</v>
      </c>
      <c r="U64" s="55" t="str">
        <f>Linked_Table!T62</f>
        <v>Damon Hearne</v>
      </c>
      <c r="V64" s="12"/>
      <c r="W64" s="12"/>
      <c r="X64" s="12"/>
      <c r="Y64" s="12"/>
      <c r="Z64" s="12"/>
      <c r="AA64" s="12"/>
      <c r="AB64" s="12"/>
      <c r="AC64" s="12"/>
      <c r="AD64" s="12"/>
      <c r="AE64" s="12"/>
    </row>
    <row r="65" spans="1:31" ht="30" x14ac:dyDescent="0.25">
      <c r="A65" s="54">
        <v>59</v>
      </c>
      <c r="B65" s="98" t="str">
        <f>Linked_Table!A63</f>
        <v>2018-019</v>
      </c>
      <c r="C65" s="98" t="str">
        <f>Linked_Table!B63</f>
        <v>Civil War Preservation Trust Fund - Weeks Farm &amp; Black R Pr, Averasboro BF</v>
      </c>
      <c r="D65" s="99">
        <f>Linked_Table!C63</f>
        <v>70</v>
      </c>
      <c r="E65" s="100">
        <f>Linked_Table!D63</f>
        <v>817720</v>
      </c>
      <c r="F65" s="100">
        <f t="shared" si="5"/>
        <v>817720</v>
      </c>
      <c r="G65" s="101">
        <f t="shared" si="4"/>
        <v>30860788</v>
      </c>
      <c r="H65" s="102"/>
      <c r="I65" s="103">
        <f t="shared" si="1"/>
        <v>0</v>
      </c>
      <c r="J65" s="100">
        <f>Linked_Table!F63</f>
        <v>2018580</v>
      </c>
      <c r="K65" s="100">
        <f>Linked_Table!E63</f>
        <v>1200859</v>
      </c>
      <c r="L65" s="108">
        <f t="shared" si="2"/>
        <v>0.59490285250027242</v>
      </c>
      <c r="M65" s="105" t="str">
        <f>Linked_Table!H63</f>
        <v>684</v>
      </c>
      <c r="N65" s="106">
        <f t="shared" si="3"/>
        <v>2951.1403508771928</v>
      </c>
      <c r="O65" s="107" t="str">
        <f>IF(Linked_Table!I63=TRUE,"X","")</f>
        <v>X</v>
      </c>
      <c r="P65" s="107" t="str">
        <f>IF(Linked_Table!J63=TRUE,"X","")</f>
        <v/>
      </c>
      <c r="Q65" s="107" t="str">
        <f>IF(Linked_Table!K63=TRUE,"X","")</f>
        <v>X</v>
      </c>
      <c r="R65" s="107" t="str">
        <f>IF(Linked_Table!L63=TRUE,"X","")</f>
        <v>X</v>
      </c>
      <c r="S65" s="107" t="str">
        <f>IF(Linked_Table!M63=TRUE,"X","")</f>
        <v/>
      </c>
      <c r="T65" s="55" t="str">
        <f>Linked_Table!G63&amp;" ("&amp;Linked_Table!N63&amp;")"</f>
        <v>Harnett (2)</v>
      </c>
      <c r="U65" s="55" t="str">
        <f>Linked_Table!T63</f>
        <v>Justin Mercer</v>
      </c>
      <c r="V65" s="12"/>
      <c r="W65" s="12"/>
      <c r="X65" s="12"/>
      <c r="Y65" s="12"/>
      <c r="Z65" s="12"/>
      <c r="AA65" s="12"/>
      <c r="AB65" s="12"/>
      <c r="AC65" s="12"/>
      <c r="AD65" s="12"/>
      <c r="AE65" s="12"/>
    </row>
    <row r="66" spans="1:31" ht="30" x14ac:dyDescent="0.25">
      <c r="A66" s="54">
        <v>60</v>
      </c>
      <c r="B66" s="98" t="str">
        <f>Linked_Table!A64</f>
        <v>2018-064</v>
      </c>
      <c r="C66" s="98" t="str">
        <f>Linked_Table!B64</f>
        <v>The Conservation Fund - Long Arm Mtn, Linville Gorge</v>
      </c>
      <c r="D66" s="99">
        <f>Linked_Table!C64</f>
        <v>70</v>
      </c>
      <c r="E66" s="100">
        <f>Linked_Table!D64</f>
        <v>1205000</v>
      </c>
      <c r="F66" s="100">
        <f t="shared" si="5"/>
        <v>1205000</v>
      </c>
      <c r="G66" s="101">
        <f t="shared" si="4"/>
        <v>32065788</v>
      </c>
      <c r="H66" s="102"/>
      <c r="I66" s="103">
        <f t="shared" si="1"/>
        <v>0</v>
      </c>
      <c r="J66" s="100">
        <f>Linked_Table!F64</f>
        <v>2569500</v>
      </c>
      <c r="K66" s="100">
        <f>Linked_Table!E64</f>
        <v>1364500</v>
      </c>
      <c r="L66" s="108">
        <f t="shared" si="2"/>
        <v>0.53103716676396184</v>
      </c>
      <c r="M66" s="105" t="str">
        <f>Linked_Table!H64</f>
        <v>210</v>
      </c>
      <c r="N66" s="106">
        <f t="shared" si="3"/>
        <v>12235.714285714286</v>
      </c>
      <c r="O66" s="107" t="str">
        <f>IF(Linked_Table!I64=TRUE,"X","")</f>
        <v>X</v>
      </c>
      <c r="P66" s="107" t="str">
        <f>IF(Linked_Table!J64=TRUE,"X","")</f>
        <v/>
      </c>
      <c r="Q66" s="107" t="str">
        <f>IF(Linked_Table!K64=TRUE,"X","")</f>
        <v>X</v>
      </c>
      <c r="R66" s="107" t="str">
        <f>IF(Linked_Table!L64=TRUE,"X","")</f>
        <v/>
      </c>
      <c r="S66" s="107" t="str">
        <f>IF(Linked_Table!M64=TRUE,"X","")</f>
        <v/>
      </c>
      <c r="T66" s="55" t="str">
        <f>Linked_Table!G64&amp;" ("&amp;Linked_Table!N64&amp;")"</f>
        <v>Burke (2)</v>
      </c>
      <c r="U66" s="55" t="str">
        <f>Linked_Table!T64</f>
        <v>Damon Hearne</v>
      </c>
      <c r="V66" s="12"/>
      <c r="W66" s="12"/>
      <c r="X66" s="12"/>
      <c r="Y66" s="12"/>
      <c r="Z66" s="12"/>
      <c r="AA66" s="12"/>
      <c r="AB66" s="12"/>
      <c r="AC66" s="12"/>
      <c r="AD66" s="12"/>
      <c r="AE66" s="12"/>
    </row>
    <row r="67" spans="1:31" ht="30" x14ac:dyDescent="0.25">
      <c r="A67" s="54">
        <v>61</v>
      </c>
      <c r="B67" s="98" t="str">
        <f>Linked_Table!A65</f>
        <v>2018-005</v>
      </c>
      <c r="C67" s="98" t="str">
        <f>Linked_Table!B65</f>
        <v>Blue Ridge Conservancy - Tompkins Tr, Edmonds Meadow Bog</v>
      </c>
      <c r="D67" s="99">
        <f>Linked_Table!C65</f>
        <v>70</v>
      </c>
      <c r="E67" s="100">
        <f>Linked_Table!D65</f>
        <v>94322</v>
      </c>
      <c r="F67" s="100">
        <f t="shared" si="5"/>
        <v>94322</v>
      </c>
      <c r="G67" s="101">
        <f t="shared" si="4"/>
        <v>32160110</v>
      </c>
      <c r="H67" s="102"/>
      <c r="I67" s="103">
        <f t="shared" si="1"/>
        <v>0</v>
      </c>
      <c r="J67" s="100">
        <f>Linked_Table!F65</f>
        <v>149322</v>
      </c>
      <c r="K67" s="100">
        <f>Linked_Table!E65</f>
        <v>55000</v>
      </c>
      <c r="L67" s="108">
        <f t="shared" si="2"/>
        <v>0.36833152516039164</v>
      </c>
      <c r="M67" s="105" t="str">
        <f>Linked_Table!H65</f>
        <v>24</v>
      </c>
      <c r="N67" s="106">
        <f t="shared" si="3"/>
        <v>6221.75</v>
      </c>
      <c r="O67" s="107" t="str">
        <f>IF(Linked_Table!I65=TRUE,"X","")</f>
        <v>X</v>
      </c>
      <c r="P67" s="107" t="str">
        <f>IF(Linked_Table!J65=TRUE,"X","")</f>
        <v/>
      </c>
      <c r="Q67" s="107" t="str">
        <f>IF(Linked_Table!K65=TRUE,"X","")</f>
        <v>X</v>
      </c>
      <c r="R67" s="107" t="str">
        <f>IF(Linked_Table!L65=TRUE,"X","")</f>
        <v/>
      </c>
      <c r="S67" s="107" t="str">
        <f>IF(Linked_Table!M65=TRUE,"X","")</f>
        <v/>
      </c>
      <c r="T67" s="55" t="str">
        <f>Linked_Table!G65&amp;" ("&amp;Linked_Table!N65&amp;")"</f>
        <v>Alleghany (1)</v>
      </c>
      <c r="U67" s="55" t="str">
        <f>Linked_Table!T65</f>
        <v>Damon Hearne</v>
      </c>
      <c r="V67" s="12"/>
      <c r="W67" s="12"/>
      <c r="X67" s="12"/>
      <c r="Y67" s="12"/>
      <c r="Z67" s="12"/>
      <c r="AA67" s="12"/>
      <c r="AB67" s="12"/>
      <c r="AC67" s="12"/>
      <c r="AD67" s="12"/>
      <c r="AE67" s="12"/>
    </row>
    <row r="68" spans="1:31" ht="30" x14ac:dyDescent="0.25">
      <c r="A68" s="54">
        <v>62</v>
      </c>
      <c r="B68" s="98" t="str">
        <f>Linked_Table!A66</f>
        <v>2018-046</v>
      </c>
      <c r="C68" s="98" t="str">
        <f>Linked_Table!B66</f>
        <v>NC Division of Coastal Management - Meter Point Tr, Kitty Hawk Woods</v>
      </c>
      <c r="D68" s="99">
        <f>Linked_Table!C66</f>
        <v>69</v>
      </c>
      <c r="E68" s="100">
        <f>Linked_Table!D66</f>
        <v>312750</v>
      </c>
      <c r="F68" s="100">
        <f t="shared" si="5"/>
        <v>312750</v>
      </c>
      <c r="G68" s="101">
        <f t="shared" si="4"/>
        <v>32472860</v>
      </c>
      <c r="H68" s="102"/>
      <c r="I68" s="103">
        <f t="shared" si="1"/>
        <v>0</v>
      </c>
      <c r="J68" s="100">
        <f>Linked_Table!F66</f>
        <v>1225500</v>
      </c>
      <c r="K68" s="100">
        <f>Linked_Table!E66</f>
        <v>912750</v>
      </c>
      <c r="L68" s="108">
        <f t="shared" si="2"/>
        <v>0.74479804161566709</v>
      </c>
      <c r="M68" s="105" t="str">
        <f>Linked_Table!H66</f>
        <v>47</v>
      </c>
      <c r="N68" s="106">
        <f t="shared" si="3"/>
        <v>26074.468085106382</v>
      </c>
      <c r="O68" s="107" t="str">
        <f>IF(Linked_Table!I66=TRUE,"X","")</f>
        <v>X</v>
      </c>
      <c r="P68" s="107" t="str">
        <f>IF(Linked_Table!J66=TRUE,"X","")</f>
        <v/>
      </c>
      <c r="Q68" s="107" t="str">
        <f>IF(Linked_Table!K66=TRUE,"X","")</f>
        <v>X</v>
      </c>
      <c r="R68" s="107" t="str">
        <f>IF(Linked_Table!L66=TRUE,"X","")</f>
        <v/>
      </c>
      <c r="S68" s="107" t="str">
        <f>IF(Linked_Table!M66=TRUE,"X","")</f>
        <v/>
      </c>
      <c r="T68" s="55" t="str">
        <f>Linked_Table!G66&amp;" ("&amp;Linked_Table!N66&amp;")"</f>
        <v>Dare (2)</v>
      </c>
      <c r="U68" s="55" t="str">
        <f>Linked_Table!T66</f>
        <v>Justin Mercer</v>
      </c>
      <c r="V68" s="12"/>
      <c r="W68" s="12"/>
      <c r="X68" s="12"/>
      <c r="Y68" s="12"/>
      <c r="Z68" s="12"/>
      <c r="AA68" s="12"/>
      <c r="AB68" s="12"/>
      <c r="AC68" s="12"/>
      <c r="AD68" s="12"/>
      <c r="AE68" s="12"/>
    </row>
    <row r="69" spans="1:31" ht="30" x14ac:dyDescent="0.25">
      <c r="A69" s="54">
        <v>63</v>
      </c>
      <c r="B69" s="98" t="str">
        <f>Linked_Table!A67</f>
        <v>2018-079</v>
      </c>
      <c r="C69" s="98" t="str">
        <f>Linked_Table!B67</f>
        <v>Unique Places 2 Save - High Falls Deep R, Dam Rem Site</v>
      </c>
      <c r="D69" s="99">
        <f>Linked_Table!C67</f>
        <v>69</v>
      </c>
      <c r="E69" s="100">
        <f>Linked_Table!D67</f>
        <v>95586</v>
      </c>
      <c r="F69" s="100">
        <f t="shared" si="5"/>
        <v>95586</v>
      </c>
      <c r="G69" s="101">
        <f t="shared" si="4"/>
        <v>32568446</v>
      </c>
      <c r="H69" s="102"/>
      <c r="I69" s="103">
        <f t="shared" si="1"/>
        <v>0</v>
      </c>
      <c r="J69" s="100">
        <f>Linked_Table!F67</f>
        <v>136586</v>
      </c>
      <c r="K69" s="100">
        <f>Linked_Table!E67</f>
        <v>41000</v>
      </c>
      <c r="L69" s="108">
        <f t="shared" si="2"/>
        <v>0.30017717774881758</v>
      </c>
      <c r="M69" s="105" t="str">
        <f>Linked_Table!H67</f>
        <v>13</v>
      </c>
      <c r="N69" s="106">
        <f t="shared" si="3"/>
        <v>10506.615384615385</v>
      </c>
      <c r="O69" s="107" t="str">
        <f>IF(Linked_Table!I67=TRUE,"X","")</f>
        <v>X</v>
      </c>
      <c r="P69" s="107" t="str">
        <f>IF(Linked_Table!J67=TRUE,"X","")</f>
        <v/>
      </c>
      <c r="Q69" s="107" t="str">
        <f>IF(Linked_Table!K67=TRUE,"X","")</f>
        <v>X</v>
      </c>
      <c r="R69" s="107" t="str">
        <f>IF(Linked_Table!L67=TRUE,"X","")</f>
        <v/>
      </c>
      <c r="S69" s="107" t="str">
        <f>IF(Linked_Table!M67=TRUE,"X","")</f>
        <v/>
      </c>
      <c r="T69" s="55" t="str">
        <f>Linked_Table!G67&amp;" ("&amp;Linked_Table!N67&amp;")"</f>
        <v>Moore (3)</v>
      </c>
      <c r="U69" s="55" t="str">
        <f>Linked_Table!T67</f>
        <v>Justin Mercer</v>
      </c>
      <c r="V69" s="12"/>
      <c r="W69" s="12"/>
      <c r="X69" s="12"/>
      <c r="Y69" s="12"/>
      <c r="Z69" s="12"/>
      <c r="AA69" s="12"/>
      <c r="AB69" s="12"/>
      <c r="AC69" s="12"/>
      <c r="AD69" s="12"/>
      <c r="AE69" s="12"/>
    </row>
    <row r="70" spans="1:31" ht="30" x14ac:dyDescent="0.25">
      <c r="A70" s="54">
        <v>64</v>
      </c>
      <c r="B70" s="98" t="str">
        <f>Linked_Table!A68</f>
        <v>2018-024</v>
      </c>
      <c r="C70" s="98" t="str">
        <f>Linked_Table!B68</f>
        <v>Foothills Conservancy of North Carolina - Jacob Fork East Trs</v>
      </c>
      <c r="D70" s="99">
        <f>Linked_Table!C68</f>
        <v>68</v>
      </c>
      <c r="E70" s="100">
        <f>Linked_Table!D68</f>
        <v>533000</v>
      </c>
      <c r="F70" s="100">
        <f t="shared" si="5"/>
        <v>533000</v>
      </c>
      <c r="G70" s="101">
        <f t="shared" si="4"/>
        <v>33101446</v>
      </c>
      <c r="H70" s="102"/>
      <c r="I70" s="103">
        <f t="shared" ref="I70:I78" si="6">I69+H70</f>
        <v>0</v>
      </c>
      <c r="J70" s="100">
        <f>Linked_Table!F68</f>
        <v>1000450</v>
      </c>
      <c r="K70" s="100">
        <f>Linked_Table!E68</f>
        <v>467450</v>
      </c>
      <c r="L70" s="108">
        <f t="shared" si="2"/>
        <v>0.4672397421160478</v>
      </c>
      <c r="M70" s="105" t="str">
        <f>Linked_Table!H68</f>
        <v>188</v>
      </c>
      <c r="N70" s="106">
        <f t="shared" si="3"/>
        <v>5321.5425531914898</v>
      </c>
      <c r="O70" s="107" t="str">
        <f>IF(Linked_Table!I68=TRUE,"X","")</f>
        <v>X</v>
      </c>
      <c r="P70" s="107" t="str">
        <f>IF(Linked_Table!J68=TRUE,"X","")</f>
        <v/>
      </c>
      <c r="Q70" s="107" t="str">
        <f>IF(Linked_Table!K68=TRUE,"X","")</f>
        <v>X</v>
      </c>
      <c r="R70" s="107" t="str">
        <f>IF(Linked_Table!L68=TRUE,"X","")</f>
        <v/>
      </c>
      <c r="S70" s="107" t="str">
        <f>IF(Linked_Table!M68=TRUE,"X","")</f>
        <v/>
      </c>
      <c r="T70" s="55" t="str">
        <f>Linked_Table!G68&amp;" ("&amp;Linked_Table!N68&amp;")"</f>
        <v>Catawba (2)</v>
      </c>
      <c r="U70" s="55" t="str">
        <f>Linked_Table!T68</f>
        <v>Damon Hearne</v>
      </c>
      <c r="V70" s="12"/>
      <c r="W70" s="12"/>
      <c r="X70" s="12"/>
      <c r="Y70" s="12"/>
      <c r="Z70" s="12"/>
      <c r="AA70" s="12"/>
      <c r="AB70" s="12"/>
      <c r="AC70" s="12"/>
      <c r="AD70" s="12"/>
      <c r="AE70" s="12"/>
    </row>
    <row r="71" spans="1:31" ht="30" x14ac:dyDescent="0.25">
      <c r="A71" s="54">
        <v>65</v>
      </c>
      <c r="B71" s="98" t="str">
        <f>Linked_Table!A69</f>
        <v>2018-035</v>
      </c>
      <c r="C71" s="98" t="str">
        <f>Linked_Table!B69</f>
        <v>LandTrust for Central North Carolina - Sowers Pr, Yadkin R UT</v>
      </c>
      <c r="D71" s="99">
        <f>Linked_Table!C69</f>
        <v>66</v>
      </c>
      <c r="E71" s="100">
        <f>Linked_Table!D69</f>
        <v>1040566</v>
      </c>
      <c r="F71" s="100">
        <f t="shared" ref="F71:F78" si="7">IF(E71&lt;$F$4,E71,$F$4)</f>
        <v>1040566</v>
      </c>
      <c r="G71" s="101">
        <f t="shared" si="4"/>
        <v>34142012</v>
      </c>
      <c r="H71" s="102"/>
      <c r="I71" s="103">
        <f t="shared" si="6"/>
        <v>0</v>
      </c>
      <c r="J71" s="100">
        <f>Linked_Table!F69</f>
        <v>2041566</v>
      </c>
      <c r="K71" s="100">
        <f>Linked_Table!E69</f>
        <v>1001000</v>
      </c>
      <c r="L71" s="108">
        <f t="shared" si="2"/>
        <v>0.49030988956516713</v>
      </c>
      <c r="M71" s="105" t="str">
        <f>Linked_Table!H69</f>
        <v>270</v>
      </c>
      <c r="N71" s="106">
        <f t="shared" si="3"/>
        <v>7561.3555555555558</v>
      </c>
      <c r="O71" s="107" t="str">
        <f>IF(Linked_Table!I69=TRUE,"X","")</f>
        <v>X</v>
      </c>
      <c r="P71" s="107" t="str">
        <f>IF(Linked_Table!J69=TRUE,"X","")</f>
        <v/>
      </c>
      <c r="Q71" s="107" t="str">
        <f>IF(Linked_Table!K69=TRUE,"X","")</f>
        <v/>
      </c>
      <c r="R71" s="107" t="str">
        <f>IF(Linked_Table!L69=TRUE,"X","")</f>
        <v/>
      </c>
      <c r="S71" s="107" t="str">
        <f>IF(Linked_Table!M69=TRUE,"X","")</f>
        <v/>
      </c>
      <c r="T71" s="55" t="str">
        <f>Linked_Table!G69&amp;" ("&amp;Linked_Table!N69&amp;")"</f>
        <v>Davidson (2)</v>
      </c>
      <c r="U71" s="55" t="str">
        <f>Linked_Table!T69</f>
        <v>Justin Mercer</v>
      </c>
      <c r="V71" s="12"/>
      <c r="W71" s="12"/>
      <c r="X71" s="12"/>
      <c r="Y71" s="12"/>
      <c r="Z71" s="12"/>
      <c r="AA71" s="12"/>
      <c r="AB71" s="12"/>
      <c r="AC71" s="12"/>
      <c r="AD71" s="12"/>
      <c r="AE71" s="12"/>
    </row>
    <row r="72" spans="1:31" ht="30" x14ac:dyDescent="0.25">
      <c r="A72" s="54">
        <v>66</v>
      </c>
      <c r="B72" s="98" t="str">
        <f>Linked_Table!A70</f>
        <v>2018-054</v>
      </c>
      <c r="C72" s="98" t="str">
        <f>Linked_Table!B70</f>
        <v>Piedmont Land Conservancy - Lassiter Tr, Elkin Cr</v>
      </c>
      <c r="D72" s="99">
        <f>Linked_Table!C70</f>
        <v>62</v>
      </c>
      <c r="E72" s="100">
        <f>Linked_Table!D70</f>
        <v>502269</v>
      </c>
      <c r="F72" s="100">
        <f t="shared" si="7"/>
        <v>502269</v>
      </c>
      <c r="G72" s="101">
        <f t="shared" si="4"/>
        <v>34644281</v>
      </c>
      <c r="H72" s="102"/>
      <c r="I72" s="103">
        <f t="shared" si="6"/>
        <v>0</v>
      </c>
      <c r="J72" s="100">
        <f>Linked_Table!F70</f>
        <v>780269</v>
      </c>
      <c r="K72" s="100">
        <f>Linked_Table!E70</f>
        <v>278000</v>
      </c>
      <c r="L72" s="108">
        <f t="shared" ref="L72:L78" si="8">(K72/J72)</f>
        <v>0.35628738294101137</v>
      </c>
      <c r="M72" s="105" t="str">
        <f>Linked_Table!H70</f>
        <v>241</v>
      </c>
      <c r="N72" s="106">
        <f t="shared" ref="N72:N78" si="9">J72/M72</f>
        <v>3237.630705394191</v>
      </c>
      <c r="O72" s="107" t="str">
        <f>IF(Linked_Table!I70=TRUE,"X","")</f>
        <v>X</v>
      </c>
      <c r="P72" s="107" t="str">
        <f>IF(Linked_Table!J70=TRUE,"X","")</f>
        <v/>
      </c>
      <c r="Q72" s="107" t="str">
        <f>IF(Linked_Table!K70=TRUE,"X","")</f>
        <v>X</v>
      </c>
      <c r="R72" s="107" t="str">
        <f>IF(Linked_Table!L70=TRUE,"X","")</f>
        <v/>
      </c>
      <c r="S72" s="107" t="str">
        <f>IF(Linked_Table!M70=TRUE,"X","")</f>
        <v/>
      </c>
      <c r="T72" s="55" t="str">
        <f>Linked_Table!G70&amp;" ("&amp;Linked_Table!N70&amp;")"</f>
        <v>Wilkes (2)</v>
      </c>
      <c r="U72" s="55" t="str">
        <f>Linked_Table!T70</f>
        <v>Damon Hearne</v>
      </c>
      <c r="V72" s="12"/>
      <c r="W72" s="12"/>
      <c r="X72" s="12"/>
      <c r="Y72" s="12"/>
      <c r="Z72" s="12"/>
      <c r="AA72" s="12"/>
      <c r="AB72" s="12"/>
      <c r="AC72" s="12"/>
      <c r="AD72" s="12"/>
      <c r="AE72" s="12"/>
    </row>
    <row r="73" spans="1:31" ht="30" x14ac:dyDescent="0.25">
      <c r="A73" s="54">
        <v>67</v>
      </c>
      <c r="B73" s="98" t="str">
        <f>Linked_Table!A71</f>
        <v>2018-078</v>
      </c>
      <c r="C73" s="98" t="str">
        <f>Linked_Table!B71</f>
        <v>Tar River Land Conservancy - Prestwick Tr, Holman Cr</v>
      </c>
      <c r="D73" s="99">
        <f>Linked_Table!C71</f>
        <v>60</v>
      </c>
      <c r="E73" s="100">
        <f>Linked_Table!D71</f>
        <v>53843</v>
      </c>
      <c r="F73" s="100">
        <f t="shared" si="7"/>
        <v>53843</v>
      </c>
      <c r="G73" s="101">
        <f t="shared" ref="G73:G78" si="10">G72+F73</f>
        <v>34698124</v>
      </c>
      <c r="H73" s="102"/>
      <c r="I73" s="103">
        <f t="shared" si="6"/>
        <v>0</v>
      </c>
      <c r="J73" s="100">
        <f>Linked_Table!F71</f>
        <v>140843</v>
      </c>
      <c r="K73" s="100">
        <f>Linked_Table!E71</f>
        <v>87000</v>
      </c>
      <c r="L73" s="108">
        <f t="shared" si="8"/>
        <v>0.61770908032348071</v>
      </c>
      <c r="M73" s="105" t="str">
        <f>Linked_Table!H71</f>
        <v>18</v>
      </c>
      <c r="N73" s="106">
        <f t="shared" si="9"/>
        <v>7824.6111111111113</v>
      </c>
      <c r="O73" s="107" t="str">
        <f>IF(Linked_Table!I71=TRUE,"X","")</f>
        <v>X</v>
      </c>
      <c r="P73" s="107" t="str">
        <f>IF(Linked_Table!J71=TRUE,"X","")</f>
        <v/>
      </c>
      <c r="Q73" s="107" t="str">
        <f>IF(Linked_Table!K71=TRUE,"X","")</f>
        <v>X</v>
      </c>
      <c r="R73" s="107" t="str">
        <f>IF(Linked_Table!L71=TRUE,"X","")</f>
        <v/>
      </c>
      <c r="S73" s="107" t="str">
        <f>IF(Linked_Table!M71=TRUE,"X","")</f>
        <v/>
      </c>
      <c r="T73" s="55" t="str">
        <f>Linked_Table!G71&amp;" ("&amp;Linked_Table!N71&amp;")"</f>
        <v>Granville (3)</v>
      </c>
      <c r="U73" s="55" t="str">
        <f>Linked_Table!T71</f>
        <v>Justin Mercer</v>
      </c>
      <c r="V73" s="12"/>
      <c r="W73" s="12"/>
      <c r="X73" s="12"/>
      <c r="Y73" s="12"/>
      <c r="Z73" s="12"/>
      <c r="AA73" s="12"/>
      <c r="AB73" s="12"/>
      <c r="AC73" s="12"/>
      <c r="AD73" s="12"/>
      <c r="AE73" s="12"/>
    </row>
    <row r="74" spans="1:31" ht="30" x14ac:dyDescent="0.25">
      <c r="A74" s="54">
        <v>68</v>
      </c>
      <c r="B74" s="98" t="str">
        <f>Linked_Table!A72</f>
        <v>2018-050</v>
      </c>
      <c r="C74" s="98" t="str">
        <f>Linked_Table!B72</f>
        <v>NC Forest Service - Beaver Cr HW, State Forest</v>
      </c>
      <c r="D74" s="99">
        <f>Linked_Table!C72</f>
        <v>58</v>
      </c>
      <c r="E74" s="100">
        <f>Linked_Table!D72</f>
        <v>1125000</v>
      </c>
      <c r="F74" s="100">
        <f t="shared" si="7"/>
        <v>1125000</v>
      </c>
      <c r="G74" s="101">
        <f t="shared" si="10"/>
        <v>35823124</v>
      </c>
      <c r="H74" s="102"/>
      <c r="I74" s="103">
        <f t="shared" si="6"/>
        <v>0</v>
      </c>
      <c r="J74" s="100">
        <f>Linked_Table!F72</f>
        <v>1844998</v>
      </c>
      <c r="K74" s="100">
        <f>Linked_Table!E72</f>
        <v>719998</v>
      </c>
      <c r="L74" s="108">
        <f t="shared" si="8"/>
        <v>0.3902432414560883</v>
      </c>
      <c r="M74" s="105" t="str">
        <f>Linked_Table!H72</f>
        <v>684</v>
      </c>
      <c r="N74" s="106">
        <f t="shared" si="9"/>
        <v>2697.3654970760235</v>
      </c>
      <c r="O74" s="107" t="str">
        <f>IF(Linked_Table!I72=TRUE,"X","")</f>
        <v>X</v>
      </c>
      <c r="P74" s="107" t="str">
        <f>IF(Linked_Table!J72=TRUE,"X","")</f>
        <v/>
      </c>
      <c r="Q74" s="107" t="str">
        <f>IF(Linked_Table!K72=TRUE,"X","")</f>
        <v>X</v>
      </c>
      <c r="R74" s="107" t="str">
        <f>IF(Linked_Table!L72=TRUE,"X","")</f>
        <v/>
      </c>
      <c r="S74" s="107" t="str">
        <f>IF(Linked_Table!M72=TRUE,"X","")</f>
        <v/>
      </c>
      <c r="T74" s="55" t="str">
        <f>Linked_Table!G72&amp;" ("&amp;Linked_Table!N72&amp;")"</f>
        <v>Caldwell (2)</v>
      </c>
      <c r="U74" s="55" t="str">
        <f>Linked_Table!T72</f>
        <v>Damon Hearne</v>
      </c>
      <c r="V74" s="12"/>
      <c r="W74" s="12"/>
      <c r="X74" s="12"/>
      <c r="Y74" s="12"/>
      <c r="Z74" s="12"/>
      <c r="AA74" s="12"/>
      <c r="AB74" s="12"/>
      <c r="AC74" s="12"/>
      <c r="AD74" s="12"/>
      <c r="AE74" s="12"/>
    </row>
    <row r="75" spans="1:31" ht="30" x14ac:dyDescent="0.25">
      <c r="A75" s="54">
        <v>69</v>
      </c>
      <c r="B75" s="98" t="str">
        <f>Linked_Table!A73</f>
        <v>2018-022</v>
      </c>
      <c r="C75" s="98" t="str">
        <f>Linked_Table!B73</f>
        <v>Elizabeth City - Griffin Shipyard</v>
      </c>
      <c r="D75" s="99">
        <f>Linked_Table!C73</f>
        <v>57</v>
      </c>
      <c r="E75" s="100">
        <f>Linked_Table!D73</f>
        <v>350000</v>
      </c>
      <c r="F75" s="100">
        <f t="shared" si="7"/>
        <v>350000</v>
      </c>
      <c r="G75" s="101">
        <f t="shared" si="10"/>
        <v>36173124</v>
      </c>
      <c r="H75" s="102"/>
      <c r="I75" s="103">
        <f t="shared" si="6"/>
        <v>0</v>
      </c>
      <c r="J75" s="100">
        <f>Linked_Table!F73</f>
        <v>782007</v>
      </c>
      <c r="K75" s="100">
        <f>Linked_Table!E73</f>
        <v>432007</v>
      </c>
      <c r="L75" s="108">
        <f t="shared" si="8"/>
        <v>0.55243367386736952</v>
      </c>
      <c r="M75" s="105" t="str">
        <f>Linked_Table!H73</f>
        <v>3</v>
      </c>
      <c r="N75" s="106">
        <f t="shared" si="9"/>
        <v>260669</v>
      </c>
      <c r="O75" s="107" t="str">
        <f>IF(Linked_Table!I73=TRUE,"X","")</f>
        <v>X</v>
      </c>
      <c r="P75" s="107" t="str">
        <f>IF(Linked_Table!J73=TRUE,"X","")</f>
        <v>X</v>
      </c>
      <c r="Q75" s="107" t="str">
        <f>IF(Linked_Table!K73=TRUE,"X","")</f>
        <v/>
      </c>
      <c r="R75" s="107" t="str">
        <f>IF(Linked_Table!L73=TRUE,"X","")</f>
        <v>X</v>
      </c>
      <c r="S75" s="107" t="str">
        <f>IF(Linked_Table!M73=TRUE,"X","")</f>
        <v/>
      </c>
      <c r="T75" s="55" t="str">
        <f>Linked_Table!G73&amp;" ("&amp;Linked_Table!N73&amp;")"</f>
        <v>Pasquotank (1)</v>
      </c>
      <c r="U75" s="55" t="str">
        <f>Linked_Table!T73</f>
        <v>Justin Mercer</v>
      </c>
      <c r="V75" s="12"/>
      <c r="W75" s="12"/>
      <c r="X75" s="12"/>
      <c r="Y75" s="12"/>
      <c r="Z75" s="12"/>
      <c r="AA75" s="12"/>
      <c r="AB75" s="12"/>
      <c r="AC75" s="12"/>
      <c r="AD75" s="12"/>
      <c r="AE75" s="12"/>
    </row>
    <row r="76" spans="1:31" ht="30" x14ac:dyDescent="0.25">
      <c r="A76" s="54">
        <v>70</v>
      </c>
      <c r="B76" s="98" t="str">
        <f>Linked_Table!A74</f>
        <v>2018-032</v>
      </c>
      <c r="C76" s="98" t="str">
        <f>Linked_Table!B74</f>
        <v>LandTrust for Central North Carolina - Dassow Pr, Talbotts Br</v>
      </c>
      <c r="D76" s="99">
        <f>Linked_Table!C74</f>
        <v>54</v>
      </c>
      <c r="E76" s="100">
        <f>Linked_Table!D74</f>
        <v>250903</v>
      </c>
      <c r="F76" s="100">
        <f t="shared" si="7"/>
        <v>250903</v>
      </c>
      <c r="G76" s="101">
        <f t="shared" si="10"/>
        <v>36424027</v>
      </c>
      <c r="H76" s="102"/>
      <c r="I76" s="103">
        <f t="shared" si="6"/>
        <v>0</v>
      </c>
      <c r="J76" s="100">
        <f>Linked_Table!F74</f>
        <v>327403</v>
      </c>
      <c r="K76" s="100">
        <f>Linked_Table!E74</f>
        <v>76500</v>
      </c>
      <c r="L76" s="108">
        <f t="shared" si="8"/>
        <v>0.23365699153642452</v>
      </c>
      <c r="M76" s="105" t="str">
        <f>Linked_Table!H74</f>
        <v>100</v>
      </c>
      <c r="N76" s="106">
        <f t="shared" si="9"/>
        <v>3274.03</v>
      </c>
      <c r="O76" s="107" t="str">
        <f>IF(Linked_Table!I74=TRUE,"X","")</f>
        <v>X</v>
      </c>
      <c r="P76" s="107" t="str">
        <f>IF(Linked_Table!J74=TRUE,"X","")</f>
        <v/>
      </c>
      <c r="Q76" s="107" t="str">
        <f>IF(Linked_Table!K74=TRUE,"X","")</f>
        <v>X</v>
      </c>
      <c r="R76" s="107" t="str">
        <f>IF(Linked_Table!L74=TRUE,"X","")</f>
        <v/>
      </c>
      <c r="S76" s="107" t="str">
        <f>IF(Linked_Table!M74=TRUE,"X","")</f>
        <v/>
      </c>
      <c r="T76" s="55" t="str">
        <f>Linked_Table!G74&amp;" ("&amp;Linked_Table!N74&amp;")"</f>
        <v>Randolph (2)</v>
      </c>
      <c r="U76" s="55" t="str">
        <f>Linked_Table!T74</f>
        <v>Justin Mercer</v>
      </c>
      <c r="V76" s="12"/>
      <c r="W76" s="12"/>
      <c r="X76" s="12"/>
      <c r="Y76" s="12"/>
      <c r="Z76" s="12"/>
      <c r="AA76" s="12"/>
      <c r="AB76" s="12"/>
      <c r="AC76" s="12"/>
      <c r="AD76" s="12"/>
      <c r="AE76" s="12"/>
    </row>
    <row r="77" spans="1:31" ht="30" x14ac:dyDescent="0.25">
      <c r="A77" s="54">
        <v>71</v>
      </c>
      <c r="B77" s="98" t="str">
        <f>Linked_Table!A75</f>
        <v>2018-063</v>
      </c>
      <c r="C77" s="98" t="str">
        <f>Linked_Table!B75</f>
        <v>The Conservation Fund - Kings Cr, State Forest</v>
      </c>
      <c r="D77" s="99">
        <f>Linked_Table!C75</f>
        <v>47</v>
      </c>
      <c r="E77" s="100">
        <f>Linked_Table!D75</f>
        <v>975000</v>
      </c>
      <c r="F77" s="100">
        <f t="shared" si="7"/>
        <v>975000</v>
      </c>
      <c r="G77" s="101">
        <f t="shared" si="10"/>
        <v>37399027</v>
      </c>
      <c r="H77" s="102"/>
      <c r="I77" s="103">
        <f t="shared" si="6"/>
        <v>0</v>
      </c>
      <c r="J77" s="100">
        <f>Linked_Table!F75</f>
        <v>1410000</v>
      </c>
      <c r="K77" s="100">
        <f>Linked_Table!E75</f>
        <v>435000</v>
      </c>
      <c r="L77" s="108">
        <f t="shared" si="8"/>
        <v>0.30851063829787234</v>
      </c>
      <c r="M77" s="105" t="str">
        <f>Linked_Table!H75</f>
        <v>450</v>
      </c>
      <c r="N77" s="106">
        <f t="shared" si="9"/>
        <v>3133.3333333333335</v>
      </c>
      <c r="O77" s="107" t="str">
        <f>IF(Linked_Table!I75=TRUE,"X","")</f>
        <v>X</v>
      </c>
      <c r="P77" s="107" t="str">
        <f>IF(Linked_Table!J75=TRUE,"X","")</f>
        <v/>
      </c>
      <c r="Q77" s="107" t="str">
        <f>IF(Linked_Table!K75=TRUE,"X","")</f>
        <v>X</v>
      </c>
      <c r="R77" s="107" t="str">
        <f>IF(Linked_Table!L75=TRUE,"X","")</f>
        <v/>
      </c>
      <c r="S77" s="107" t="str">
        <f>IF(Linked_Table!M75=TRUE,"X","")</f>
        <v/>
      </c>
      <c r="T77" s="55" t="str">
        <f>Linked_Table!G75&amp;" ("&amp;Linked_Table!N75&amp;")"</f>
        <v>Caldwell (2)</v>
      </c>
      <c r="U77" s="55" t="str">
        <f>Linked_Table!T75</f>
        <v>Damon Hearne</v>
      </c>
      <c r="V77" s="12"/>
      <c r="W77" s="12"/>
      <c r="X77" s="12"/>
      <c r="Y77" s="12"/>
      <c r="Z77" s="12"/>
      <c r="AA77" s="12"/>
      <c r="AB77" s="12"/>
      <c r="AC77" s="12"/>
      <c r="AD77" s="12"/>
      <c r="AE77" s="12"/>
    </row>
    <row r="78" spans="1:31" ht="30" x14ac:dyDescent="0.25">
      <c r="A78" s="54">
        <v>72</v>
      </c>
      <c r="B78" s="98" t="str">
        <f>Linked_Table!A76</f>
        <v>2018-031</v>
      </c>
      <c r="C78" s="98" t="str">
        <f>Linked_Table!B76</f>
        <v>LandTrust for Central North Carolina - Chicken Rock, Ledbetter Lk</v>
      </c>
      <c r="D78" s="99">
        <f>Linked_Table!C76</f>
        <v>42</v>
      </c>
      <c r="E78" s="100">
        <f>Linked_Table!D76</f>
        <v>269004</v>
      </c>
      <c r="F78" s="100">
        <f t="shared" si="7"/>
        <v>269004</v>
      </c>
      <c r="G78" s="101">
        <f t="shared" si="10"/>
        <v>37668031</v>
      </c>
      <c r="H78" s="102"/>
      <c r="I78" s="103">
        <f t="shared" si="6"/>
        <v>0</v>
      </c>
      <c r="J78" s="100">
        <f>Linked_Table!F76</f>
        <v>521404</v>
      </c>
      <c r="K78" s="100">
        <f>Linked_Table!E76</f>
        <v>252400</v>
      </c>
      <c r="L78" s="108">
        <f t="shared" si="8"/>
        <v>0.48407760584882353</v>
      </c>
      <c r="M78" s="105" t="str">
        <f>Linked_Table!H76</f>
        <v>51</v>
      </c>
      <c r="N78" s="106">
        <f t="shared" si="9"/>
        <v>10223.607843137255</v>
      </c>
      <c r="O78" s="107" t="str">
        <f>IF(Linked_Table!I76=TRUE,"X","")</f>
        <v>X</v>
      </c>
      <c r="P78" s="107" t="str">
        <f>IF(Linked_Table!J76=TRUE,"X","")</f>
        <v/>
      </c>
      <c r="Q78" s="107" t="str">
        <f>IF(Linked_Table!K76=TRUE,"X","")</f>
        <v>X</v>
      </c>
      <c r="R78" s="107" t="str">
        <f>IF(Linked_Table!L76=TRUE,"X","")</f>
        <v/>
      </c>
      <c r="S78" s="107" t="str">
        <f>IF(Linked_Table!M76=TRUE,"X","")</f>
        <v/>
      </c>
      <c r="T78" s="55" t="str">
        <f>Linked_Table!G76&amp;" ("&amp;Linked_Table!N76&amp;")"</f>
        <v>Richmond (1)</v>
      </c>
      <c r="U78" s="55" t="str">
        <f>Linked_Table!T76</f>
        <v>Justin Mercer</v>
      </c>
      <c r="V78" s="12"/>
      <c r="W78" s="12"/>
      <c r="X78" s="12"/>
      <c r="Y78" s="12"/>
      <c r="Z78" s="12"/>
      <c r="AA78" s="12"/>
      <c r="AB78" s="12"/>
      <c r="AC78" s="12"/>
      <c r="AD78" s="12"/>
      <c r="AE78" s="12"/>
    </row>
    <row r="79" spans="1:31" ht="30" x14ac:dyDescent="0.25">
      <c r="A79" s="54">
        <v>73</v>
      </c>
      <c r="B79" s="98" t="str">
        <f>Linked_Table!A77</f>
        <v>2018-062</v>
      </c>
      <c r="C79" s="98" t="str">
        <f>Linked_Table!B77</f>
        <v>The Conservation Fund - Fire Cr, Silver GL WITHDRAWN</v>
      </c>
      <c r="D79" s="99"/>
      <c r="E79" s="100"/>
      <c r="F79" s="100"/>
      <c r="G79" s="101"/>
      <c r="H79" s="100"/>
      <c r="I79" s="103"/>
      <c r="J79" s="100"/>
      <c r="K79" s="100"/>
      <c r="L79" s="108"/>
      <c r="M79" s="105"/>
      <c r="N79" s="106"/>
      <c r="O79" s="107"/>
      <c r="P79" s="107"/>
      <c r="Q79" s="107"/>
      <c r="R79" s="107"/>
      <c r="S79" s="107"/>
      <c r="T79" s="55"/>
      <c r="U79" s="55"/>
      <c r="V79" s="12"/>
      <c r="W79" s="12"/>
      <c r="X79" s="12"/>
      <c r="Y79" s="12"/>
      <c r="Z79" s="12"/>
      <c r="AA79" s="12"/>
      <c r="AB79" s="12"/>
      <c r="AC79" s="12"/>
      <c r="AD79" s="12"/>
      <c r="AE79" s="12"/>
    </row>
    <row r="80" spans="1:31" ht="30" x14ac:dyDescent="0.25">
      <c r="A80" s="54">
        <v>74</v>
      </c>
      <c r="B80" s="98" t="str">
        <f>Linked_Table!A78</f>
        <v>2018-006</v>
      </c>
      <c r="C80" s="98" t="str">
        <f>Linked_Table!B78</f>
        <v>Carolina Shores - Moore Tr, Persimmon Swp Canal GW WITHDRAWN</v>
      </c>
      <c r="D80" s="99"/>
      <c r="E80" s="100"/>
      <c r="F80" s="100"/>
      <c r="G80" s="101"/>
      <c r="H80" s="100"/>
      <c r="I80" s="103"/>
      <c r="J80" s="100"/>
      <c r="K80" s="100"/>
      <c r="L80" s="108"/>
      <c r="M80" s="105"/>
      <c r="N80" s="106"/>
      <c r="O80" s="107"/>
      <c r="P80" s="107"/>
      <c r="Q80" s="107"/>
      <c r="R80" s="107"/>
      <c r="S80" s="107"/>
      <c r="T80" s="55"/>
      <c r="U80" s="55"/>
      <c r="V80" s="12"/>
      <c r="W80" s="12"/>
      <c r="X80" s="12"/>
      <c r="Y80" s="12"/>
      <c r="Z80" s="12"/>
      <c r="AA80" s="12"/>
      <c r="AB80" s="12"/>
      <c r="AC80" s="12"/>
      <c r="AD80" s="12"/>
      <c r="AE80" s="12"/>
    </row>
    <row r="81" spans="1:31" ht="30" x14ac:dyDescent="0.25">
      <c r="A81" s="54">
        <v>75</v>
      </c>
      <c r="B81" s="98" t="str">
        <f>Linked_Table!A79</f>
        <v>2018-028</v>
      </c>
      <c r="C81" s="98" t="str">
        <f>Linked_Table!B79</f>
        <v>LandTrust for Central North Carolina - Alcoa, Tuckertown Lk PROVISIONALLY FUNDED 2017</v>
      </c>
      <c r="D81" s="99"/>
      <c r="E81" s="100"/>
      <c r="F81" s="100"/>
      <c r="G81" s="101"/>
      <c r="H81" s="100"/>
      <c r="I81" s="103"/>
      <c r="J81" s="100"/>
      <c r="K81" s="100"/>
      <c r="L81" s="108"/>
      <c r="M81" s="109"/>
      <c r="N81" s="106"/>
      <c r="O81" s="55"/>
      <c r="P81" s="55"/>
      <c r="Q81" s="55"/>
      <c r="R81" s="55"/>
      <c r="S81" s="55"/>
      <c r="T81" s="55"/>
      <c r="U81" s="55"/>
      <c r="V81" s="12"/>
      <c r="W81" s="12"/>
      <c r="X81" s="12"/>
      <c r="Y81" s="12"/>
      <c r="Z81" s="12"/>
      <c r="AA81" s="12"/>
      <c r="AB81" s="12"/>
      <c r="AC81" s="12"/>
      <c r="AD81" s="12"/>
      <c r="AE81" s="12"/>
    </row>
    <row r="82" spans="1:31" ht="30" x14ac:dyDescent="0.25">
      <c r="A82" s="54">
        <v>76</v>
      </c>
      <c r="B82" s="98" t="str">
        <f>Linked_Table!A80</f>
        <v>2018-026</v>
      </c>
      <c r="C82" s="98" t="str">
        <f>Linked_Table!B80</f>
        <v>Hist Assn of Catawba Co - Bunker Hill Covered Br, Lyle Cr WITHDRAWN</v>
      </c>
      <c r="D82" s="99"/>
      <c r="E82" s="100"/>
      <c r="F82" s="100"/>
      <c r="G82" s="101"/>
      <c r="H82" s="100"/>
      <c r="I82" s="103"/>
      <c r="J82" s="100"/>
      <c r="K82" s="100"/>
      <c r="L82" s="108"/>
      <c r="M82" s="109"/>
      <c r="N82" s="106"/>
      <c r="O82" s="55"/>
      <c r="P82" s="55"/>
      <c r="Q82" s="55"/>
      <c r="R82" s="55"/>
      <c r="S82" s="55"/>
      <c r="T82" s="55"/>
      <c r="U82" s="55"/>
      <c r="V82" s="12"/>
      <c r="W82" s="12"/>
      <c r="X82" s="12"/>
      <c r="Y82" s="12"/>
      <c r="Z82" s="12"/>
      <c r="AA82" s="12"/>
      <c r="AB82" s="12"/>
      <c r="AC82" s="12"/>
      <c r="AD82" s="12"/>
      <c r="AE82" s="12"/>
    </row>
    <row r="83" spans="1:31" ht="30" x14ac:dyDescent="0.25">
      <c r="A83" s="54">
        <v>77</v>
      </c>
      <c r="B83" s="98" t="str">
        <f>Linked_Table!A81</f>
        <v>2018-012</v>
      </c>
      <c r="C83" s="98" t="str">
        <f>Linked_Table!B81</f>
        <v>Conserving Carolina - Kanuga Conferences Ph I WITHDRAWN</v>
      </c>
      <c r="D83" s="99"/>
      <c r="E83" s="100"/>
      <c r="F83" s="100"/>
      <c r="G83" s="101"/>
      <c r="H83" s="100"/>
      <c r="I83" s="103"/>
      <c r="J83" s="100"/>
      <c r="K83" s="100"/>
      <c r="L83" s="108"/>
      <c r="M83" s="109"/>
      <c r="N83" s="106"/>
      <c r="O83" s="55"/>
      <c r="P83" s="55"/>
      <c r="Q83" s="55"/>
      <c r="R83" s="55"/>
      <c r="S83" s="55"/>
      <c r="T83" s="55"/>
      <c r="U83" s="55"/>
      <c r="V83" s="12"/>
      <c r="W83" s="12"/>
      <c r="X83" s="12"/>
      <c r="Y83" s="12"/>
      <c r="Z83" s="12"/>
      <c r="AA83" s="12"/>
      <c r="AB83" s="12"/>
      <c r="AC83" s="12"/>
      <c r="AD83" s="12"/>
      <c r="AE83" s="12"/>
    </row>
    <row r="84" spans="1:31" ht="30" x14ac:dyDescent="0.25">
      <c r="A84" s="54">
        <v>78</v>
      </c>
      <c r="B84" s="98" t="str">
        <f>Linked_Table!A82</f>
        <v>2018-013</v>
      </c>
      <c r="C84" s="98" t="str">
        <f>Linked_Table!B82</f>
        <v>Conserving Carolina - Pleasant Grove, Little Willow Cr WITHDRAWN</v>
      </c>
      <c r="D84" s="99"/>
      <c r="E84" s="100"/>
      <c r="F84" s="100"/>
      <c r="G84" s="101"/>
      <c r="H84" s="100"/>
      <c r="I84" s="103"/>
      <c r="J84" s="100"/>
      <c r="K84" s="100"/>
      <c r="L84" s="108"/>
      <c r="M84" s="109"/>
      <c r="N84" s="106"/>
      <c r="O84" s="55"/>
      <c r="P84" s="55"/>
      <c r="Q84" s="55"/>
      <c r="R84" s="55"/>
      <c r="S84" s="55"/>
      <c r="T84" s="55"/>
      <c r="U84" s="55"/>
      <c r="V84" s="12"/>
      <c r="W84" s="12"/>
      <c r="X84" s="12"/>
      <c r="Y84" s="12"/>
      <c r="Z84" s="12"/>
      <c r="AA84" s="12"/>
      <c r="AB84" s="12"/>
      <c r="AC84" s="12"/>
      <c r="AD84" s="12"/>
      <c r="AE84" s="12"/>
    </row>
    <row r="85" spans="1:31" ht="30" x14ac:dyDescent="0.25">
      <c r="A85" s="54">
        <v>79</v>
      </c>
      <c r="B85" s="98" t="str">
        <f>Linked_Table!A83</f>
        <v>2018-021</v>
      </c>
      <c r="C85" s="98" t="str">
        <f>Linked_Table!B83</f>
        <v>Ellerbe Creek Watershed Association - Goss Tr, Ellerbe Cr UT PROVISIONALLY FUNDED 2017</v>
      </c>
      <c r="D85" s="99"/>
      <c r="E85" s="100"/>
      <c r="F85" s="100"/>
      <c r="G85" s="101"/>
      <c r="H85" s="100"/>
      <c r="I85" s="103"/>
      <c r="J85" s="100"/>
      <c r="K85" s="100"/>
      <c r="L85" s="108"/>
      <c r="M85" s="109"/>
      <c r="N85" s="106"/>
      <c r="O85" s="55"/>
      <c r="P85" s="55"/>
      <c r="Q85" s="55"/>
      <c r="R85" s="55"/>
      <c r="S85" s="55"/>
      <c r="T85" s="55"/>
      <c r="U85" s="55"/>
      <c r="V85" s="12"/>
      <c r="W85" s="12"/>
      <c r="X85" s="12"/>
      <c r="Y85" s="12"/>
      <c r="Z85" s="12"/>
      <c r="AA85" s="12"/>
      <c r="AB85" s="12"/>
      <c r="AC85" s="12"/>
      <c r="AD85" s="12"/>
      <c r="AE85" s="12"/>
    </row>
    <row r="86" spans="1:31" ht="30" x14ac:dyDescent="0.25">
      <c r="A86" s="56">
        <v>80</v>
      </c>
      <c r="B86" s="98" t="str">
        <f>Linked_Table!A84</f>
        <v>2018-058</v>
      </c>
      <c r="C86" s="98" t="str">
        <f>Linked_Table!B84</f>
        <v>Sandhills Area Land Trust - Richardson Preserve, Nats Cr UT WITHDRAWN</v>
      </c>
      <c r="D86" s="99"/>
      <c r="E86" s="100"/>
      <c r="F86" s="100"/>
      <c r="G86" s="101"/>
      <c r="H86" s="100"/>
      <c r="I86" s="103"/>
      <c r="J86" s="100"/>
      <c r="K86" s="100"/>
      <c r="L86" s="108"/>
      <c r="M86" s="109"/>
      <c r="N86" s="106"/>
      <c r="O86" s="55"/>
      <c r="P86" s="55"/>
      <c r="Q86" s="55"/>
      <c r="R86" s="55"/>
      <c r="S86" s="55"/>
      <c r="T86" s="55"/>
      <c r="U86" s="55"/>
      <c r="V86" s="12"/>
      <c r="W86" s="12"/>
      <c r="X86" s="12"/>
      <c r="Y86" s="12"/>
      <c r="Z86" s="12"/>
      <c r="AA86" s="12"/>
      <c r="AB86" s="12"/>
      <c r="AC86" s="12"/>
      <c r="AD86" s="12"/>
      <c r="AE86" s="12"/>
    </row>
    <row r="87" spans="1:31" x14ac:dyDescent="0.25">
      <c r="A87" s="57"/>
      <c r="B87" s="58"/>
      <c r="C87" s="58"/>
      <c r="D87" s="59"/>
      <c r="E87" s="60"/>
      <c r="F87" s="60"/>
      <c r="G87" s="60"/>
      <c r="H87" s="61"/>
      <c r="I87" s="61"/>
      <c r="J87" s="60"/>
      <c r="K87" s="60"/>
      <c r="L87" s="62"/>
      <c r="M87" s="63"/>
      <c r="N87" s="64"/>
      <c r="O87" s="65"/>
      <c r="P87" s="65"/>
      <c r="Q87" s="65"/>
      <c r="R87" s="65"/>
      <c r="S87" s="65"/>
      <c r="T87" s="65"/>
      <c r="V87" s="12"/>
      <c r="W87" s="12"/>
      <c r="X87" s="12"/>
      <c r="Y87" s="12"/>
      <c r="Z87" s="12"/>
      <c r="AA87" s="12"/>
      <c r="AB87" s="12"/>
      <c r="AC87" s="12"/>
      <c r="AD87" s="12"/>
      <c r="AE87" s="12"/>
    </row>
    <row r="88" spans="1:31" ht="15.75" thickBot="1" x14ac:dyDescent="0.3">
      <c r="B88" s="58"/>
      <c r="C88" s="58"/>
      <c r="D88" s="59"/>
      <c r="E88" s="60"/>
      <c r="F88" s="60"/>
      <c r="G88" s="60"/>
      <c r="H88" s="61"/>
      <c r="I88" s="61"/>
      <c r="J88" s="60"/>
      <c r="K88" s="60"/>
      <c r="L88" s="62"/>
      <c r="M88" s="63"/>
      <c r="N88" s="64"/>
      <c r="O88" s="65"/>
      <c r="P88" s="65"/>
      <c r="Q88" s="65"/>
      <c r="R88" s="65"/>
      <c r="S88" s="65"/>
      <c r="T88" s="65"/>
    </row>
    <row r="89" spans="1:31" ht="15.75" thickBot="1" x14ac:dyDescent="0.3">
      <c r="C89" s="66" t="s">
        <v>30</v>
      </c>
      <c r="D89" s="67"/>
      <c r="E89" s="67"/>
      <c r="F89" s="67"/>
      <c r="G89" s="68"/>
      <c r="N89" s="23"/>
      <c r="P89" s="14"/>
      <c r="V89" s="14"/>
      <c r="W89" s="13"/>
      <c r="AC89" s="14"/>
      <c r="AD89" s="15"/>
      <c r="AE89" s="12"/>
    </row>
    <row r="90" spans="1:31" ht="15.75" thickBot="1" x14ac:dyDescent="0.3">
      <c r="C90" s="69" t="s">
        <v>31</v>
      </c>
      <c r="D90" s="70">
        <v>2018</v>
      </c>
      <c r="E90" s="70">
        <v>2017</v>
      </c>
      <c r="F90" s="70">
        <v>2016</v>
      </c>
      <c r="G90" s="70">
        <v>2015</v>
      </c>
      <c r="N90" s="23"/>
      <c r="P90" s="14"/>
      <c r="V90" s="14"/>
      <c r="W90" s="13"/>
      <c r="AC90" s="14"/>
      <c r="AD90" s="15"/>
      <c r="AE90" s="12"/>
    </row>
    <row r="91" spans="1:31" x14ac:dyDescent="0.25">
      <c r="C91" s="71" t="s">
        <v>21</v>
      </c>
      <c r="D91" s="72">
        <f>MIN(D7:D78)</f>
        <v>42</v>
      </c>
      <c r="E91" s="73">
        <v>19</v>
      </c>
      <c r="F91" s="74">
        <v>37</v>
      </c>
      <c r="G91" s="75">
        <v>46</v>
      </c>
      <c r="N91" s="23"/>
      <c r="P91" s="14"/>
      <c r="V91" s="14"/>
      <c r="W91" s="13"/>
      <c r="AC91" s="14"/>
      <c r="AD91" s="15"/>
      <c r="AE91" s="12"/>
    </row>
    <row r="92" spans="1:31" x14ac:dyDescent="0.25">
      <c r="C92" s="76" t="s">
        <v>22</v>
      </c>
      <c r="D92" s="77">
        <f>MAX(D7:D78)</f>
        <v>88</v>
      </c>
      <c r="E92" s="78">
        <v>86</v>
      </c>
      <c r="F92" s="79">
        <v>88</v>
      </c>
      <c r="G92" s="80">
        <v>85</v>
      </c>
      <c r="N92" s="23"/>
      <c r="P92" s="14"/>
      <c r="V92" s="14"/>
      <c r="W92" s="13"/>
      <c r="AC92" s="14"/>
      <c r="AD92" s="15"/>
      <c r="AE92" s="12"/>
    </row>
    <row r="93" spans="1:31" x14ac:dyDescent="0.25">
      <c r="C93" s="81" t="s">
        <v>23</v>
      </c>
      <c r="D93" s="82">
        <f>AVERAGE(D7:D78)</f>
        <v>73.916666666666671</v>
      </c>
      <c r="E93" s="78">
        <v>69.817073170731703</v>
      </c>
      <c r="F93" s="79">
        <v>69</v>
      </c>
      <c r="G93" s="80">
        <v>69</v>
      </c>
      <c r="N93" s="23"/>
      <c r="P93" s="14"/>
      <c r="V93" s="14"/>
      <c r="W93" s="13"/>
      <c r="AC93" s="14"/>
      <c r="AD93" s="15"/>
      <c r="AE93" s="12"/>
    </row>
    <row r="94" spans="1:31" x14ac:dyDescent="0.25">
      <c r="C94" s="81"/>
      <c r="D94" s="82"/>
      <c r="E94" s="78"/>
      <c r="F94" s="79"/>
      <c r="G94" s="80"/>
      <c r="N94" s="23"/>
      <c r="P94" s="14"/>
      <c r="V94" s="14"/>
      <c r="W94" s="13"/>
      <c r="AC94" s="14"/>
      <c r="AD94" s="15"/>
      <c r="AE94" s="12"/>
    </row>
    <row r="95" spans="1:31" x14ac:dyDescent="0.25">
      <c r="C95" s="81" t="s">
        <v>24</v>
      </c>
      <c r="D95" s="82">
        <f>PERCENTILE(D7:D78,0.9)</f>
        <v>80</v>
      </c>
      <c r="E95" s="78">
        <v>81</v>
      </c>
      <c r="F95" s="79">
        <v>77</v>
      </c>
      <c r="G95" s="80">
        <v>79</v>
      </c>
      <c r="N95" s="23"/>
      <c r="P95" s="14"/>
      <c r="V95" s="14"/>
      <c r="W95" s="13"/>
      <c r="AC95" s="14"/>
      <c r="AD95" s="15"/>
      <c r="AE95" s="12"/>
    </row>
    <row r="96" spans="1:31" x14ac:dyDescent="0.25">
      <c r="C96" s="76" t="s">
        <v>25</v>
      </c>
      <c r="D96" s="77">
        <f>PERCENTILE(D7:D78,0.75)</f>
        <v>78</v>
      </c>
      <c r="E96" s="78">
        <v>76</v>
      </c>
      <c r="F96" s="79">
        <v>74</v>
      </c>
      <c r="G96" s="80">
        <v>74</v>
      </c>
      <c r="N96" s="23"/>
      <c r="P96" s="14"/>
      <c r="V96" s="14"/>
      <c r="W96" s="13"/>
      <c r="AC96" s="14"/>
      <c r="AD96" s="15"/>
      <c r="AE96" s="12"/>
    </row>
    <row r="97" spans="1:31" x14ac:dyDescent="0.25">
      <c r="C97" s="76" t="s">
        <v>26</v>
      </c>
      <c r="D97" s="77">
        <f>MEDIAN(D7:D78)</f>
        <v>75.5</v>
      </c>
      <c r="E97" s="78">
        <v>72</v>
      </c>
      <c r="F97" s="79">
        <v>69</v>
      </c>
      <c r="G97" s="80">
        <v>70</v>
      </c>
      <c r="N97" s="23"/>
      <c r="P97" s="14"/>
      <c r="V97" s="14"/>
      <c r="W97" s="13"/>
      <c r="AC97" s="14"/>
      <c r="AD97" s="15"/>
      <c r="AE97" s="12"/>
    </row>
    <row r="98" spans="1:31" x14ac:dyDescent="0.25">
      <c r="C98" s="76" t="s">
        <v>27</v>
      </c>
      <c r="D98" s="82">
        <f>PERCENTILE(D7:D78,0.25)</f>
        <v>72</v>
      </c>
      <c r="E98" s="78">
        <v>65.25</v>
      </c>
      <c r="F98" s="79">
        <v>64</v>
      </c>
      <c r="G98" s="80">
        <v>65</v>
      </c>
      <c r="N98" s="23"/>
      <c r="P98" s="14"/>
      <c r="V98" s="14"/>
      <c r="W98" s="13"/>
      <c r="AC98" s="14"/>
      <c r="AD98" s="15"/>
      <c r="AE98" s="12"/>
    </row>
    <row r="99" spans="1:31" ht="15.75" thickBot="1" x14ac:dyDescent="0.3">
      <c r="C99" s="83" t="s">
        <v>28</v>
      </c>
      <c r="D99" s="84">
        <f>COUNTIF(D7:D80, "&gt;0")</f>
        <v>72</v>
      </c>
      <c r="E99" s="85">
        <v>82</v>
      </c>
      <c r="F99" s="86">
        <v>70</v>
      </c>
      <c r="G99" s="87">
        <v>66</v>
      </c>
      <c r="N99" s="23"/>
      <c r="P99" s="14"/>
      <c r="V99" s="14"/>
      <c r="W99" s="13"/>
      <c r="AC99" s="14"/>
      <c r="AD99" s="15"/>
      <c r="AE99" s="12"/>
    </row>
    <row r="107" spans="1:31" x14ac:dyDescent="0.25">
      <c r="A107" s="88"/>
    </row>
    <row r="108" spans="1:31" x14ac:dyDescent="0.25">
      <c r="A108" s="88"/>
    </row>
    <row r="109" spans="1:31" x14ac:dyDescent="0.25">
      <c r="A109" s="88"/>
    </row>
    <row r="170" ht="15.75" customHeight="1" x14ac:dyDescent="0.25"/>
  </sheetData>
  <mergeCells count="19">
    <mergeCell ref="U5:U6"/>
    <mergeCell ref="F5:F6"/>
    <mergeCell ref="A2:C4"/>
    <mergeCell ref="A5:A6"/>
    <mergeCell ref="K5:K6"/>
    <mergeCell ref="J5:J6"/>
    <mergeCell ref="I5:I6"/>
    <mergeCell ref="B5:B6"/>
    <mergeCell ref="H5:H6"/>
    <mergeCell ref="G5:G6"/>
    <mergeCell ref="E5:E6"/>
    <mergeCell ref="D5:D6"/>
    <mergeCell ref="C5:C6"/>
    <mergeCell ref="N5:N6"/>
    <mergeCell ref="M5:M6"/>
    <mergeCell ref="L5:L6"/>
    <mergeCell ref="T5:T6"/>
    <mergeCell ref="O5:R5"/>
    <mergeCell ref="S5:S6"/>
  </mergeCells>
  <pageMargins left="0.7" right="0.45" top="0.75" bottom="0.75" header="0.3" footer="0.3"/>
  <pageSetup paperSize="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4"/>
  <sheetViews>
    <sheetView zoomScaleNormal="100" workbookViewId="0">
      <pane xSplit="5" ySplit="6" topLeftCell="H7" activePane="bottomRight" state="frozen"/>
      <selection pane="topRight" activeCell="F1" sqref="F1"/>
      <selection pane="bottomLeft" activeCell="A5" sqref="A5"/>
      <selection pane="bottomRight" activeCell="A2" sqref="A2:E4"/>
    </sheetView>
  </sheetViews>
  <sheetFormatPr defaultRowHeight="15" x14ac:dyDescent="0.25"/>
  <cols>
    <col min="1" max="1" width="4.7109375" style="38" bestFit="1" customWidth="1"/>
    <col min="2" max="2" width="8.85546875" style="38" bestFit="1" customWidth="1"/>
    <col min="3" max="3" width="27.7109375" style="38" bestFit="1" customWidth="1"/>
    <col min="4" max="5" width="6.5703125" style="38" bestFit="1" customWidth="1"/>
    <col min="6" max="6" width="10.5703125" style="38" bestFit="1" customWidth="1"/>
    <col min="7" max="7" width="12.28515625" style="38" customWidth="1"/>
    <col min="8" max="8" width="15.42578125" style="38" customWidth="1"/>
    <col min="9" max="10" width="17.5703125" style="38" customWidth="1"/>
    <col min="11" max="11" width="12.140625" style="38" hidden="1" customWidth="1"/>
    <col min="12" max="12" width="10.28515625" style="38" bestFit="1" customWidth="1"/>
    <col min="13" max="13" width="10.140625" style="38" bestFit="1" customWidth="1"/>
    <col min="14" max="14" width="5.85546875" style="38" customWidth="1"/>
    <col min="15" max="15" width="10.7109375" style="38" customWidth="1"/>
    <col min="16" max="16" width="15.140625" style="38" bestFit="1" customWidth="1"/>
    <col min="17" max="20" width="4.42578125" style="38" customWidth="1"/>
    <col min="21" max="21" width="11.5703125" style="38" bestFit="1" customWidth="1"/>
    <col min="22" max="22" width="12.85546875" style="38" bestFit="1" customWidth="1"/>
    <col min="23" max="23" width="15.140625" style="38" bestFit="1" customWidth="1"/>
    <col min="24" max="16384" width="9.140625" style="38"/>
  </cols>
  <sheetData>
    <row r="1" spans="1:23" s="12" customFormat="1" ht="15.75" customHeight="1" x14ac:dyDescent="0.35">
      <c r="A1" s="8" t="s">
        <v>564</v>
      </c>
      <c r="B1" s="9"/>
      <c r="C1" s="9"/>
      <c r="D1" s="9"/>
      <c r="E1" s="9"/>
      <c r="F1" s="9"/>
      <c r="G1" s="9"/>
      <c r="H1" s="10"/>
      <c r="I1" s="11" t="s">
        <v>563</v>
      </c>
      <c r="J1" s="7">
        <v>1116893</v>
      </c>
      <c r="K1" s="9"/>
      <c r="L1" s="9"/>
      <c r="M1" s="9"/>
      <c r="O1" s="13"/>
      <c r="P1" s="13"/>
      <c r="Q1" s="13"/>
      <c r="R1" s="13"/>
      <c r="S1" s="13"/>
      <c r="T1" s="14"/>
      <c r="U1" s="15"/>
    </row>
    <row r="2" spans="1:23" s="12" customFormat="1" ht="23.25" customHeight="1" x14ac:dyDescent="0.35">
      <c r="A2" s="124" t="s">
        <v>696</v>
      </c>
      <c r="B2" s="124"/>
      <c r="C2" s="124"/>
      <c r="D2" s="124"/>
      <c r="E2" s="124"/>
      <c r="F2" s="9"/>
      <c r="G2" s="9"/>
      <c r="H2" s="16"/>
      <c r="I2" s="17" t="s">
        <v>569</v>
      </c>
      <c r="J2" s="18">
        <f>SUM(J7:J12)</f>
        <v>0</v>
      </c>
      <c r="K2" s="9"/>
      <c r="L2" s="9"/>
      <c r="M2" s="9"/>
      <c r="O2" s="13"/>
      <c r="P2" s="13"/>
      <c r="Q2" s="13"/>
      <c r="R2" s="13"/>
      <c r="S2" s="13"/>
      <c r="T2" s="14"/>
      <c r="U2" s="15"/>
    </row>
    <row r="3" spans="1:23" s="12" customFormat="1" ht="23.25" customHeight="1" thickBot="1" x14ac:dyDescent="0.4">
      <c r="A3" s="124"/>
      <c r="B3" s="124"/>
      <c r="C3" s="124"/>
      <c r="D3" s="124"/>
      <c r="E3" s="124"/>
      <c r="F3" s="9"/>
      <c r="G3" s="9"/>
      <c r="H3" s="19"/>
      <c r="I3" s="20" t="s">
        <v>562</v>
      </c>
      <c r="J3" s="21">
        <f>J1-J2</f>
        <v>1116893</v>
      </c>
      <c r="K3" s="9"/>
      <c r="L3" s="9"/>
      <c r="M3" s="9"/>
      <c r="O3" s="13"/>
      <c r="P3" s="13"/>
      <c r="Q3" s="13"/>
      <c r="R3" s="13"/>
      <c r="S3" s="13"/>
      <c r="T3" s="14"/>
      <c r="U3" s="15"/>
    </row>
    <row r="4" spans="1:23" s="12" customFormat="1" ht="23.25" customHeight="1" x14ac:dyDescent="0.25">
      <c r="A4" s="125"/>
      <c r="B4" s="125"/>
      <c r="C4" s="125"/>
      <c r="D4" s="125"/>
      <c r="E4" s="125"/>
      <c r="F4" s="24" t="s">
        <v>33</v>
      </c>
      <c r="G4" s="4" t="s">
        <v>572</v>
      </c>
      <c r="K4" s="25"/>
      <c r="L4" s="26"/>
      <c r="M4" s="14"/>
      <c r="N4" s="13"/>
      <c r="O4" s="13"/>
      <c r="P4" s="13"/>
      <c r="Q4" s="13"/>
      <c r="R4" s="13"/>
      <c r="S4" s="13"/>
      <c r="T4" s="14"/>
      <c r="U4" s="15"/>
    </row>
    <row r="5" spans="1:23" s="23" customFormat="1" ht="34.15" customHeight="1" x14ac:dyDescent="0.25">
      <c r="A5" s="117" t="s">
        <v>32</v>
      </c>
      <c r="B5" s="120" t="s">
        <v>15</v>
      </c>
      <c r="C5" s="121" t="s">
        <v>0</v>
      </c>
      <c r="D5" s="117" t="s">
        <v>254</v>
      </c>
      <c r="E5" s="117" t="s">
        <v>1</v>
      </c>
      <c r="F5" s="117" t="s">
        <v>16</v>
      </c>
      <c r="G5" s="27"/>
      <c r="H5" s="117" t="s">
        <v>566</v>
      </c>
      <c r="I5" s="117" t="s">
        <v>567</v>
      </c>
      <c r="J5" s="117" t="s">
        <v>568</v>
      </c>
      <c r="K5" s="117" t="s">
        <v>29</v>
      </c>
      <c r="L5" s="119" t="s">
        <v>18</v>
      </c>
      <c r="M5" s="119" t="s">
        <v>19</v>
      </c>
      <c r="N5" s="112" t="s">
        <v>2</v>
      </c>
      <c r="O5" s="111" t="s">
        <v>3</v>
      </c>
      <c r="P5" s="110" t="s">
        <v>4</v>
      </c>
      <c r="Q5" s="115" t="s">
        <v>5</v>
      </c>
      <c r="R5" s="115"/>
      <c r="S5" s="115"/>
      <c r="T5" s="115"/>
      <c r="U5" s="116" t="s">
        <v>6</v>
      </c>
      <c r="V5" s="113" t="s">
        <v>7</v>
      </c>
      <c r="W5" s="113" t="s">
        <v>8</v>
      </c>
    </row>
    <row r="6" spans="1:23" s="12" customFormat="1" ht="100.5" x14ac:dyDescent="0.25">
      <c r="A6" s="118"/>
      <c r="B6" s="120"/>
      <c r="C6" s="121"/>
      <c r="D6" s="117"/>
      <c r="E6" s="117"/>
      <c r="F6" s="117"/>
      <c r="G6" s="27" t="s">
        <v>565</v>
      </c>
      <c r="H6" s="117"/>
      <c r="I6" s="117"/>
      <c r="J6" s="117"/>
      <c r="K6" s="117"/>
      <c r="L6" s="119"/>
      <c r="M6" s="119"/>
      <c r="N6" s="112"/>
      <c r="O6" s="111"/>
      <c r="P6" s="110"/>
      <c r="Q6" s="28" t="s">
        <v>9</v>
      </c>
      <c r="R6" s="28" t="s">
        <v>10</v>
      </c>
      <c r="S6" s="28" t="s">
        <v>11</v>
      </c>
      <c r="T6" s="28" t="s">
        <v>12</v>
      </c>
      <c r="U6" s="116"/>
      <c r="V6" s="114"/>
      <c r="W6" s="114"/>
    </row>
    <row r="7" spans="1:23" ht="45" x14ac:dyDescent="0.25">
      <c r="A7" s="29">
        <v>1</v>
      </c>
      <c r="B7" s="29" t="str">
        <f>Linked_Table_Mil!A4</f>
        <v>2018-072</v>
      </c>
      <c r="C7" s="30" t="str">
        <f>Linked_Table_Mil!B4&amp;" - "&amp;Linked_Table_Mil!U4</f>
        <v>The Nature Conservancy - Harrison Tr, Roanoke R - DOD Funds Committed</v>
      </c>
      <c r="D7" s="31">
        <f>Linked_Table_Mil!T4</f>
        <v>5</v>
      </c>
      <c r="E7" s="31">
        <f>Linked_Table_Mil!C4</f>
        <v>88</v>
      </c>
      <c r="F7" s="32">
        <f>Linked_Table_Mil!D4</f>
        <v>375056</v>
      </c>
      <c r="G7" s="32">
        <f>VLOOKUP(B7,'Commitee Worksheet'!$B$7:$H$78,7,FALSE)</f>
        <v>0</v>
      </c>
      <c r="H7" s="32">
        <f>IF(F7&lt;$G$4,F7-G7,$G$4-G7)</f>
        <v>375056</v>
      </c>
      <c r="I7" s="32">
        <f>H7</f>
        <v>375056</v>
      </c>
      <c r="J7" s="5"/>
      <c r="K7" s="32">
        <f>J7</f>
        <v>0</v>
      </c>
      <c r="L7" s="32">
        <f>Linked_Table_Mil!F4</f>
        <v>1115352</v>
      </c>
      <c r="M7" s="32">
        <f>Linked_Table_Mil!E4</f>
        <v>740296</v>
      </c>
      <c r="N7" s="33">
        <f>M7/L7</f>
        <v>0.66373306364268858</v>
      </c>
      <c r="O7" s="34" t="str">
        <f>Linked_Table_Mil!H4</f>
        <v>1,246</v>
      </c>
      <c r="P7" s="35">
        <f>L7/O7</f>
        <v>895.14606741573039</v>
      </c>
      <c r="Q7" s="31" t="str">
        <f>IF(Linked_Table_Mil!I4=TRUE,"X","")</f>
        <v>X</v>
      </c>
      <c r="R7" s="31" t="str">
        <f>IF(Linked_Table_Mil!J4=TRUE,"X","")</f>
        <v/>
      </c>
      <c r="S7" s="31" t="str">
        <f>IF(Linked_Table_Mil!K4=TRUE,"X","")</f>
        <v>X</v>
      </c>
      <c r="T7" s="31" t="str">
        <f>IF(Linked_Table_Mil!L4=TRUE,"X","")</f>
        <v/>
      </c>
      <c r="U7" s="31" t="str">
        <f>IF(Linked_Table_Mil!M4=TRUE,"X","")</f>
        <v>X</v>
      </c>
      <c r="V7" s="36" t="str">
        <f>Linked_Table_Mil!G4</f>
        <v>Washington</v>
      </c>
      <c r="W7" s="37" t="str">
        <f>Linked_Table_Mil!V4</f>
        <v>Justin Mercer</v>
      </c>
    </row>
    <row r="8" spans="1:23" ht="45" x14ac:dyDescent="0.25">
      <c r="A8" s="29">
        <v>2</v>
      </c>
      <c r="B8" s="29" t="str">
        <f>Linked_Table_Mil!A5</f>
        <v>2018-045</v>
      </c>
      <c r="C8" s="30" t="str">
        <f>Linked_Table_Mil!B5&amp;" - "&amp;Linked_Table_Mil!U5</f>
        <v>NC Coastal Land Trust - Salters Cr Landing - DOD Funds Committed</v>
      </c>
      <c r="D8" s="31">
        <f>Linked_Table_Mil!T5</f>
        <v>5</v>
      </c>
      <c r="E8" s="31">
        <f>Linked_Table_Mil!C5</f>
        <v>87</v>
      </c>
      <c r="F8" s="32">
        <f>Linked_Table_Mil!D5</f>
        <v>1203815</v>
      </c>
      <c r="G8" s="32">
        <f>VLOOKUP(B8,'Commitee Worksheet'!$B$7:$H$78,7,FALSE)</f>
        <v>0</v>
      </c>
      <c r="H8" s="32">
        <f t="shared" ref="H8:H12" si="0">IF(F8&lt;$G$4,F8-G8,$G$4-G8)</f>
        <v>1203815</v>
      </c>
      <c r="I8" s="32">
        <f>I7+H8</f>
        <v>1578871</v>
      </c>
      <c r="J8" s="5"/>
      <c r="K8" s="32">
        <f>K7+J8</f>
        <v>0</v>
      </c>
      <c r="L8" s="32">
        <f>Linked_Table_Mil!F5</f>
        <v>4537815</v>
      </c>
      <c r="M8" s="32">
        <f>Linked_Table_Mil!E5</f>
        <v>3334000</v>
      </c>
      <c r="N8" s="33">
        <f t="shared" ref="N8:N12" si="1">M8/L8</f>
        <v>0.73471483522356029</v>
      </c>
      <c r="O8" s="34" t="str">
        <f>Linked_Table_Mil!H5</f>
        <v>5494</v>
      </c>
      <c r="P8" s="35">
        <f t="shared" ref="P8:P12" si="2">L8/O8</f>
        <v>825.95831816527118</v>
      </c>
      <c r="Q8" s="31" t="str">
        <f>IF(Linked_Table_Mil!I5=TRUE,"X","")</f>
        <v>X</v>
      </c>
      <c r="R8" s="31" t="str">
        <f>IF(Linked_Table_Mil!J5=TRUE,"X","")</f>
        <v/>
      </c>
      <c r="S8" s="31" t="str">
        <f>IF(Linked_Table_Mil!K5=TRUE,"X","")</f>
        <v>X</v>
      </c>
      <c r="T8" s="31" t="str">
        <f>IF(Linked_Table_Mil!L5=TRUE,"X","")</f>
        <v/>
      </c>
      <c r="U8" s="31" t="str">
        <f>IF(Linked_Table_Mil!M5=TRUE,"X","")</f>
        <v>X</v>
      </c>
      <c r="V8" s="36" t="str">
        <f>Linked_Table_Mil!G5</f>
        <v>Carteret</v>
      </c>
      <c r="W8" s="37" t="str">
        <f>Linked_Table_Mil!V5</f>
        <v>Justin Mercer</v>
      </c>
    </row>
    <row r="9" spans="1:23" ht="45" x14ac:dyDescent="0.25">
      <c r="A9" s="29">
        <v>3</v>
      </c>
      <c r="B9" s="29" t="str">
        <f>Linked_Table_Mil!A6</f>
        <v>2018-075</v>
      </c>
      <c r="C9" s="30" t="str">
        <f>Linked_Table_Mil!B6&amp;" - "&amp;Linked_Table_Mil!U6</f>
        <v>Tar River Land Conservancy - Hunter Tr, Dickens Cr - DOD Funds Committed</v>
      </c>
      <c r="D9" s="31">
        <f>Linked_Table_Mil!T6</f>
        <v>5</v>
      </c>
      <c r="E9" s="31">
        <f>Linked_Table_Mil!C6</f>
        <v>81</v>
      </c>
      <c r="F9" s="32">
        <f>Linked_Table_Mil!D6</f>
        <v>137908</v>
      </c>
      <c r="G9" s="32">
        <f>VLOOKUP(B9,'Commitee Worksheet'!$B$7:$H$78,7,FALSE)</f>
        <v>0</v>
      </c>
      <c r="H9" s="32">
        <f t="shared" si="0"/>
        <v>137908</v>
      </c>
      <c r="I9" s="32">
        <f t="shared" ref="I9:I12" si="3">I8+H9</f>
        <v>1716779</v>
      </c>
      <c r="J9" s="5"/>
      <c r="K9" s="32">
        <f t="shared" ref="K9:K12" si="4">K8+J9</f>
        <v>0</v>
      </c>
      <c r="L9" s="32">
        <f>Linked_Table_Mil!F6</f>
        <v>361808</v>
      </c>
      <c r="M9" s="32">
        <f>Linked_Table_Mil!E6</f>
        <v>223900</v>
      </c>
      <c r="N9" s="33">
        <f t="shared" si="1"/>
        <v>0.6188365099721399</v>
      </c>
      <c r="O9" s="34" t="str">
        <f>Linked_Table_Mil!H6</f>
        <v>65</v>
      </c>
      <c r="P9" s="35">
        <f t="shared" si="2"/>
        <v>5566.2769230769227</v>
      </c>
      <c r="Q9" s="31" t="str">
        <f>IF(Linked_Table_Mil!I6=TRUE,"X","")</f>
        <v>X</v>
      </c>
      <c r="R9" s="31" t="str">
        <f>IF(Linked_Table_Mil!J6=TRUE,"X","")</f>
        <v/>
      </c>
      <c r="S9" s="31" t="str">
        <f>IF(Linked_Table_Mil!K6=TRUE,"X","")</f>
        <v>X</v>
      </c>
      <c r="T9" s="31" t="str">
        <f>IF(Linked_Table_Mil!L6=TRUE,"X","")</f>
        <v/>
      </c>
      <c r="U9" s="31" t="str">
        <f>IF(Linked_Table_Mil!M6=TRUE,"X","")</f>
        <v>X</v>
      </c>
      <c r="V9" s="36" t="str">
        <f>Linked_Table_Mil!G6</f>
        <v>Granville</v>
      </c>
      <c r="W9" s="37" t="str">
        <f>Linked_Table_Mil!V6</f>
        <v>Justin Mercer</v>
      </c>
    </row>
    <row r="10" spans="1:23" ht="45" x14ac:dyDescent="0.25">
      <c r="A10" s="29">
        <v>4</v>
      </c>
      <c r="B10" s="29" t="str">
        <f>Linked_Table_Mil!A7</f>
        <v>2018-069</v>
      </c>
      <c r="C10" s="30" t="str">
        <f>Linked_Table_Mil!B7&amp;" - "&amp;Linked_Table_Mil!U7</f>
        <v>The Nature Conservancy - Connell &amp; Crutchfield, Ft Bragg SHGL Gap - DOD Funds Committed</v>
      </c>
      <c r="D10" s="31">
        <f>Linked_Table_Mil!T7</f>
        <v>5</v>
      </c>
      <c r="E10" s="31">
        <f>Linked_Table_Mil!C7</f>
        <v>80</v>
      </c>
      <c r="F10" s="32">
        <f>Linked_Table_Mil!D7</f>
        <v>413367</v>
      </c>
      <c r="G10" s="32">
        <f>VLOOKUP(B10,'Commitee Worksheet'!$B$7:$H$78,7,FALSE)</f>
        <v>0</v>
      </c>
      <c r="H10" s="32">
        <f t="shared" si="0"/>
        <v>413367</v>
      </c>
      <c r="I10" s="32">
        <f t="shared" si="3"/>
        <v>2130146</v>
      </c>
      <c r="J10" s="5"/>
      <c r="K10" s="32">
        <f t="shared" si="4"/>
        <v>0</v>
      </c>
      <c r="L10" s="32">
        <f>Linked_Table_Mil!F7</f>
        <v>1059093</v>
      </c>
      <c r="M10" s="32">
        <f>Linked_Table_Mil!E7</f>
        <v>645726</v>
      </c>
      <c r="N10" s="33">
        <f t="shared" si="1"/>
        <v>0.60969716540473784</v>
      </c>
      <c r="O10" s="34" t="str">
        <f>Linked_Table_Mil!H7</f>
        <v>249</v>
      </c>
      <c r="P10" s="35">
        <f t="shared" si="2"/>
        <v>4253.3855421686749</v>
      </c>
      <c r="Q10" s="31" t="str">
        <f>IF(Linked_Table_Mil!I7=TRUE,"X","")</f>
        <v>X</v>
      </c>
      <c r="R10" s="31" t="str">
        <f>IF(Linked_Table_Mil!J7=TRUE,"X","")</f>
        <v/>
      </c>
      <c r="S10" s="31" t="str">
        <f>IF(Linked_Table_Mil!K7=TRUE,"X","")</f>
        <v>X</v>
      </c>
      <c r="T10" s="31" t="str">
        <f>IF(Linked_Table_Mil!L7=TRUE,"X","")</f>
        <v/>
      </c>
      <c r="U10" s="31" t="str">
        <f>IF(Linked_Table_Mil!M7=TRUE,"X","")</f>
        <v>X</v>
      </c>
      <c r="V10" s="36" t="str">
        <f>Linked_Table_Mil!G7</f>
        <v>Hoke</v>
      </c>
      <c r="W10" s="37" t="str">
        <f>Linked_Table_Mil!V7</f>
        <v>Justin Mercer</v>
      </c>
    </row>
    <row r="11" spans="1:23" ht="45" x14ac:dyDescent="0.25">
      <c r="A11" s="29">
        <v>5</v>
      </c>
      <c r="B11" s="29" t="str">
        <f>Linked_Table_Mil!A8</f>
        <v>2018-071</v>
      </c>
      <c r="C11" s="30" t="str">
        <f>Linked_Table_Mil!B8&amp;" - "&amp;Linked_Table_Mil!U8</f>
        <v>The Nature Conservancy - Gray Tr, Flat Swp - DOD Funds Committed</v>
      </c>
      <c r="D11" s="31">
        <f>Linked_Table_Mil!T8</f>
        <v>5</v>
      </c>
      <c r="E11" s="31">
        <f>Linked_Table_Mil!C8</f>
        <v>75</v>
      </c>
      <c r="F11" s="32">
        <f>Linked_Table_Mil!D8</f>
        <v>387860</v>
      </c>
      <c r="G11" s="32">
        <f>VLOOKUP(B11,'Commitee Worksheet'!$B$7:$H$78,7,FALSE)</f>
        <v>0</v>
      </c>
      <c r="H11" s="32">
        <f t="shared" si="0"/>
        <v>387860</v>
      </c>
      <c r="I11" s="32">
        <f t="shared" si="3"/>
        <v>2518006</v>
      </c>
      <c r="J11" s="5"/>
      <c r="K11" s="32">
        <f t="shared" si="4"/>
        <v>0</v>
      </c>
      <c r="L11" s="32">
        <f>Linked_Table_Mil!F8</f>
        <v>793660</v>
      </c>
      <c r="M11" s="32">
        <f>Linked_Table_Mil!E8</f>
        <v>405800</v>
      </c>
      <c r="N11" s="33">
        <f t="shared" si="1"/>
        <v>0.51130206889600083</v>
      </c>
      <c r="O11" s="34" t="str">
        <f>Linked_Table_Mil!H8</f>
        <v>50</v>
      </c>
      <c r="P11" s="35">
        <f t="shared" si="2"/>
        <v>15873.2</v>
      </c>
      <c r="Q11" s="31" t="str">
        <f>IF(Linked_Table_Mil!I8=TRUE,"X","")</f>
        <v>X</v>
      </c>
      <c r="R11" s="31" t="str">
        <f>IF(Linked_Table_Mil!J8=TRUE,"X","")</f>
        <v/>
      </c>
      <c r="S11" s="31" t="str">
        <f>IF(Linked_Table_Mil!K8=TRUE,"X","")</f>
        <v>X</v>
      </c>
      <c r="T11" s="31" t="str">
        <f>IF(Linked_Table_Mil!L8=TRUE,"X","")</f>
        <v/>
      </c>
      <c r="U11" s="31" t="str">
        <f>IF(Linked_Table_Mil!M8=TRUE,"X","")</f>
        <v>X</v>
      </c>
      <c r="V11" s="36" t="str">
        <f>Linked_Table_Mil!G8</f>
        <v>Onslow</v>
      </c>
      <c r="W11" s="37" t="str">
        <f>Linked_Table_Mil!V8</f>
        <v>Justin Mercer</v>
      </c>
    </row>
    <row r="12" spans="1:23" ht="45" x14ac:dyDescent="0.25">
      <c r="A12" s="29">
        <v>6</v>
      </c>
      <c r="B12" s="29" t="str">
        <f>Linked_Table_Mil!A9</f>
        <v>2018-043</v>
      </c>
      <c r="C12" s="30" t="str">
        <f>Linked_Table_Mil!B9&amp;" - "&amp;Linked_Table_Mil!U9</f>
        <v>NC Coastal Federation - Stroud Tr, Bogue Sd - DOD Funds Committed</v>
      </c>
      <c r="D12" s="31">
        <f>Linked_Table_Mil!T9</f>
        <v>5</v>
      </c>
      <c r="E12" s="31">
        <f>Linked_Table_Mil!C9</f>
        <v>74</v>
      </c>
      <c r="F12" s="32">
        <f>Linked_Table_Mil!D9</f>
        <v>1936211</v>
      </c>
      <c r="G12" s="32">
        <f>VLOOKUP(B12,'Commitee Worksheet'!$B$7:$H$78,7,FALSE)</f>
        <v>0</v>
      </c>
      <c r="H12" s="32">
        <f t="shared" si="0"/>
        <v>1936211</v>
      </c>
      <c r="I12" s="32">
        <f t="shared" si="3"/>
        <v>4454217</v>
      </c>
      <c r="J12" s="5"/>
      <c r="K12" s="32">
        <f t="shared" si="4"/>
        <v>0</v>
      </c>
      <c r="L12" s="32">
        <f>Linked_Table_Mil!F9</f>
        <v>4028711</v>
      </c>
      <c r="M12" s="32">
        <f>Linked_Table_Mil!E9</f>
        <v>2018500</v>
      </c>
      <c r="N12" s="33">
        <f t="shared" si="1"/>
        <v>0.50102874095461303</v>
      </c>
      <c r="O12" s="34" t="str">
        <f>Linked_Table_Mil!H9</f>
        <v>40</v>
      </c>
      <c r="P12" s="35">
        <f t="shared" si="2"/>
        <v>100717.77499999999</v>
      </c>
      <c r="Q12" s="31" t="str">
        <f>IF(Linked_Table_Mil!I9=TRUE,"X","")</f>
        <v>X</v>
      </c>
      <c r="R12" s="31" t="str">
        <f>IF(Linked_Table_Mil!J9=TRUE,"X","")</f>
        <v/>
      </c>
      <c r="S12" s="31" t="str">
        <f>IF(Linked_Table_Mil!K9=TRUE,"X","")</f>
        <v>X</v>
      </c>
      <c r="T12" s="31" t="str">
        <f>IF(Linked_Table_Mil!L9=TRUE,"X","")</f>
        <v/>
      </c>
      <c r="U12" s="31" t="str">
        <f>IF(Linked_Table_Mil!M9=TRUE,"X","")</f>
        <v>X</v>
      </c>
      <c r="V12" s="36" t="str">
        <f>Linked_Table_Mil!G9</f>
        <v>Carteret</v>
      </c>
      <c r="W12" s="37" t="str">
        <f>Linked_Table_Mil!V9</f>
        <v>Justin Mercer</v>
      </c>
    </row>
    <row r="13" spans="1:23" x14ac:dyDescent="0.25">
      <c r="J13" s="39"/>
      <c r="K13" s="40"/>
      <c r="M13" s="41"/>
    </row>
    <row r="14" spans="1:23" x14ac:dyDescent="0.25">
      <c r="J14" s="39"/>
      <c r="K14" s="40"/>
      <c r="M14" s="41"/>
    </row>
  </sheetData>
  <mergeCells count="20">
    <mergeCell ref="A2:E4"/>
    <mergeCell ref="P5:P6"/>
    <mergeCell ref="Q5:T5"/>
    <mergeCell ref="U5:U6"/>
    <mergeCell ref="V5:V6"/>
    <mergeCell ref="W5:W6"/>
    <mergeCell ref="D5:D6"/>
    <mergeCell ref="L5:L6"/>
    <mergeCell ref="H5:H6"/>
    <mergeCell ref="A5:A6"/>
    <mergeCell ref="B5:B6"/>
    <mergeCell ref="C5:C6"/>
    <mergeCell ref="E5:E6"/>
    <mergeCell ref="F5:F6"/>
    <mergeCell ref="M5:M6"/>
    <mergeCell ref="N5:N6"/>
    <mergeCell ref="O5:O6"/>
    <mergeCell ref="I5:I6"/>
    <mergeCell ref="J5:J6"/>
    <mergeCell ref="K5:K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07645-BE50-47DD-9F5E-6462065932CC}">
  <dimension ref="A1:B121"/>
  <sheetViews>
    <sheetView topLeftCell="A84" workbookViewId="0">
      <selection activeCell="B16" sqref="B16"/>
    </sheetView>
  </sheetViews>
  <sheetFormatPr defaultRowHeight="15" x14ac:dyDescent="0.25"/>
  <cols>
    <col min="1" max="1" width="19.7109375" style="93" bestFit="1" customWidth="1"/>
    <col min="2" max="2" width="85.140625" style="95" bestFit="1" customWidth="1"/>
  </cols>
  <sheetData>
    <row r="1" spans="1:2" x14ac:dyDescent="0.25">
      <c r="A1" s="91" t="s">
        <v>573</v>
      </c>
      <c r="B1" s="94" t="s">
        <v>574</v>
      </c>
    </row>
    <row r="2" spans="1:2" x14ac:dyDescent="0.25">
      <c r="A2" s="92" t="s">
        <v>188</v>
      </c>
      <c r="B2" t="s">
        <v>189</v>
      </c>
    </row>
    <row r="3" spans="1:2" x14ac:dyDescent="0.25">
      <c r="A3" s="92" t="s">
        <v>89</v>
      </c>
      <c r="B3" t="s">
        <v>575</v>
      </c>
    </row>
    <row r="4" spans="1:2" x14ac:dyDescent="0.25">
      <c r="A4" s="92" t="s">
        <v>74</v>
      </c>
      <c r="B4" t="s">
        <v>576</v>
      </c>
    </row>
    <row r="5" spans="1:2" x14ac:dyDescent="0.25">
      <c r="A5" s="92" t="s">
        <v>179</v>
      </c>
      <c r="B5" t="s">
        <v>577</v>
      </c>
    </row>
    <row r="6" spans="1:2" x14ac:dyDescent="0.25">
      <c r="A6" s="92" t="s">
        <v>207</v>
      </c>
      <c r="B6" t="s">
        <v>578</v>
      </c>
    </row>
    <row r="7" spans="1:2" x14ac:dyDescent="0.25">
      <c r="A7" s="92" t="s">
        <v>239</v>
      </c>
      <c r="B7" t="s">
        <v>579</v>
      </c>
    </row>
    <row r="8" spans="1:2" x14ac:dyDescent="0.25">
      <c r="A8" s="92" t="s">
        <v>201</v>
      </c>
      <c r="B8" t="s">
        <v>580</v>
      </c>
    </row>
    <row r="9" spans="1:2" x14ac:dyDescent="0.25">
      <c r="A9" s="92" t="s">
        <v>117</v>
      </c>
      <c r="B9" t="s">
        <v>581</v>
      </c>
    </row>
    <row r="10" spans="1:2" x14ac:dyDescent="0.25">
      <c r="A10" s="92" t="s">
        <v>200</v>
      </c>
      <c r="B10" t="s">
        <v>582</v>
      </c>
    </row>
    <row r="11" spans="1:2" x14ac:dyDescent="0.25">
      <c r="A11" s="92" t="s">
        <v>56</v>
      </c>
      <c r="B11" t="s">
        <v>583</v>
      </c>
    </row>
    <row r="12" spans="1:2" x14ac:dyDescent="0.25">
      <c r="A12" s="92" t="s">
        <v>181</v>
      </c>
      <c r="B12" t="s">
        <v>584</v>
      </c>
    </row>
    <row r="13" spans="1:2" x14ac:dyDescent="0.25">
      <c r="A13" s="92" t="s">
        <v>214</v>
      </c>
      <c r="B13" t="s">
        <v>585</v>
      </c>
    </row>
    <row r="14" spans="1:2" x14ac:dyDescent="0.25">
      <c r="A14" s="92" t="s">
        <v>245</v>
      </c>
      <c r="B14" t="s">
        <v>586</v>
      </c>
    </row>
    <row r="15" spans="1:2" x14ac:dyDescent="0.25">
      <c r="A15" s="92" t="s">
        <v>87</v>
      </c>
      <c r="B15" t="s">
        <v>587</v>
      </c>
    </row>
    <row r="16" spans="1:2" x14ac:dyDescent="0.25">
      <c r="A16" s="92" t="s">
        <v>120</v>
      </c>
      <c r="B16" t="s">
        <v>588</v>
      </c>
    </row>
    <row r="17" spans="1:2" x14ac:dyDescent="0.25">
      <c r="A17" s="92" t="s">
        <v>68</v>
      </c>
      <c r="B17" t="s">
        <v>589</v>
      </c>
    </row>
    <row r="18" spans="1:2" x14ac:dyDescent="0.25">
      <c r="A18" s="92" t="s">
        <v>184</v>
      </c>
      <c r="B18" t="s">
        <v>590</v>
      </c>
    </row>
    <row r="19" spans="1:2" x14ac:dyDescent="0.25">
      <c r="A19" s="92" t="s">
        <v>131</v>
      </c>
      <c r="B19" t="s">
        <v>591</v>
      </c>
    </row>
    <row r="20" spans="1:2" x14ac:dyDescent="0.25">
      <c r="A20" s="92" t="s">
        <v>203</v>
      </c>
      <c r="B20" t="s">
        <v>592</v>
      </c>
    </row>
    <row r="21" spans="1:2" x14ac:dyDescent="0.25">
      <c r="A21" s="92" t="s">
        <v>84</v>
      </c>
      <c r="B21" t="s">
        <v>593</v>
      </c>
    </row>
    <row r="22" spans="1:2" x14ac:dyDescent="0.25">
      <c r="A22" s="92" t="s">
        <v>241</v>
      </c>
      <c r="B22" t="s">
        <v>594</v>
      </c>
    </row>
    <row r="23" spans="1:2" x14ac:dyDescent="0.25">
      <c r="A23" s="92" t="s">
        <v>228</v>
      </c>
      <c r="B23" t="s">
        <v>229</v>
      </c>
    </row>
    <row r="24" spans="1:2" x14ac:dyDescent="0.25">
      <c r="A24" s="92" t="s">
        <v>59</v>
      </c>
      <c r="B24" t="s">
        <v>595</v>
      </c>
    </row>
    <row r="25" spans="1:2" x14ac:dyDescent="0.25">
      <c r="A25" s="92" t="s">
        <v>215</v>
      </c>
      <c r="B25" t="s">
        <v>596</v>
      </c>
    </row>
    <row r="26" spans="1:2" x14ac:dyDescent="0.25">
      <c r="A26" s="92" t="s">
        <v>101</v>
      </c>
      <c r="B26" t="s">
        <v>597</v>
      </c>
    </row>
    <row r="27" spans="1:2" x14ac:dyDescent="0.25">
      <c r="A27" s="92" t="s">
        <v>243</v>
      </c>
      <c r="B27" t="s">
        <v>598</v>
      </c>
    </row>
    <row r="28" spans="1:2" x14ac:dyDescent="0.25">
      <c r="A28" s="92" t="s">
        <v>113</v>
      </c>
      <c r="B28" t="s">
        <v>114</v>
      </c>
    </row>
    <row r="29" spans="1:2" x14ac:dyDescent="0.25">
      <c r="A29" s="92" t="s">
        <v>242</v>
      </c>
      <c r="B29" t="s">
        <v>599</v>
      </c>
    </row>
    <row r="30" spans="1:2" x14ac:dyDescent="0.25">
      <c r="A30" s="92" t="s">
        <v>191</v>
      </c>
      <c r="B30" t="s">
        <v>600</v>
      </c>
    </row>
    <row r="31" spans="1:2" x14ac:dyDescent="0.25">
      <c r="A31" s="92" t="s">
        <v>81</v>
      </c>
      <c r="B31" t="s">
        <v>601</v>
      </c>
    </row>
    <row r="32" spans="1:2" x14ac:dyDescent="0.25">
      <c r="A32" s="92" t="s">
        <v>235</v>
      </c>
      <c r="B32" t="s">
        <v>602</v>
      </c>
    </row>
    <row r="33" spans="1:2" x14ac:dyDescent="0.25">
      <c r="A33" s="92" t="s">
        <v>231</v>
      </c>
      <c r="B33" t="s">
        <v>603</v>
      </c>
    </row>
    <row r="34" spans="1:2" x14ac:dyDescent="0.25">
      <c r="A34" s="92" t="s">
        <v>126</v>
      </c>
      <c r="B34" t="s">
        <v>604</v>
      </c>
    </row>
    <row r="35" spans="1:2" x14ac:dyDescent="0.25">
      <c r="A35" s="92" t="s">
        <v>92</v>
      </c>
      <c r="B35" t="s">
        <v>605</v>
      </c>
    </row>
    <row r="36" spans="1:2" x14ac:dyDescent="0.25">
      <c r="A36" s="92" t="s">
        <v>218</v>
      </c>
      <c r="B36" t="s">
        <v>606</v>
      </c>
    </row>
    <row r="37" spans="1:2" x14ac:dyDescent="0.25">
      <c r="A37" s="92" t="s">
        <v>168</v>
      </c>
      <c r="B37" t="s">
        <v>607</v>
      </c>
    </row>
    <row r="38" spans="1:2" x14ac:dyDescent="0.25">
      <c r="A38" s="92" t="s">
        <v>98</v>
      </c>
      <c r="B38" t="s">
        <v>608</v>
      </c>
    </row>
    <row r="39" spans="1:2" x14ac:dyDescent="0.25">
      <c r="A39" s="92" t="s">
        <v>76</v>
      </c>
      <c r="B39" t="s">
        <v>609</v>
      </c>
    </row>
    <row r="40" spans="1:2" x14ac:dyDescent="0.25">
      <c r="A40" s="92" t="s">
        <v>62</v>
      </c>
      <c r="B40" t="s">
        <v>610</v>
      </c>
    </row>
    <row r="41" spans="1:2" x14ac:dyDescent="0.25">
      <c r="A41" s="92" t="s">
        <v>150</v>
      </c>
      <c r="B41" t="s">
        <v>611</v>
      </c>
    </row>
    <row r="42" spans="1:2" x14ac:dyDescent="0.25">
      <c r="A42" s="92" t="s">
        <v>155</v>
      </c>
      <c r="B42" t="s">
        <v>612</v>
      </c>
    </row>
    <row r="43" spans="1:2" x14ac:dyDescent="0.25">
      <c r="A43" s="92" t="s">
        <v>95</v>
      </c>
      <c r="B43" t="s">
        <v>613</v>
      </c>
    </row>
    <row r="44" spans="1:2" x14ac:dyDescent="0.25">
      <c r="A44" s="92" t="s">
        <v>178</v>
      </c>
      <c r="B44" t="s">
        <v>614</v>
      </c>
    </row>
    <row r="45" spans="1:2" x14ac:dyDescent="0.25">
      <c r="A45" s="92" t="s">
        <v>108</v>
      </c>
      <c r="B45" t="s">
        <v>615</v>
      </c>
    </row>
    <row r="46" spans="1:2" x14ac:dyDescent="0.25">
      <c r="A46" s="92" t="s">
        <v>50</v>
      </c>
      <c r="B46" t="s">
        <v>616</v>
      </c>
    </row>
    <row r="47" spans="1:2" x14ac:dyDescent="0.25">
      <c r="A47" s="92" t="s">
        <v>210</v>
      </c>
      <c r="B47" t="s">
        <v>617</v>
      </c>
    </row>
    <row r="48" spans="1:2" x14ac:dyDescent="0.25">
      <c r="A48" s="92" t="s">
        <v>134</v>
      </c>
      <c r="B48" t="s">
        <v>618</v>
      </c>
    </row>
    <row r="49" spans="1:2" x14ac:dyDescent="0.25">
      <c r="A49" s="92" t="s">
        <v>111</v>
      </c>
      <c r="B49" t="s">
        <v>619</v>
      </c>
    </row>
    <row r="50" spans="1:2" x14ac:dyDescent="0.25">
      <c r="A50" s="92" t="s">
        <v>153</v>
      </c>
      <c r="B50" t="s">
        <v>620</v>
      </c>
    </row>
    <row r="51" spans="1:2" x14ac:dyDescent="0.25">
      <c r="A51" s="92" t="s">
        <v>226</v>
      </c>
      <c r="B51" t="s">
        <v>621</v>
      </c>
    </row>
    <row r="52" spans="1:2" x14ac:dyDescent="0.25">
      <c r="A52" s="92" t="s">
        <v>146</v>
      </c>
      <c r="B52" t="s">
        <v>622</v>
      </c>
    </row>
    <row r="53" spans="1:2" x14ac:dyDescent="0.25">
      <c r="A53" s="92" t="s">
        <v>143</v>
      </c>
      <c r="B53" t="s">
        <v>623</v>
      </c>
    </row>
    <row r="54" spans="1:2" x14ac:dyDescent="0.25">
      <c r="A54" s="92" t="s">
        <v>140</v>
      </c>
      <c r="B54" t="s">
        <v>141</v>
      </c>
    </row>
    <row r="55" spans="1:2" x14ac:dyDescent="0.25">
      <c r="A55" s="92" t="s">
        <v>221</v>
      </c>
      <c r="B55" t="s">
        <v>624</v>
      </c>
    </row>
    <row r="56" spans="1:2" x14ac:dyDescent="0.25">
      <c r="A56" s="92" t="s">
        <v>123</v>
      </c>
      <c r="B56" t="s">
        <v>625</v>
      </c>
    </row>
    <row r="57" spans="1:2" x14ac:dyDescent="0.25">
      <c r="A57" s="92" t="s">
        <v>195</v>
      </c>
      <c r="B57" t="s">
        <v>626</v>
      </c>
    </row>
    <row r="58" spans="1:2" x14ac:dyDescent="0.25">
      <c r="A58" s="92" t="s">
        <v>186</v>
      </c>
      <c r="B58" t="s">
        <v>627</v>
      </c>
    </row>
    <row r="59" spans="1:2" x14ac:dyDescent="0.25">
      <c r="A59" s="92" t="s">
        <v>220</v>
      </c>
      <c r="B59" t="s">
        <v>628</v>
      </c>
    </row>
    <row r="60" spans="1:2" x14ac:dyDescent="0.25">
      <c r="A60" s="92" t="s">
        <v>105</v>
      </c>
      <c r="B60" t="s">
        <v>629</v>
      </c>
    </row>
    <row r="61" spans="1:2" x14ac:dyDescent="0.25">
      <c r="A61" s="92" t="s">
        <v>79</v>
      </c>
      <c r="B61" t="s">
        <v>630</v>
      </c>
    </row>
    <row r="62" spans="1:2" x14ac:dyDescent="0.25">
      <c r="A62" s="92" t="s">
        <v>53</v>
      </c>
      <c r="B62" t="s">
        <v>631</v>
      </c>
    </row>
    <row r="63" spans="1:2" x14ac:dyDescent="0.25">
      <c r="A63" s="92" t="s">
        <v>238</v>
      </c>
      <c r="B63" t="s">
        <v>632</v>
      </c>
    </row>
    <row r="64" spans="1:2" x14ac:dyDescent="0.25">
      <c r="A64" s="92" t="s">
        <v>233</v>
      </c>
      <c r="B64" t="s">
        <v>633</v>
      </c>
    </row>
    <row r="65" spans="1:2" x14ac:dyDescent="0.25">
      <c r="A65" s="92" t="s">
        <v>205</v>
      </c>
      <c r="B65" t="s">
        <v>634</v>
      </c>
    </row>
    <row r="66" spans="1:2" x14ac:dyDescent="0.25">
      <c r="A66" s="92" t="s">
        <v>197</v>
      </c>
      <c r="B66" t="s">
        <v>635</v>
      </c>
    </row>
    <row r="67" spans="1:2" x14ac:dyDescent="0.25">
      <c r="A67" s="92" t="s">
        <v>137</v>
      </c>
      <c r="B67" t="s">
        <v>636</v>
      </c>
    </row>
    <row r="68" spans="1:2" x14ac:dyDescent="0.25">
      <c r="A68" s="92" t="s">
        <v>128</v>
      </c>
      <c r="B68" t="s">
        <v>637</v>
      </c>
    </row>
    <row r="69" spans="1:2" x14ac:dyDescent="0.25">
      <c r="A69" s="92" t="s">
        <v>171</v>
      </c>
      <c r="B69" t="s">
        <v>638</v>
      </c>
    </row>
    <row r="70" spans="1:2" x14ac:dyDescent="0.25">
      <c r="A70" s="92" t="s">
        <v>71</v>
      </c>
      <c r="B70" t="s">
        <v>639</v>
      </c>
    </row>
    <row r="71" spans="1:2" x14ac:dyDescent="0.25">
      <c r="A71" s="92" t="s">
        <v>162</v>
      </c>
      <c r="B71" t="s">
        <v>640</v>
      </c>
    </row>
    <row r="72" spans="1:2" x14ac:dyDescent="0.25">
      <c r="A72" s="92" t="s">
        <v>160</v>
      </c>
      <c r="B72" t="s">
        <v>641</v>
      </c>
    </row>
    <row r="73" spans="1:2" x14ac:dyDescent="0.25">
      <c r="A73" s="92" t="s">
        <v>47</v>
      </c>
      <c r="B73" t="s">
        <v>642</v>
      </c>
    </row>
    <row r="74" spans="1:2" x14ac:dyDescent="0.25">
      <c r="A74" s="92" t="s">
        <v>165</v>
      </c>
      <c r="B74" t="s">
        <v>643</v>
      </c>
    </row>
    <row r="75" spans="1:2" x14ac:dyDescent="0.25">
      <c r="A75" s="92" t="s">
        <v>157</v>
      </c>
      <c r="B75" t="s">
        <v>644</v>
      </c>
    </row>
    <row r="76" spans="1:2" x14ac:dyDescent="0.25">
      <c r="A76" s="92" t="s">
        <v>65</v>
      </c>
      <c r="B76" t="s">
        <v>645</v>
      </c>
    </row>
    <row r="77" spans="1:2" x14ac:dyDescent="0.25">
      <c r="A77" s="92" t="s">
        <v>148</v>
      </c>
      <c r="B77" t="s">
        <v>646</v>
      </c>
    </row>
    <row r="78" spans="1:2" x14ac:dyDescent="0.25">
      <c r="A78" s="92" t="s">
        <v>194</v>
      </c>
      <c r="B78" t="s">
        <v>647</v>
      </c>
    </row>
    <row r="79" spans="1:2" x14ac:dyDescent="0.25">
      <c r="A79" s="92" t="s">
        <v>224</v>
      </c>
      <c r="B79" t="s">
        <v>648</v>
      </c>
    </row>
    <row r="80" spans="1:2" x14ac:dyDescent="0.25">
      <c r="A80" s="92" t="s">
        <v>213</v>
      </c>
      <c r="B80" t="s">
        <v>649</v>
      </c>
    </row>
    <row r="81" spans="1:2" x14ac:dyDescent="0.25">
      <c r="A81" s="92" t="s">
        <v>174</v>
      </c>
      <c r="B81" t="s">
        <v>175</v>
      </c>
    </row>
    <row r="82" spans="1:2" x14ac:dyDescent="0.25">
      <c r="A82" s="92" t="s">
        <v>426</v>
      </c>
      <c r="B82" t="s">
        <v>650</v>
      </c>
    </row>
    <row r="83" spans="1:2" x14ac:dyDescent="0.25">
      <c r="A83" s="92" t="s">
        <v>429</v>
      </c>
      <c r="B83" t="s">
        <v>651</v>
      </c>
    </row>
    <row r="84" spans="1:2" x14ac:dyDescent="0.25">
      <c r="A84" s="92" t="s">
        <v>433</v>
      </c>
      <c r="B84" t="s">
        <v>652</v>
      </c>
    </row>
    <row r="85" spans="1:2" x14ac:dyDescent="0.25">
      <c r="A85" s="92" t="s">
        <v>436</v>
      </c>
      <c r="B85" t="s">
        <v>653</v>
      </c>
    </row>
    <row r="86" spans="1:2" x14ac:dyDescent="0.25">
      <c r="A86" s="92" t="s">
        <v>439</v>
      </c>
      <c r="B86" t="s">
        <v>654</v>
      </c>
    </row>
    <row r="87" spans="1:2" x14ac:dyDescent="0.25">
      <c r="A87" s="92" t="s">
        <v>442</v>
      </c>
      <c r="B87" t="s">
        <v>655</v>
      </c>
    </row>
    <row r="88" spans="1:2" x14ac:dyDescent="0.25">
      <c r="A88" s="92" t="s">
        <v>445</v>
      </c>
      <c r="B88" t="s">
        <v>656</v>
      </c>
    </row>
    <row r="89" spans="1:2" x14ac:dyDescent="0.25">
      <c r="A89" s="92" t="s">
        <v>448</v>
      </c>
      <c r="B89" t="s">
        <v>657</v>
      </c>
    </row>
    <row r="90" spans="1:2" x14ac:dyDescent="0.25">
      <c r="A90" s="92" t="s">
        <v>452</v>
      </c>
      <c r="B90" t="s">
        <v>658</v>
      </c>
    </row>
    <row r="91" spans="1:2" x14ac:dyDescent="0.25">
      <c r="A91" s="92" t="s">
        <v>456</v>
      </c>
      <c r="B91" t="s">
        <v>659</v>
      </c>
    </row>
    <row r="92" spans="1:2" x14ac:dyDescent="0.25">
      <c r="A92" s="92" t="s">
        <v>459</v>
      </c>
      <c r="B92" t="s">
        <v>660</v>
      </c>
    </row>
    <row r="93" spans="1:2" x14ac:dyDescent="0.25">
      <c r="A93" s="92" t="s">
        <v>462</v>
      </c>
      <c r="B93" t="s">
        <v>661</v>
      </c>
    </row>
    <row r="94" spans="1:2" x14ac:dyDescent="0.25">
      <c r="A94" s="92" t="s">
        <v>465</v>
      </c>
      <c r="B94" t="s">
        <v>662</v>
      </c>
    </row>
    <row r="95" spans="1:2" x14ac:dyDescent="0.25">
      <c r="A95" s="92" t="s">
        <v>468</v>
      </c>
      <c r="B95" t="s">
        <v>663</v>
      </c>
    </row>
    <row r="96" spans="1:2" x14ac:dyDescent="0.25">
      <c r="A96" s="92" t="s">
        <v>471</v>
      </c>
      <c r="B96" t="s">
        <v>664</v>
      </c>
    </row>
    <row r="97" spans="1:2" x14ac:dyDescent="0.25">
      <c r="A97" s="92" t="s">
        <v>474</v>
      </c>
      <c r="B97" t="s">
        <v>665</v>
      </c>
    </row>
    <row r="98" spans="1:2" x14ac:dyDescent="0.25">
      <c r="A98" s="92" t="s">
        <v>477</v>
      </c>
      <c r="B98" t="s">
        <v>666</v>
      </c>
    </row>
    <row r="99" spans="1:2" x14ac:dyDescent="0.25">
      <c r="A99" s="92" t="s">
        <v>480</v>
      </c>
      <c r="B99" t="s">
        <v>667</v>
      </c>
    </row>
    <row r="100" spans="1:2" x14ac:dyDescent="0.25">
      <c r="A100" s="92" t="s">
        <v>483</v>
      </c>
      <c r="B100" t="s">
        <v>668</v>
      </c>
    </row>
    <row r="101" spans="1:2" x14ac:dyDescent="0.25">
      <c r="A101" s="92" t="s">
        <v>486</v>
      </c>
      <c r="B101" t="s">
        <v>669</v>
      </c>
    </row>
    <row r="102" spans="1:2" x14ac:dyDescent="0.25">
      <c r="A102" s="92" t="s">
        <v>490</v>
      </c>
      <c r="B102" t="s">
        <v>670</v>
      </c>
    </row>
    <row r="103" spans="1:2" x14ac:dyDescent="0.25">
      <c r="A103" s="92" t="s">
        <v>493</v>
      </c>
      <c r="B103" t="s">
        <v>671</v>
      </c>
    </row>
    <row r="104" spans="1:2" x14ac:dyDescent="0.25">
      <c r="A104" s="92" t="s">
        <v>496</v>
      </c>
      <c r="B104" t="s">
        <v>672</v>
      </c>
    </row>
    <row r="105" spans="1:2" x14ac:dyDescent="0.25">
      <c r="A105" s="92" t="s">
        <v>499</v>
      </c>
      <c r="B105" t="s">
        <v>673</v>
      </c>
    </row>
    <row r="106" spans="1:2" x14ac:dyDescent="0.25">
      <c r="A106" s="92" t="s">
        <v>503</v>
      </c>
      <c r="B106" t="s">
        <v>674</v>
      </c>
    </row>
    <row r="107" spans="1:2" x14ac:dyDescent="0.25">
      <c r="A107" s="92" t="s">
        <v>507</v>
      </c>
      <c r="B107" t="s">
        <v>675</v>
      </c>
    </row>
    <row r="108" spans="1:2" x14ac:dyDescent="0.25">
      <c r="A108" s="92" t="s">
        <v>510</v>
      </c>
      <c r="B108" t="s">
        <v>676</v>
      </c>
    </row>
    <row r="109" spans="1:2" x14ac:dyDescent="0.25">
      <c r="A109" s="92" t="s">
        <v>514</v>
      </c>
      <c r="B109" t="s">
        <v>677</v>
      </c>
    </row>
    <row r="110" spans="1:2" x14ac:dyDescent="0.25">
      <c r="A110" s="92" t="s">
        <v>517</v>
      </c>
      <c r="B110" t="s">
        <v>678</v>
      </c>
    </row>
    <row r="111" spans="1:2" x14ac:dyDescent="0.25">
      <c r="A111" s="92" t="s">
        <v>520</v>
      </c>
      <c r="B111" t="s">
        <v>679</v>
      </c>
    </row>
    <row r="112" spans="1:2" x14ac:dyDescent="0.25">
      <c r="A112" s="92" t="s">
        <v>523</v>
      </c>
      <c r="B112" t="s">
        <v>680</v>
      </c>
    </row>
    <row r="113" spans="1:2" x14ac:dyDescent="0.25">
      <c r="A113" s="92" t="s">
        <v>526</v>
      </c>
      <c r="B113" t="s">
        <v>681</v>
      </c>
    </row>
    <row r="114" spans="1:2" x14ac:dyDescent="0.25">
      <c r="A114" s="92" t="s">
        <v>529</v>
      </c>
      <c r="B114" t="s">
        <v>682</v>
      </c>
    </row>
    <row r="115" spans="1:2" x14ac:dyDescent="0.25">
      <c r="A115" s="92" t="s">
        <v>532</v>
      </c>
      <c r="B115" t="s">
        <v>683</v>
      </c>
    </row>
    <row r="116" spans="1:2" x14ac:dyDescent="0.25">
      <c r="A116" s="92" t="s">
        <v>535</v>
      </c>
      <c r="B116" t="s">
        <v>684</v>
      </c>
    </row>
    <row r="117" spans="1:2" x14ac:dyDescent="0.25">
      <c r="A117" s="92" t="s">
        <v>539</v>
      </c>
      <c r="B117" t="s">
        <v>685</v>
      </c>
    </row>
    <row r="118" spans="1:2" x14ac:dyDescent="0.25">
      <c r="A118" s="92" t="s">
        <v>542</v>
      </c>
      <c r="B118" t="s">
        <v>686</v>
      </c>
    </row>
    <row r="119" spans="1:2" x14ac:dyDescent="0.25">
      <c r="A119" s="92" t="s">
        <v>545</v>
      </c>
      <c r="B119" t="s">
        <v>687</v>
      </c>
    </row>
    <row r="120" spans="1:2" x14ac:dyDescent="0.25">
      <c r="A120" s="92" t="s">
        <v>548</v>
      </c>
      <c r="B120" t="s">
        <v>688</v>
      </c>
    </row>
    <row r="121" spans="1:2" x14ac:dyDescent="0.25">
      <c r="A121" s="92" t="s">
        <v>551</v>
      </c>
      <c r="B121" t="s">
        <v>689</v>
      </c>
    </row>
  </sheetData>
  <autoFilter ref="A1:B121" xr:uid="{00000000-0009-0000-0000-000001000000}">
    <sortState ref="A2:B121">
      <sortCondition ref="A1:A121"/>
    </sortState>
  </autoFilter>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96"/>
  <sheetViews>
    <sheetView topLeftCell="A61" workbookViewId="0">
      <selection activeCell="B16" sqref="B16"/>
    </sheetView>
  </sheetViews>
  <sheetFormatPr defaultRowHeight="15" x14ac:dyDescent="0.25"/>
  <cols>
    <col min="1" max="1" width="15.85546875" customWidth="1"/>
    <col min="2" max="2" width="64.28515625" customWidth="1"/>
    <col min="3" max="3" width="13.28515625" customWidth="1"/>
    <col min="4" max="4" width="9.5703125" customWidth="1"/>
    <col min="5" max="5" width="11.7109375" customWidth="1"/>
    <col min="6" max="6" width="10.5703125" customWidth="1"/>
    <col min="7" max="7" width="13.140625" customWidth="1"/>
    <col min="8" max="8" width="20" customWidth="1"/>
    <col min="9" max="9" width="17.5703125" customWidth="1"/>
    <col min="10" max="10" width="13.28515625" customWidth="1"/>
    <col min="11" max="11" width="18" customWidth="1"/>
    <col min="12" max="12" width="17.140625" customWidth="1"/>
    <col min="13" max="13" width="35.42578125" customWidth="1"/>
    <col min="14" max="14" width="6.7109375" customWidth="1"/>
    <col min="15" max="15" width="19" customWidth="1"/>
    <col min="16" max="16" width="12" customWidth="1"/>
    <col min="17" max="17" width="19.28515625" customWidth="1"/>
    <col min="18" max="18" width="18.7109375" customWidth="1"/>
    <col min="19" max="19" width="12.5703125" customWidth="1"/>
    <col min="20" max="20" width="14.28515625" customWidth="1"/>
    <col min="21" max="21" width="13.28515625" customWidth="1"/>
  </cols>
  <sheetData>
    <row r="1" spans="1:21" x14ac:dyDescent="0.25">
      <c r="A1" s="1" t="s">
        <v>246</v>
      </c>
    </row>
    <row r="2" spans="1:21" x14ac:dyDescent="0.25">
      <c r="A2" s="1" t="s">
        <v>247</v>
      </c>
    </row>
    <row r="3" spans="1:21" x14ac:dyDescent="0.25">
      <c r="L3" s="2"/>
    </row>
    <row r="4" spans="1:21" x14ac:dyDescent="0.25">
      <c r="A4" t="s">
        <v>34</v>
      </c>
      <c r="B4" t="s">
        <v>0</v>
      </c>
      <c r="C4" t="s">
        <v>35</v>
      </c>
      <c r="D4" t="s">
        <v>36</v>
      </c>
      <c r="E4" t="s">
        <v>37</v>
      </c>
      <c r="F4" t="s">
        <v>38</v>
      </c>
      <c r="G4" t="s">
        <v>7</v>
      </c>
      <c r="H4" t="s">
        <v>3</v>
      </c>
      <c r="I4" t="s">
        <v>39</v>
      </c>
      <c r="J4" t="s">
        <v>10</v>
      </c>
      <c r="K4" t="s">
        <v>11</v>
      </c>
      <c r="L4" t="s">
        <v>40</v>
      </c>
      <c r="M4" t="s">
        <v>253</v>
      </c>
      <c r="N4" t="s">
        <v>41</v>
      </c>
      <c r="O4" t="s">
        <v>42</v>
      </c>
      <c r="P4" t="s">
        <v>43</v>
      </c>
      <c r="Q4" t="s">
        <v>44</v>
      </c>
      <c r="R4" t="s">
        <v>45</v>
      </c>
      <c r="S4" t="s">
        <v>46</v>
      </c>
      <c r="T4" t="s">
        <v>554</v>
      </c>
      <c r="U4" t="s">
        <v>559</v>
      </c>
    </row>
    <row r="5" spans="1:21" x14ac:dyDescent="0.25">
      <c r="A5" t="s">
        <v>47</v>
      </c>
      <c r="B5" t="s">
        <v>642</v>
      </c>
      <c r="C5">
        <v>88</v>
      </c>
      <c r="D5">
        <v>375056</v>
      </c>
      <c r="E5">
        <v>740296</v>
      </c>
      <c r="F5">
        <v>1115352</v>
      </c>
      <c r="G5" t="s">
        <v>13</v>
      </c>
      <c r="H5" t="s">
        <v>48</v>
      </c>
      <c r="I5" t="b">
        <v>1</v>
      </c>
      <c r="J5" t="b">
        <v>0</v>
      </c>
      <c r="K5" t="b">
        <v>1</v>
      </c>
      <c r="L5" t="b">
        <v>0</v>
      </c>
      <c r="M5" t="b">
        <v>1</v>
      </c>
      <c r="N5">
        <v>1</v>
      </c>
      <c r="O5" t="s">
        <v>49</v>
      </c>
      <c r="P5">
        <v>52</v>
      </c>
      <c r="Q5">
        <v>13</v>
      </c>
      <c r="R5">
        <v>5</v>
      </c>
      <c r="S5">
        <v>5</v>
      </c>
      <c r="T5" t="s">
        <v>555</v>
      </c>
    </row>
    <row r="6" spans="1:21" x14ac:dyDescent="0.25">
      <c r="A6" t="s">
        <v>50</v>
      </c>
      <c r="B6" t="s">
        <v>616</v>
      </c>
      <c r="C6">
        <v>87</v>
      </c>
      <c r="D6">
        <v>1203815</v>
      </c>
      <c r="E6">
        <v>3334000</v>
      </c>
      <c r="F6">
        <v>4537815</v>
      </c>
      <c r="G6" t="s">
        <v>51</v>
      </c>
      <c r="H6" t="s">
        <v>52</v>
      </c>
      <c r="I6" t="b">
        <v>1</v>
      </c>
      <c r="J6" t="b">
        <v>0</v>
      </c>
      <c r="K6" t="b">
        <v>1</v>
      </c>
      <c r="L6" t="b">
        <v>0</v>
      </c>
      <c r="M6" t="b">
        <v>1</v>
      </c>
      <c r="N6">
        <v>3</v>
      </c>
      <c r="O6" t="s">
        <v>49</v>
      </c>
      <c r="P6">
        <v>52</v>
      </c>
      <c r="Q6">
        <v>14</v>
      </c>
      <c r="R6">
        <v>3</v>
      </c>
      <c r="S6">
        <v>5</v>
      </c>
      <c r="T6" t="s">
        <v>555</v>
      </c>
    </row>
    <row r="7" spans="1:21" x14ac:dyDescent="0.25">
      <c r="A7" t="s">
        <v>53</v>
      </c>
      <c r="B7" t="s">
        <v>631</v>
      </c>
      <c r="C7">
        <v>85</v>
      </c>
      <c r="D7">
        <v>840000</v>
      </c>
      <c r="E7">
        <v>2270000</v>
      </c>
      <c r="F7">
        <v>3110000</v>
      </c>
      <c r="G7" t="s">
        <v>54</v>
      </c>
      <c r="H7" t="s">
        <v>55</v>
      </c>
      <c r="I7" t="b">
        <v>1</v>
      </c>
      <c r="J7" t="b">
        <v>0</v>
      </c>
      <c r="K7" t="b">
        <v>1</v>
      </c>
      <c r="L7" t="b">
        <v>0</v>
      </c>
      <c r="M7" t="b">
        <v>0</v>
      </c>
      <c r="N7">
        <v>3</v>
      </c>
      <c r="O7" t="s">
        <v>49</v>
      </c>
      <c r="P7">
        <v>52</v>
      </c>
      <c r="Q7">
        <v>17</v>
      </c>
      <c r="R7">
        <v>3</v>
      </c>
      <c r="S7">
        <v>5</v>
      </c>
      <c r="T7" t="s">
        <v>555</v>
      </c>
    </row>
    <row r="8" spans="1:21" x14ac:dyDescent="0.25">
      <c r="A8" t="s">
        <v>56</v>
      </c>
      <c r="B8" t="s">
        <v>583</v>
      </c>
      <c r="C8">
        <v>85</v>
      </c>
      <c r="D8">
        <v>858900</v>
      </c>
      <c r="E8">
        <v>3661000</v>
      </c>
      <c r="F8">
        <v>4519900</v>
      </c>
      <c r="G8" t="s">
        <v>57</v>
      </c>
      <c r="H8" t="s">
        <v>58</v>
      </c>
      <c r="I8" t="b">
        <v>1</v>
      </c>
      <c r="J8" t="b">
        <v>0</v>
      </c>
      <c r="K8" t="b">
        <v>1</v>
      </c>
      <c r="L8" t="b">
        <v>0</v>
      </c>
      <c r="M8" t="b">
        <v>0</v>
      </c>
      <c r="N8">
        <v>3</v>
      </c>
      <c r="O8" t="s">
        <v>49</v>
      </c>
      <c r="P8">
        <v>47</v>
      </c>
      <c r="Q8">
        <v>18</v>
      </c>
      <c r="R8">
        <v>5</v>
      </c>
      <c r="S8">
        <v>5</v>
      </c>
      <c r="T8" t="s">
        <v>556</v>
      </c>
    </row>
    <row r="9" spans="1:21" x14ac:dyDescent="0.25">
      <c r="A9" t="s">
        <v>59</v>
      </c>
      <c r="B9" t="s">
        <v>595</v>
      </c>
      <c r="C9">
        <v>83</v>
      </c>
      <c r="D9">
        <v>1200000</v>
      </c>
      <c r="E9">
        <v>3313000</v>
      </c>
      <c r="F9">
        <v>4513000</v>
      </c>
      <c r="G9" t="s">
        <v>60</v>
      </c>
      <c r="H9" t="s">
        <v>61</v>
      </c>
      <c r="I9" t="b">
        <v>1</v>
      </c>
      <c r="J9" t="b">
        <v>0</v>
      </c>
      <c r="K9" t="b">
        <v>1</v>
      </c>
      <c r="L9" t="b">
        <v>0</v>
      </c>
      <c r="M9" t="b">
        <v>0</v>
      </c>
      <c r="N9">
        <v>1</v>
      </c>
      <c r="O9" t="s">
        <v>49</v>
      </c>
      <c r="P9">
        <v>52</v>
      </c>
      <c r="Q9">
        <v>14</v>
      </c>
      <c r="R9">
        <v>2</v>
      </c>
      <c r="S9">
        <v>5</v>
      </c>
      <c r="T9" t="s">
        <v>556</v>
      </c>
    </row>
    <row r="10" spans="1:21" x14ac:dyDescent="0.25">
      <c r="A10" t="s">
        <v>62</v>
      </c>
      <c r="B10" t="s">
        <v>610</v>
      </c>
      <c r="C10">
        <v>81</v>
      </c>
      <c r="D10">
        <v>604831</v>
      </c>
      <c r="E10">
        <v>985500</v>
      </c>
      <c r="F10">
        <v>1590331</v>
      </c>
      <c r="G10" t="s">
        <v>63</v>
      </c>
      <c r="H10" t="s">
        <v>64</v>
      </c>
      <c r="I10" t="b">
        <v>1</v>
      </c>
      <c r="J10" t="b">
        <v>0</v>
      </c>
      <c r="K10" t="b">
        <v>1</v>
      </c>
      <c r="L10" t="b">
        <v>0</v>
      </c>
      <c r="M10" t="b">
        <v>0</v>
      </c>
      <c r="N10">
        <v>1</v>
      </c>
      <c r="O10" t="s">
        <v>49</v>
      </c>
      <c r="P10">
        <v>52</v>
      </c>
      <c r="Q10">
        <v>14</v>
      </c>
      <c r="R10">
        <v>5</v>
      </c>
      <c r="S10">
        <v>5</v>
      </c>
      <c r="T10" t="s">
        <v>556</v>
      </c>
    </row>
    <row r="11" spans="1:21" x14ac:dyDescent="0.25">
      <c r="A11" t="s">
        <v>65</v>
      </c>
      <c r="B11" t="s">
        <v>645</v>
      </c>
      <c r="C11">
        <v>81</v>
      </c>
      <c r="D11">
        <v>137908</v>
      </c>
      <c r="E11">
        <v>223900</v>
      </c>
      <c r="F11">
        <v>361808</v>
      </c>
      <c r="G11" t="s">
        <v>66</v>
      </c>
      <c r="H11" t="s">
        <v>67</v>
      </c>
      <c r="I11" t="b">
        <v>1</v>
      </c>
      <c r="J11" t="b">
        <v>0</v>
      </c>
      <c r="K11" t="b">
        <v>1</v>
      </c>
      <c r="L11" t="b">
        <v>0</v>
      </c>
      <c r="M11" t="b">
        <v>1</v>
      </c>
      <c r="N11">
        <v>3</v>
      </c>
      <c r="O11" t="s">
        <v>49</v>
      </c>
      <c r="P11">
        <v>52</v>
      </c>
      <c r="Q11">
        <v>12</v>
      </c>
      <c r="R11">
        <v>3</v>
      </c>
      <c r="S11">
        <v>3</v>
      </c>
      <c r="T11" t="s">
        <v>555</v>
      </c>
    </row>
    <row r="12" spans="1:21" x14ac:dyDescent="0.25">
      <c r="A12" t="s">
        <v>68</v>
      </c>
      <c r="B12" t="s">
        <v>589</v>
      </c>
      <c r="C12">
        <v>80</v>
      </c>
      <c r="D12">
        <v>150977</v>
      </c>
      <c r="E12">
        <v>542000</v>
      </c>
      <c r="F12">
        <v>692977</v>
      </c>
      <c r="G12" t="s">
        <v>69</v>
      </c>
      <c r="H12" t="s">
        <v>70</v>
      </c>
      <c r="I12" t="b">
        <v>1</v>
      </c>
      <c r="J12" t="b">
        <v>0</v>
      </c>
      <c r="K12" t="b">
        <v>1</v>
      </c>
      <c r="L12" t="b">
        <v>1</v>
      </c>
      <c r="M12" t="b">
        <v>0</v>
      </c>
      <c r="N12">
        <v>3</v>
      </c>
      <c r="O12" t="s">
        <v>49</v>
      </c>
      <c r="P12">
        <v>48</v>
      </c>
      <c r="Q12">
        <v>18</v>
      </c>
      <c r="R12">
        <v>5</v>
      </c>
      <c r="S12">
        <v>5</v>
      </c>
      <c r="T12" t="s">
        <v>556</v>
      </c>
    </row>
    <row r="13" spans="1:21" x14ac:dyDescent="0.25">
      <c r="A13" t="s">
        <v>71</v>
      </c>
      <c r="B13" t="s">
        <v>639</v>
      </c>
      <c r="C13">
        <v>80</v>
      </c>
      <c r="D13">
        <v>413367</v>
      </c>
      <c r="E13">
        <v>645726</v>
      </c>
      <c r="F13">
        <v>1059093</v>
      </c>
      <c r="G13" t="s">
        <v>72</v>
      </c>
      <c r="H13" t="s">
        <v>73</v>
      </c>
      <c r="I13" t="b">
        <v>1</v>
      </c>
      <c r="J13" t="b">
        <v>0</v>
      </c>
      <c r="K13" t="b">
        <v>1</v>
      </c>
      <c r="L13" t="b">
        <v>0</v>
      </c>
      <c r="M13" t="b">
        <v>1</v>
      </c>
      <c r="N13">
        <v>2</v>
      </c>
      <c r="O13" t="s">
        <v>49</v>
      </c>
      <c r="P13">
        <v>47</v>
      </c>
      <c r="Q13">
        <v>12</v>
      </c>
      <c r="R13">
        <v>5</v>
      </c>
      <c r="S13">
        <v>3</v>
      </c>
      <c r="T13" t="s">
        <v>555</v>
      </c>
    </row>
    <row r="14" spans="1:21" x14ac:dyDescent="0.25">
      <c r="A14" t="s">
        <v>74</v>
      </c>
      <c r="B14" t="s">
        <v>576</v>
      </c>
      <c r="C14">
        <v>79</v>
      </c>
      <c r="D14">
        <v>53196</v>
      </c>
      <c r="E14">
        <v>38000</v>
      </c>
      <c r="F14">
        <v>91196</v>
      </c>
      <c r="G14" t="s">
        <v>69</v>
      </c>
      <c r="H14" t="s">
        <v>75</v>
      </c>
      <c r="I14" t="b">
        <v>1</v>
      </c>
      <c r="J14" t="b">
        <v>1</v>
      </c>
      <c r="K14" t="b">
        <v>0</v>
      </c>
      <c r="L14" t="b">
        <v>0</v>
      </c>
      <c r="M14" t="b">
        <v>0</v>
      </c>
      <c r="N14">
        <v>3</v>
      </c>
      <c r="O14" t="s">
        <v>49</v>
      </c>
      <c r="P14">
        <v>53</v>
      </c>
      <c r="Q14">
        <v>10</v>
      </c>
      <c r="R14">
        <v>5</v>
      </c>
      <c r="S14">
        <v>5</v>
      </c>
      <c r="T14" t="s">
        <v>556</v>
      </c>
    </row>
    <row r="15" spans="1:21" x14ac:dyDescent="0.25">
      <c r="A15" t="s">
        <v>76</v>
      </c>
      <c r="B15" t="s">
        <v>609</v>
      </c>
      <c r="C15">
        <v>79</v>
      </c>
      <c r="D15">
        <v>577685</v>
      </c>
      <c r="E15">
        <v>1500000</v>
      </c>
      <c r="F15">
        <v>2077685</v>
      </c>
      <c r="G15" t="s">
        <v>77</v>
      </c>
      <c r="H15" t="s">
        <v>78</v>
      </c>
      <c r="I15" t="b">
        <v>1</v>
      </c>
      <c r="J15" t="b">
        <v>0</v>
      </c>
      <c r="K15" t="b">
        <v>1</v>
      </c>
      <c r="L15" t="b">
        <v>0</v>
      </c>
      <c r="M15" t="b">
        <v>0</v>
      </c>
      <c r="N15">
        <v>1</v>
      </c>
      <c r="O15" t="s">
        <v>49</v>
      </c>
      <c r="P15">
        <v>52</v>
      </c>
      <c r="Q15">
        <v>14</v>
      </c>
      <c r="R15">
        <v>0</v>
      </c>
      <c r="S15">
        <v>5</v>
      </c>
      <c r="T15" t="s">
        <v>556</v>
      </c>
    </row>
    <row r="16" spans="1:21" x14ac:dyDescent="0.25">
      <c r="A16" t="s">
        <v>79</v>
      </c>
      <c r="B16" t="s">
        <v>630</v>
      </c>
      <c r="C16">
        <v>79</v>
      </c>
      <c r="D16">
        <v>1021600</v>
      </c>
      <c r="E16">
        <v>1157450</v>
      </c>
      <c r="F16">
        <v>2179050</v>
      </c>
      <c r="G16" t="s">
        <v>77</v>
      </c>
      <c r="H16" t="s">
        <v>80</v>
      </c>
      <c r="I16" t="b">
        <v>1</v>
      </c>
      <c r="J16" t="b">
        <v>0</v>
      </c>
      <c r="K16" t="b">
        <v>1</v>
      </c>
      <c r="L16" t="b">
        <v>0</v>
      </c>
      <c r="M16" t="b">
        <v>0</v>
      </c>
      <c r="N16">
        <v>1</v>
      </c>
      <c r="O16" t="s">
        <v>49</v>
      </c>
      <c r="P16">
        <v>52</v>
      </c>
      <c r="Q16">
        <v>11</v>
      </c>
      <c r="R16">
        <v>5</v>
      </c>
      <c r="S16">
        <v>5</v>
      </c>
      <c r="T16" t="s">
        <v>556</v>
      </c>
    </row>
    <row r="17" spans="1:20" x14ac:dyDescent="0.25">
      <c r="A17" t="s">
        <v>81</v>
      </c>
      <c r="B17" t="s">
        <v>601</v>
      </c>
      <c r="C17">
        <v>79</v>
      </c>
      <c r="D17">
        <v>351916</v>
      </c>
      <c r="E17">
        <v>300000</v>
      </c>
      <c r="F17">
        <v>651916</v>
      </c>
      <c r="G17" t="s">
        <v>82</v>
      </c>
      <c r="H17" t="s">
        <v>83</v>
      </c>
      <c r="I17" t="b">
        <v>1</v>
      </c>
      <c r="J17" t="b">
        <v>0</v>
      </c>
      <c r="K17" t="b">
        <v>1</v>
      </c>
      <c r="L17" t="b">
        <v>0</v>
      </c>
      <c r="M17" t="b">
        <v>0</v>
      </c>
      <c r="N17">
        <v>1</v>
      </c>
      <c r="P17">
        <v>52</v>
      </c>
      <c r="Q17">
        <v>11</v>
      </c>
      <c r="R17">
        <v>5</v>
      </c>
      <c r="S17">
        <v>3</v>
      </c>
      <c r="T17" t="s">
        <v>555</v>
      </c>
    </row>
    <row r="18" spans="1:20" x14ac:dyDescent="0.25">
      <c r="A18" t="s">
        <v>84</v>
      </c>
      <c r="B18" t="s">
        <v>593</v>
      </c>
      <c r="C18">
        <v>79</v>
      </c>
      <c r="D18">
        <v>1200000</v>
      </c>
      <c r="E18">
        <v>2252350</v>
      </c>
      <c r="F18">
        <v>3452350</v>
      </c>
      <c r="G18" t="s">
        <v>85</v>
      </c>
      <c r="H18" t="s">
        <v>86</v>
      </c>
      <c r="I18" t="b">
        <v>1</v>
      </c>
      <c r="J18" t="b">
        <v>0</v>
      </c>
      <c r="K18" t="b">
        <v>1</v>
      </c>
      <c r="L18" t="b">
        <v>0</v>
      </c>
      <c r="M18" t="b">
        <v>0</v>
      </c>
      <c r="N18">
        <v>1</v>
      </c>
      <c r="O18" t="s">
        <v>49</v>
      </c>
      <c r="P18">
        <v>47</v>
      </c>
      <c r="Q18">
        <v>14</v>
      </c>
      <c r="R18">
        <v>5</v>
      </c>
      <c r="S18">
        <v>5</v>
      </c>
      <c r="T18" t="s">
        <v>555</v>
      </c>
    </row>
    <row r="19" spans="1:20" x14ac:dyDescent="0.25">
      <c r="A19" t="s">
        <v>87</v>
      </c>
      <c r="B19" t="s">
        <v>587</v>
      </c>
      <c r="C19">
        <v>79</v>
      </c>
      <c r="D19">
        <v>97232</v>
      </c>
      <c r="E19">
        <v>102500</v>
      </c>
      <c r="F19">
        <v>199732</v>
      </c>
      <c r="G19" t="s">
        <v>57</v>
      </c>
      <c r="H19" t="s">
        <v>88</v>
      </c>
      <c r="I19" t="b">
        <v>1</v>
      </c>
      <c r="J19" t="b">
        <v>0</v>
      </c>
      <c r="K19" t="b">
        <v>1</v>
      </c>
      <c r="L19" t="b">
        <v>0</v>
      </c>
      <c r="M19" t="b">
        <v>0</v>
      </c>
      <c r="N19">
        <v>3</v>
      </c>
      <c r="O19" t="s">
        <v>49</v>
      </c>
      <c r="P19">
        <v>47</v>
      </c>
      <c r="Q19">
        <v>12</v>
      </c>
      <c r="R19">
        <v>5</v>
      </c>
      <c r="S19">
        <v>5</v>
      </c>
      <c r="T19" t="s">
        <v>556</v>
      </c>
    </row>
    <row r="20" spans="1:20" x14ac:dyDescent="0.25">
      <c r="A20" t="s">
        <v>89</v>
      </c>
      <c r="B20" t="s">
        <v>575</v>
      </c>
      <c r="C20">
        <v>78</v>
      </c>
      <c r="D20">
        <v>304122</v>
      </c>
      <c r="E20">
        <v>250000</v>
      </c>
      <c r="F20">
        <v>554122</v>
      </c>
      <c r="G20" t="s">
        <v>90</v>
      </c>
      <c r="H20" t="s">
        <v>91</v>
      </c>
      <c r="I20" t="b">
        <v>1</v>
      </c>
      <c r="J20" t="b">
        <v>0</v>
      </c>
      <c r="K20" t="b">
        <v>1</v>
      </c>
      <c r="L20" t="b">
        <v>0</v>
      </c>
      <c r="M20" t="b">
        <v>0</v>
      </c>
      <c r="N20">
        <v>1</v>
      </c>
      <c r="O20" t="s">
        <v>49</v>
      </c>
      <c r="P20">
        <v>52</v>
      </c>
      <c r="Q20">
        <v>10</v>
      </c>
      <c r="R20">
        <v>5</v>
      </c>
      <c r="S20">
        <v>3</v>
      </c>
      <c r="T20" t="s">
        <v>556</v>
      </c>
    </row>
    <row r="21" spans="1:20" x14ac:dyDescent="0.25">
      <c r="A21" t="s">
        <v>92</v>
      </c>
      <c r="B21" t="s">
        <v>605</v>
      </c>
      <c r="C21">
        <v>78</v>
      </c>
      <c r="D21">
        <v>759201</v>
      </c>
      <c r="E21">
        <v>721000</v>
      </c>
      <c r="F21">
        <v>1480201</v>
      </c>
      <c r="G21" t="s">
        <v>93</v>
      </c>
      <c r="H21" t="s">
        <v>94</v>
      </c>
      <c r="I21" t="b">
        <v>1</v>
      </c>
      <c r="J21" t="b">
        <v>0</v>
      </c>
      <c r="K21" t="b">
        <v>1</v>
      </c>
      <c r="L21" t="b">
        <v>0</v>
      </c>
      <c r="M21" t="b">
        <v>0</v>
      </c>
      <c r="N21">
        <v>2</v>
      </c>
      <c r="O21" t="s">
        <v>49</v>
      </c>
      <c r="P21">
        <v>51</v>
      </c>
      <c r="Q21">
        <v>11</v>
      </c>
      <c r="R21">
        <v>5</v>
      </c>
      <c r="S21">
        <v>3</v>
      </c>
      <c r="T21" t="s">
        <v>555</v>
      </c>
    </row>
    <row r="22" spans="1:20" x14ac:dyDescent="0.25">
      <c r="A22" t="s">
        <v>95</v>
      </c>
      <c r="B22" t="s">
        <v>613</v>
      </c>
      <c r="C22">
        <v>78</v>
      </c>
      <c r="D22">
        <v>442100</v>
      </c>
      <c r="E22">
        <v>250000</v>
      </c>
      <c r="F22">
        <v>725400</v>
      </c>
      <c r="G22" t="s">
        <v>96</v>
      </c>
      <c r="H22" t="s">
        <v>97</v>
      </c>
      <c r="I22" t="b">
        <v>0</v>
      </c>
      <c r="J22" t="b">
        <v>0</v>
      </c>
      <c r="K22" t="b">
        <v>1</v>
      </c>
      <c r="L22" t="b">
        <v>0</v>
      </c>
      <c r="M22" t="b">
        <v>0</v>
      </c>
      <c r="N22">
        <v>3</v>
      </c>
      <c r="O22" t="s">
        <v>49</v>
      </c>
      <c r="P22">
        <v>50</v>
      </c>
      <c r="Q22">
        <v>8</v>
      </c>
      <c r="R22">
        <v>5</v>
      </c>
      <c r="S22">
        <v>5</v>
      </c>
      <c r="T22" t="s">
        <v>555</v>
      </c>
    </row>
    <row r="23" spans="1:20" x14ac:dyDescent="0.25">
      <c r="A23" t="s">
        <v>98</v>
      </c>
      <c r="B23" t="s">
        <v>608</v>
      </c>
      <c r="C23">
        <v>78</v>
      </c>
      <c r="D23">
        <v>156141</v>
      </c>
      <c r="E23">
        <v>100360</v>
      </c>
      <c r="F23">
        <v>256501</v>
      </c>
      <c r="G23" t="s">
        <v>99</v>
      </c>
      <c r="H23" t="s">
        <v>100</v>
      </c>
      <c r="I23" t="b">
        <v>1</v>
      </c>
      <c r="J23" t="b">
        <v>1</v>
      </c>
      <c r="K23" t="b">
        <v>1</v>
      </c>
      <c r="L23" t="b">
        <v>0</v>
      </c>
      <c r="M23" t="b">
        <v>0</v>
      </c>
      <c r="N23">
        <v>1</v>
      </c>
      <c r="O23" t="s">
        <v>49</v>
      </c>
      <c r="P23">
        <v>49</v>
      </c>
      <c r="Q23">
        <v>9</v>
      </c>
      <c r="R23">
        <v>5</v>
      </c>
      <c r="S23">
        <v>5</v>
      </c>
      <c r="T23" t="s">
        <v>556</v>
      </c>
    </row>
    <row r="24" spans="1:20" x14ac:dyDescent="0.25">
      <c r="A24" t="s">
        <v>101</v>
      </c>
      <c r="B24" t="s">
        <v>597</v>
      </c>
      <c r="C24">
        <v>78</v>
      </c>
      <c r="D24">
        <v>154685</v>
      </c>
      <c r="E24">
        <v>150950</v>
      </c>
      <c r="F24">
        <v>305635</v>
      </c>
      <c r="G24" t="s">
        <v>102</v>
      </c>
      <c r="H24" t="s">
        <v>103</v>
      </c>
      <c r="I24" t="b">
        <v>1</v>
      </c>
      <c r="J24" t="b">
        <v>0</v>
      </c>
      <c r="K24" t="b">
        <v>0</v>
      </c>
      <c r="L24" t="b">
        <v>1</v>
      </c>
      <c r="M24" t="b">
        <v>0</v>
      </c>
      <c r="N24">
        <v>2</v>
      </c>
      <c r="O24" t="s">
        <v>104</v>
      </c>
      <c r="P24">
        <v>48</v>
      </c>
      <c r="Q24">
        <v>10</v>
      </c>
      <c r="R24">
        <v>5</v>
      </c>
      <c r="S24">
        <v>5</v>
      </c>
      <c r="T24" t="s">
        <v>556</v>
      </c>
    </row>
    <row r="25" spans="1:20" x14ac:dyDescent="0.25">
      <c r="A25" t="s">
        <v>105</v>
      </c>
      <c r="B25" t="s">
        <v>629</v>
      </c>
      <c r="C25">
        <v>78</v>
      </c>
      <c r="D25">
        <v>221748</v>
      </c>
      <c r="E25">
        <v>473000</v>
      </c>
      <c r="F25">
        <v>694748</v>
      </c>
      <c r="G25" t="s">
        <v>106</v>
      </c>
      <c r="H25" t="s">
        <v>107</v>
      </c>
      <c r="I25" t="b">
        <v>1</v>
      </c>
      <c r="J25" t="b">
        <v>0</v>
      </c>
      <c r="K25" t="b">
        <v>1</v>
      </c>
      <c r="L25" t="b">
        <v>0</v>
      </c>
      <c r="M25" t="b">
        <v>0</v>
      </c>
      <c r="N25">
        <v>3</v>
      </c>
      <c r="O25" t="s">
        <v>49</v>
      </c>
      <c r="P25">
        <v>47</v>
      </c>
      <c r="Q25">
        <v>15</v>
      </c>
      <c r="R25">
        <v>5</v>
      </c>
      <c r="S25">
        <v>3</v>
      </c>
      <c r="T25" t="s">
        <v>555</v>
      </c>
    </row>
    <row r="26" spans="1:20" x14ac:dyDescent="0.25">
      <c r="A26" t="s">
        <v>108</v>
      </c>
      <c r="B26" t="s">
        <v>615</v>
      </c>
      <c r="C26">
        <v>78</v>
      </c>
      <c r="D26">
        <v>259350</v>
      </c>
      <c r="E26">
        <v>639000</v>
      </c>
      <c r="F26">
        <v>898350</v>
      </c>
      <c r="G26" t="s">
        <v>109</v>
      </c>
      <c r="H26" t="s">
        <v>110</v>
      </c>
      <c r="I26" t="b">
        <v>1</v>
      </c>
      <c r="J26" t="b">
        <v>0</v>
      </c>
      <c r="K26" t="b">
        <v>1</v>
      </c>
      <c r="L26" t="b">
        <v>0</v>
      </c>
      <c r="M26" t="b">
        <v>0</v>
      </c>
      <c r="N26">
        <v>2</v>
      </c>
      <c r="O26" t="s">
        <v>49</v>
      </c>
      <c r="P26">
        <v>47</v>
      </c>
      <c r="Q26">
        <v>13</v>
      </c>
      <c r="R26">
        <v>5</v>
      </c>
      <c r="S26">
        <v>5</v>
      </c>
      <c r="T26" t="s">
        <v>555</v>
      </c>
    </row>
    <row r="27" spans="1:20" x14ac:dyDescent="0.25">
      <c r="A27" t="s">
        <v>111</v>
      </c>
      <c r="B27" t="s">
        <v>619</v>
      </c>
      <c r="C27">
        <v>78</v>
      </c>
      <c r="D27">
        <v>370000</v>
      </c>
      <c r="E27">
        <v>417167</v>
      </c>
      <c r="F27">
        <v>787167</v>
      </c>
      <c r="G27" t="s">
        <v>102</v>
      </c>
      <c r="H27" t="s">
        <v>112</v>
      </c>
      <c r="I27" t="b">
        <v>1</v>
      </c>
      <c r="J27" t="b">
        <v>0</v>
      </c>
      <c r="K27" t="b">
        <v>1</v>
      </c>
      <c r="L27" t="b">
        <v>0</v>
      </c>
      <c r="M27" t="b">
        <v>0</v>
      </c>
      <c r="N27">
        <v>2</v>
      </c>
      <c r="O27" t="s">
        <v>104</v>
      </c>
      <c r="P27">
        <v>47</v>
      </c>
      <c r="Q27">
        <v>11</v>
      </c>
      <c r="R27">
        <v>5</v>
      </c>
      <c r="S27">
        <v>5</v>
      </c>
      <c r="T27" t="s">
        <v>556</v>
      </c>
    </row>
    <row r="28" spans="1:20" x14ac:dyDescent="0.25">
      <c r="A28" t="s">
        <v>113</v>
      </c>
      <c r="B28" t="s">
        <v>114</v>
      </c>
      <c r="C28">
        <v>77</v>
      </c>
      <c r="D28">
        <v>450000</v>
      </c>
      <c r="E28">
        <v>12400</v>
      </c>
      <c r="F28">
        <v>612400</v>
      </c>
      <c r="G28" t="s">
        <v>115</v>
      </c>
      <c r="H28" t="s">
        <v>116</v>
      </c>
      <c r="I28" t="b">
        <v>1</v>
      </c>
      <c r="J28" t="b">
        <v>1</v>
      </c>
      <c r="K28" t="b">
        <v>1</v>
      </c>
      <c r="L28" t="b">
        <v>0</v>
      </c>
      <c r="M28" t="b">
        <v>0</v>
      </c>
      <c r="N28">
        <v>1</v>
      </c>
      <c r="O28" t="s">
        <v>49</v>
      </c>
      <c r="P28">
        <v>53</v>
      </c>
      <c r="Q28">
        <v>6</v>
      </c>
      <c r="R28">
        <v>5</v>
      </c>
      <c r="S28">
        <v>5</v>
      </c>
      <c r="T28" t="s">
        <v>556</v>
      </c>
    </row>
    <row r="29" spans="1:20" x14ac:dyDescent="0.25">
      <c r="A29" t="s">
        <v>117</v>
      </c>
      <c r="B29" t="s">
        <v>581</v>
      </c>
      <c r="C29">
        <v>77</v>
      </c>
      <c r="D29">
        <v>252014</v>
      </c>
      <c r="E29">
        <v>400000</v>
      </c>
      <c r="F29">
        <v>652014</v>
      </c>
      <c r="G29" t="s">
        <v>118</v>
      </c>
      <c r="H29" t="s">
        <v>119</v>
      </c>
      <c r="I29" t="b">
        <v>1</v>
      </c>
      <c r="J29" t="b">
        <v>0</v>
      </c>
      <c r="K29" t="b">
        <v>1</v>
      </c>
      <c r="L29" t="b">
        <v>0</v>
      </c>
      <c r="M29" t="b">
        <v>0</v>
      </c>
      <c r="N29">
        <v>2</v>
      </c>
      <c r="O29" t="s">
        <v>49</v>
      </c>
      <c r="P29">
        <v>52</v>
      </c>
      <c r="Q29">
        <v>14</v>
      </c>
      <c r="R29">
        <v>2</v>
      </c>
      <c r="S29">
        <v>3</v>
      </c>
      <c r="T29" t="s">
        <v>556</v>
      </c>
    </row>
    <row r="30" spans="1:20" x14ac:dyDescent="0.25">
      <c r="A30" t="s">
        <v>120</v>
      </c>
      <c r="B30" t="s">
        <v>588</v>
      </c>
      <c r="C30">
        <v>77</v>
      </c>
      <c r="D30">
        <v>555800</v>
      </c>
      <c r="E30">
        <v>555920</v>
      </c>
      <c r="F30">
        <v>1111720</v>
      </c>
      <c r="G30" t="s">
        <v>121</v>
      </c>
      <c r="H30" t="s">
        <v>122</v>
      </c>
      <c r="I30" t="b">
        <v>1</v>
      </c>
      <c r="J30" t="b">
        <v>1</v>
      </c>
      <c r="K30" t="b">
        <v>0</v>
      </c>
      <c r="L30" t="b">
        <v>0</v>
      </c>
      <c r="M30" t="b">
        <v>0</v>
      </c>
      <c r="N30">
        <v>3</v>
      </c>
      <c r="O30" t="s">
        <v>49</v>
      </c>
      <c r="P30">
        <v>48</v>
      </c>
      <c r="Q30">
        <v>11</v>
      </c>
      <c r="R30">
        <v>5</v>
      </c>
      <c r="S30">
        <v>5</v>
      </c>
      <c r="T30" t="s">
        <v>556</v>
      </c>
    </row>
    <row r="31" spans="1:20" x14ac:dyDescent="0.25">
      <c r="A31" t="s">
        <v>123</v>
      </c>
      <c r="B31" t="s">
        <v>625</v>
      </c>
      <c r="C31">
        <v>77</v>
      </c>
      <c r="D31">
        <v>521848</v>
      </c>
      <c r="E31">
        <v>550000</v>
      </c>
      <c r="F31">
        <v>1071848</v>
      </c>
      <c r="G31" t="s">
        <v>124</v>
      </c>
      <c r="H31" t="s">
        <v>125</v>
      </c>
      <c r="I31" t="b">
        <v>1</v>
      </c>
      <c r="J31" t="b">
        <v>0</v>
      </c>
      <c r="K31" t="b">
        <v>1</v>
      </c>
      <c r="L31" t="b">
        <v>0</v>
      </c>
      <c r="M31" t="b">
        <v>0</v>
      </c>
      <c r="N31">
        <v>1</v>
      </c>
      <c r="O31" t="s">
        <v>49</v>
      </c>
      <c r="P31">
        <v>47</v>
      </c>
      <c r="Q31">
        <v>12</v>
      </c>
      <c r="R31">
        <v>5</v>
      </c>
      <c r="S31">
        <v>5</v>
      </c>
      <c r="T31" t="s">
        <v>556</v>
      </c>
    </row>
    <row r="32" spans="1:20" x14ac:dyDescent="0.25">
      <c r="A32" t="s">
        <v>126</v>
      </c>
      <c r="B32" t="s">
        <v>604</v>
      </c>
      <c r="C32">
        <v>76</v>
      </c>
      <c r="D32">
        <v>98100</v>
      </c>
      <c r="E32">
        <v>393000</v>
      </c>
      <c r="F32">
        <v>491100</v>
      </c>
      <c r="G32" t="s">
        <v>127</v>
      </c>
      <c r="H32" t="s">
        <v>91</v>
      </c>
      <c r="I32" t="b">
        <v>1</v>
      </c>
      <c r="J32" t="b">
        <v>0</v>
      </c>
      <c r="K32" t="b">
        <v>1</v>
      </c>
      <c r="L32" t="b">
        <v>0</v>
      </c>
      <c r="M32" t="b">
        <v>0</v>
      </c>
      <c r="N32">
        <v>2</v>
      </c>
      <c r="O32" t="s">
        <v>49</v>
      </c>
      <c r="P32">
        <v>52</v>
      </c>
      <c r="Q32">
        <v>14</v>
      </c>
      <c r="R32">
        <v>4</v>
      </c>
      <c r="S32">
        <v>3</v>
      </c>
      <c r="T32" t="s">
        <v>555</v>
      </c>
    </row>
    <row r="33" spans="1:20" x14ac:dyDescent="0.25">
      <c r="A33" t="s">
        <v>128</v>
      </c>
      <c r="B33" t="s">
        <v>637</v>
      </c>
      <c r="C33">
        <v>76</v>
      </c>
      <c r="D33">
        <v>32181</v>
      </c>
      <c r="E33">
        <v>28696</v>
      </c>
      <c r="F33">
        <v>60877</v>
      </c>
      <c r="G33" t="s">
        <v>129</v>
      </c>
      <c r="H33" t="s">
        <v>130</v>
      </c>
      <c r="I33" t="b">
        <v>1</v>
      </c>
      <c r="J33" t="b">
        <v>0</v>
      </c>
      <c r="K33" t="b">
        <v>1</v>
      </c>
      <c r="L33" t="b">
        <v>0</v>
      </c>
      <c r="M33" t="b">
        <v>0</v>
      </c>
      <c r="N33">
        <v>1</v>
      </c>
      <c r="O33" t="s">
        <v>49</v>
      </c>
      <c r="P33">
        <v>52</v>
      </c>
      <c r="Q33">
        <v>11</v>
      </c>
      <c r="R33">
        <v>5</v>
      </c>
      <c r="S33">
        <v>3</v>
      </c>
      <c r="T33" t="s">
        <v>555</v>
      </c>
    </row>
    <row r="34" spans="1:20" x14ac:dyDescent="0.25">
      <c r="A34" t="s">
        <v>131</v>
      </c>
      <c r="B34" t="s">
        <v>591</v>
      </c>
      <c r="C34">
        <v>76</v>
      </c>
      <c r="D34">
        <v>139355</v>
      </c>
      <c r="E34">
        <v>128880</v>
      </c>
      <c r="F34">
        <v>268235</v>
      </c>
      <c r="G34" t="s">
        <v>132</v>
      </c>
      <c r="H34" t="s">
        <v>133</v>
      </c>
      <c r="I34" t="b">
        <v>1</v>
      </c>
      <c r="J34" t="b">
        <v>0</v>
      </c>
      <c r="K34" t="b">
        <v>1</v>
      </c>
      <c r="L34" t="b">
        <v>1</v>
      </c>
      <c r="M34" t="b">
        <v>0</v>
      </c>
      <c r="N34">
        <v>2</v>
      </c>
      <c r="O34" t="s">
        <v>49</v>
      </c>
      <c r="P34">
        <v>52</v>
      </c>
      <c r="Q34">
        <v>9</v>
      </c>
      <c r="R34">
        <v>0</v>
      </c>
      <c r="S34">
        <v>5</v>
      </c>
      <c r="T34" t="s">
        <v>555</v>
      </c>
    </row>
    <row r="35" spans="1:20" x14ac:dyDescent="0.25">
      <c r="A35" t="s">
        <v>134</v>
      </c>
      <c r="B35" t="s">
        <v>618</v>
      </c>
      <c r="C35">
        <v>76</v>
      </c>
      <c r="D35">
        <v>304181</v>
      </c>
      <c r="E35">
        <v>130721</v>
      </c>
      <c r="F35">
        <v>434902</v>
      </c>
      <c r="G35" t="s">
        <v>135</v>
      </c>
      <c r="H35" t="s">
        <v>136</v>
      </c>
      <c r="I35" t="b">
        <v>1</v>
      </c>
      <c r="J35" t="b">
        <v>0</v>
      </c>
      <c r="K35" t="b">
        <v>0</v>
      </c>
      <c r="L35" t="b">
        <v>1</v>
      </c>
      <c r="M35" t="b">
        <v>0</v>
      </c>
      <c r="N35">
        <v>2</v>
      </c>
      <c r="O35" t="s">
        <v>49</v>
      </c>
      <c r="P35">
        <v>51</v>
      </c>
      <c r="Q35">
        <v>7</v>
      </c>
      <c r="R35">
        <v>5</v>
      </c>
      <c r="S35">
        <v>5</v>
      </c>
      <c r="T35" t="s">
        <v>555</v>
      </c>
    </row>
    <row r="36" spans="1:20" x14ac:dyDescent="0.25">
      <c r="A36" t="s">
        <v>137</v>
      </c>
      <c r="B36" t="s">
        <v>636</v>
      </c>
      <c r="C36">
        <v>76</v>
      </c>
      <c r="D36">
        <v>443511</v>
      </c>
      <c r="E36">
        <v>546350</v>
      </c>
      <c r="F36">
        <v>989861</v>
      </c>
      <c r="G36" t="s">
        <v>138</v>
      </c>
      <c r="H36" t="s">
        <v>139</v>
      </c>
      <c r="I36" t="b">
        <v>1</v>
      </c>
      <c r="J36" t="b">
        <v>1</v>
      </c>
      <c r="K36" t="b">
        <v>1</v>
      </c>
      <c r="L36" t="b">
        <v>1</v>
      </c>
      <c r="M36" t="b">
        <v>0</v>
      </c>
      <c r="N36">
        <v>3</v>
      </c>
      <c r="O36" t="s">
        <v>49</v>
      </c>
      <c r="P36">
        <v>50</v>
      </c>
      <c r="Q36">
        <v>12</v>
      </c>
      <c r="R36">
        <v>1</v>
      </c>
      <c r="S36">
        <v>5</v>
      </c>
      <c r="T36" t="s">
        <v>555</v>
      </c>
    </row>
    <row r="37" spans="1:20" x14ac:dyDescent="0.25">
      <c r="A37" t="s">
        <v>140</v>
      </c>
      <c r="B37" t="s">
        <v>141</v>
      </c>
      <c r="C37">
        <v>76</v>
      </c>
      <c r="D37">
        <v>1300000</v>
      </c>
      <c r="E37">
        <v>1513500</v>
      </c>
      <c r="F37">
        <v>2813500</v>
      </c>
      <c r="G37" t="s">
        <v>96</v>
      </c>
      <c r="H37" t="s">
        <v>142</v>
      </c>
      <c r="I37" t="b">
        <v>1</v>
      </c>
      <c r="J37" t="b">
        <v>1</v>
      </c>
      <c r="K37" t="b">
        <v>1</v>
      </c>
      <c r="L37" t="b">
        <v>1</v>
      </c>
      <c r="M37" t="b">
        <v>0</v>
      </c>
      <c r="N37">
        <v>3</v>
      </c>
      <c r="O37" t="s">
        <v>49</v>
      </c>
      <c r="P37">
        <v>48</v>
      </c>
      <c r="Q37">
        <v>10</v>
      </c>
      <c r="R37">
        <v>5</v>
      </c>
      <c r="S37">
        <v>5</v>
      </c>
      <c r="T37" t="s">
        <v>555</v>
      </c>
    </row>
    <row r="38" spans="1:20" x14ac:dyDescent="0.25">
      <c r="A38" t="s">
        <v>143</v>
      </c>
      <c r="B38" t="s">
        <v>623</v>
      </c>
      <c r="C38">
        <v>76</v>
      </c>
      <c r="D38">
        <v>592414</v>
      </c>
      <c r="E38">
        <v>1777241</v>
      </c>
      <c r="F38">
        <v>2369655</v>
      </c>
      <c r="G38" t="s">
        <v>144</v>
      </c>
      <c r="H38" t="s">
        <v>145</v>
      </c>
      <c r="I38" t="b">
        <v>1</v>
      </c>
      <c r="J38" t="b">
        <v>0</v>
      </c>
      <c r="K38" t="b">
        <v>1</v>
      </c>
      <c r="L38" t="b">
        <v>0</v>
      </c>
      <c r="M38" t="b">
        <v>0</v>
      </c>
      <c r="N38">
        <v>1</v>
      </c>
      <c r="O38" t="s">
        <v>49</v>
      </c>
      <c r="P38">
        <v>47</v>
      </c>
      <c r="Q38">
        <v>14</v>
      </c>
      <c r="R38">
        <v>5</v>
      </c>
      <c r="S38">
        <v>5</v>
      </c>
      <c r="T38" t="s">
        <v>555</v>
      </c>
    </row>
    <row r="39" spans="1:20" x14ac:dyDescent="0.25">
      <c r="A39" t="s">
        <v>146</v>
      </c>
      <c r="B39" t="s">
        <v>622</v>
      </c>
      <c r="C39">
        <v>76</v>
      </c>
      <c r="D39">
        <v>200000</v>
      </c>
      <c r="E39">
        <v>398000</v>
      </c>
      <c r="F39">
        <v>598000</v>
      </c>
      <c r="G39" t="s">
        <v>90</v>
      </c>
      <c r="H39" t="s">
        <v>147</v>
      </c>
      <c r="I39" t="b">
        <v>1</v>
      </c>
      <c r="J39" t="b">
        <v>0</v>
      </c>
      <c r="K39" t="b">
        <v>1</v>
      </c>
      <c r="L39" t="b">
        <v>0</v>
      </c>
      <c r="M39" t="b">
        <v>0</v>
      </c>
      <c r="N39">
        <v>1</v>
      </c>
      <c r="O39" t="s">
        <v>49</v>
      </c>
      <c r="P39">
        <v>47</v>
      </c>
      <c r="Q39">
        <v>13</v>
      </c>
      <c r="R39">
        <v>5</v>
      </c>
      <c r="S39">
        <v>5</v>
      </c>
      <c r="T39" t="s">
        <v>556</v>
      </c>
    </row>
    <row r="40" spans="1:20" x14ac:dyDescent="0.25">
      <c r="A40" t="s">
        <v>174</v>
      </c>
      <c r="B40" t="s">
        <v>175</v>
      </c>
      <c r="C40">
        <v>76</v>
      </c>
      <c r="D40">
        <v>123250</v>
      </c>
      <c r="E40">
        <v>145750</v>
      </c>
      <c r="F40">
        <v>269000</v>
      </c>
      <c r="G40" t="s">
        <v>176</v>
      </c>
      <c r="H40" t="s">
        <v>177</v>
      </c>
      <c r="I40" t="b">
        <v>1</v>
      </c>
      <c r="J40" t="b">
        <v>1</v>
      </c>
      <c r="K40" t="b">
        <v>0</v>
      </c>
      <c r="L40" t="b">
        <v>1</v>
      </c>
      <c r="M40" t="b">
        <v>0</v>
      </c>
      <c r="N40">
        <v>2</v>
      </c>
      <c r="O40" t="s">
        <v>49</v>
      </c>
      <c r="P40">
        <v>46</v>
      </c>
      <c r="Q40">
        <v>12</v>
      </c>
      <c r="R40">
        <v>5</v>
      </c>
      <c r="S40">
        <v>5</v>
      </c>
      <c r="T40" t="s">
        <v>555</v>
      </c>
    </row>
    <row r="41" spans="1:20" x14ac:dyDescent="0.25">
      <c r="A41" t="s">
        <v>148</v>
      </c>
      <c r="B41" t="s">
        <v>646</v>
      </c>
      <c r="C41">
        <v>75</v>
      </c>
      <c r="D41">
        <v>65403</v>
      </c>
      <c r="E41">
        <v>68500</v>
      </c>
      <c r="F41">
        <v>133903</v>
      </c>
      <c r="G41" t="s">
        <v>144</v>
      </c>
      <c r="H41" t="s">
        <v>149</v>
      </c>
      <c r="I41" t="b">
        <v>1</v>
      </c>
      <c r="J41" t="b">
        <v>0</v>
      </c>
      <c r="K41" t="b">
        <v>1</v>
      </c>
      <c r="L41" t="b">
        <v>0</v>
      </c>
      <c r="M41" t="b">
        <v>0</v>
      </c>
      <c r="N41">
        <v>1</v>
      </c>
      <c r="O41" t="s">
        <v>49</v>
      </c>
      <c r="P41">
        <v>52</v>
      </c>
      <c r="Q41">
        <v>12</v>
      </c>
      <c r="R41">
        <v>0</v>
      </c>
      <c r="S41">
        <v>3</v>
      </c>
      <c r="T41" t="s">
        <v>555</v>
      </c>
    </row>
    <row r="42" spans="1:20" x14ac:dyDescent="0.25">
      <c r="A42" t="s">
        <v>150</v>
      </c>
      <c r="B42" t="s">
        <v>611</v>
      </c>
      <c r="C42">
        <v>75</v>
      </c>
      <c r="D42">
        <v>925125</v>
      </c>
      <c r="E42">
        <v>1057860</v>
      </c>
      <c r="F42">
        <v>1982985</v>
      </c>
      <c r="G42" t="s">
        <v>151</v>
      </c>
      <c r="H42" t="s">
        <v>152</v>
      </c>
      <c r="I42" t="b">
        <v>1</v>
      </c>
      <c r="J42" t="b">
        <v>0</v>
      </c>
      <c r="K42" t="b">
        <v>1</v>
      </c>
      <c r="L42" t="b">
        <v>0</v>
      </c>
      <c r="M42" t="b">
        <v>0</v>
      </c>
      <c r="N42">
        <v>3</v>
      </c>
      <c r="O42" t="s">
        <v>49</v>
      </c>
      <c r="P42">
        <v>52</v>
      </c>
      <c r="Q42">
        <v>11</v>
      </c>
      <c r="R42">
        <v>1</v>
      </c>
      <c r="S42">
        <v>5</v>
      </c>
      <c r="T42" t="s">
        <v>556</v>
      </c>
    </row>
    <row r="43" spans="1:20" x14ac:dyDescent="0.25">
      <c r="A43" t="s">
        <v>153</v>
      </c>
      <c r="B43" t="s">
        <v>620</v>
      </c>
      <c r="C43">
        <v>75</v>
      </c>
      <c r="D43">
        <v>1200000</v>
      </c>
      <c r="E43">
        <v>930000</v>
      </c>
      <c r="F43">
        <v>2130000</v>
      </c>
      <c r="G43" t="s">
        <v>118</v>
      </c>
      <c r="H43" t="s">
        <v>154</v>
      </c>
      <c r="I43" t="b">
        <v>1</v>
      </c>
      <c r="J43" t="b">
        <v>0</v>
      </c>
      <c r="K43" t="b">
        <v>1</v>
      </c>
      <c r="L43" t="b">
        <v>0</v>
      </c>
      <c r="M43" t="b">
        <v>0</v>
      </c>
      <c r="N43">
        <v>2</v>
      </c>
      <c r="O43" t="s">
        <v>49</v>
      </c>
      <c r="P43">
        <v>52</v>
      </c>
      <c r="Q43">
        <v>9</v>
      </c>
      <c r="R43">
        <v>4</v>
      </c>
      <c r="S43">
        <v>5</v>
      </c>
      <c r="T43" t="s">
        <v>556</v>
      </c>
    </row>
    <row r="44" spans="1:20" x14ac:dyDescent="0.25">
      <c r="A44" t="s">
        <v>155</v>
      </c>
      <c r="B44" t="s">
        <v>612</v>
      </c>
      <c r="C44">
        <v>75</v>
      </c>
      <c r="D44">
        <v>1281865</v>
      </c>
      <c r="E44">
        <v>2895460</v>
      </c>
      <c r="F44">
        <v>4177325</v>
      </c>
      <c r="G44" t="s">
        <v>151</v>
      </c>
      <c r="H44" t="s">
        <v>156</v>
      </c>
      <c r="I44" t="b">
        <v>1</v>
      </c>
      <c r="J44" t="b">
        <v>0</v>
      </c>
      <c r="K44" t="b">
        <v>1</v>
      </c>
      <c r="L44" t="b">
        <v>0</v>
      </c>
      <c r="M44" t="b">
        <v>0</v>
      </c>
      <c r="N44">
        <v>3</v>
      </c>
      <c r="O44" t="s">
        <v>49</v>
      </c>
      <c r="P44">
        <v>47</v>
      </c>
      <c r="Q44">
        <v>14</v>
      </c>
      <c r="R44">
        <v>1</v>
      </c>
      <c r="S44">
        <v>5</v>
      </c>
      <c r="T44" t="s">
        <v>556</v>
      </c>
    </row>
    <row r="45" spans="1:20" x14ac:dyDescent="0.25">
      <c r="A45" t="s">
        <v>157</v>
      </c>
      <c r="B45" t="s">
        <v>644</v>
      </c>
      <c r="C45">
        <v>75</v>
      </c>
      <c r="D45">
        <v>314754</v>
      </c>
      <c r="E45">
        <v>450000</v>
      </c>
      <c r="F45">
        <v>764754</v>
      </c>
      <c r="G45" t="s">
        <v>158</v>
      </c>
      <c r="H45" t="s">
        <v>159</v>
      </c>
      <c r="I45" t="b">
        <v>1</v>
      </c>
      <c r="J45" t="b">
        <v>0</v>
      </c>
      <c r="K45" t="b">
        <v>1</v>
      </c>
      <c r="L45" t="b">
        <v>0</v>
      </c>
      <c r="M45" t="b">
        <v>0</v>
      </c>
      <c r="N45">
        <v>2</v>
      </c>
      <c r="O45" t="s">
        <v>49</v>
      </c>
      <c r="P45">
        <v>47</v>
      </c>
      <c r="Q45">
        <v>13</v>
      </c>
      <c r="R45">
        <v>2</v>
      </c>
      <c r="S45">
        <v>5</v>
      </c>
      <c r="T45" t="s">
        <v>555</v>
      </c>
    </row>
    <row r="46" spans="1:20" x14ac:dyDescent="0.25">
      <c r="A46" t="s">
        <v>160</v>
      </c>
      <c r="B46" t="s">
        <v>641</v>
      </c>
      <c r="C46">
        <v>75</v>
      </c>
      <c r="D46">
        <v>387860</v>
      </c>
      <c r="E46">
        <v>405800</v>
      </c>
      <c r="F46">
        <v>793660</v>
      </c>
      <c r="G46" t="s">
        <v>14</v>
      </c>
      <c r="H46" t="s">
        <v>161</v>
      </c>
      <c r="I46" t="b">
        <v>1</v>
      </c>
      <c r="J46" t="b">
        <v>0</v>
      </c>
      <c r="K46" t="b">
        <v>1</v>
      </c>
      <c r="L46" t="b">
        <v>0</v>
      </c>
      <c r="M46" t="b">
        <v>1</v>
      </c>
      <c r="N46">
        <v>2</v>
      </c>
      <c r="O46" t="s">
        <v>49</v>
      </c>
      <c r="P46">
        <v>47</v>
      </c>
      <c r="Q46">
        <v>10</v>
      </c>
      <c r="R46">
        <v>5</v>
      </c>
      <c r="S46">
        <v>3</v>
      </c>
      <c r="T46" t="s">
        <v>555</v>
      </c>
    </row>
    <row r="47" spans="1:20" x14ac:dyDescent="0.25">
      <c r="A47" t="s">
        <v>162</v>
      </c>
      <c r="B47" t="s">
        <v>640</v>
      </c>
      <c r="C47">
        <v>75</v>
      </c>
      <c r="D47">
        <v>215452</v>
      </c>
      <c r="E47">
        <v>223628</v>
      </c>
      <c r="F47">
        <v>439080</v>
      </c>
      <c r="G47" t="s">
        <v>163</v>
      </c>
      <c r="H47" t="s">
        <v>164</v>
      </c>
      <c r="I47" t="b">
        <v>1</v>
      </c>
      <c r="J47" t="b">
        <v>0</v>
      </c>
      <c r="K47" t="b">
        <v>1</v>
      </c>
      <c r="L47" t="b">
        <v>0</v>
      </c>
      <c r="M47" t="b">
        <v>0</v>
      </c>
      <c r="N47">
        <v>2</v>
      </c>
      <c r="O47" t="s">
        <v>49</v>
      </c>
      <c r="P47">
        <v>45</v>
      </c>
      <c r="Q47">
        <v>12</v>
      </c>
      <c r="R47">
        <v>5</v>
      </c>
      <c r="S47">
        <v>5</v>
      </c>
      <c r="T47" t="s">
        <v>555</v>
      </c>
    </row>
    <row r="48" spans="1:20" x14ac:dyDescent="0.25">
      <c r="A48" t="s">
        <v>165</v>
      </c>
      <c r="B48" t="s">
        <v>643</v>
      </c>
      <c r="C48">
        <v>74</v>
      </c>
      <c r="D48">
        <v>210391</v>
      </c>
      <c r="E48">
        <v>198788</v>
      </c>
      <c r="F48">
        <v>409179</v>
      </c>
      <c r="G48" t="s">
        <v>166</v>
      </c>
      <c r="H48" t="s">
        <v>167</v>
      </c>
      <c r="I48" t="b">
        <v>1</v>
      </c>
      <c r="J48" t="b">
        <v>0</v>
      </c>
      <c r="K48" t="b">
        <v>1</v>
      </c>
      <c r="L48" t="b">
        <v>0</v>
      </c>
      <c r="M48" t="b">
        <v>0</v>
      </c>
      <c r="N48">
        <v>3</v>
      </c>
      <c r="O48" t="s">
        <v>49</v>
      </c>
      <c r="P48">
        <v>52</v>
      </c>
      <c r="Q48">
        <v>9</v>
      </c>
      <c r="R48">
        <v>0</v>
      </c>
      <c r="S48">
        <v>5</v>
      </c>
      <c r="T48" t="s">
        <v>555</v>
      </c>
    </row>
    <row r="49" spans="1:20" x14ac:dyDescent="0.25">
      <c r="A49" t="s">
        <v>168</v>
      </c>
      <c r="B49" t="s">
        <v>607</v>
      </c>
      <c r="C49">
        <v>74</v>
      </c>
      <c r="D49">
        <v>60189</v>
      </c>
      <c r="E49">
        <v>36000</v>
      </c>
      <c r="F49">
        <v>96189</v>
      </c>
      <c r="G49" t="s">
        <v>169</v>
      </c>
      <c r="H49" t="s">
        <v>170</v>
      </c>
      <c r="I49" t="b">
        <v>1</v>
      </c>
      <c r="J49" t="b">
        <v>0</v>
      </c>
      <c r="K49" t="b">
        <v>0</v>
      </c>
      <c r="L49" t="b">
        <v>0</v>
      </c>
      <c r="M49" t="b">
        <v>0</v>
      </c>
      <c r="N49">
        <v>2</v>
      </c>
      <c r="O49" t="s">
        <v>49</v>
      </c>
      <c r="P49">
        <v>51</v>
      </c>
      <c r="Q49">
        <v>9</v>
      </c>
      <c r="R49">
        <v>5</v>
      </c>
      <c r="S49">
        <v>3</v>
      </c>
      <c r="T49" t="s">
        <v>555</v>
      </c>
    </row>
    <row r="50" spans="1:20" x14ac:dyDescent="0.25">
      <c r="A50" t="s">
        <v>171</v>
      </c>
      <c r="B50" t="s">
        <v>638</v>
      </c>
      <c r="C50">
        <v>74</v>
      </c>
      <c r="D50">
        <v>707142</v>
      </c>
      <c r="E50">
        <v>693885</v>
      </c>
      <c r="F50">
        <v>1401027</v>
      </c>
      <c r="G50" t="s">
        <v>172</v>
      </c>
      <c r="H50" t="s">
        <v>173</v>
      </c>
      <c r="I50" t="b">
        <v>1</v>
      </c>
      <c r="J50" t="b">
        <v>0</v>
      </c>
      <c r="K50" t="b">
        <v>1</v>
      </c>
      <c r="L50" t="b">
        <v>0</v>
      </c>
      <c r="M50" t="b">
        <v>0</v>
      </c>
      <c r="N50">
        <v>1</v>
      </c>
      <c r="O50" t="s">
        <v>49</v>
      </c>
      <c r="P50">
        <v>47</v>
      </c>
      <c r="Q50">
        <v>11</v>
      </c>
      <c r="R50">
        <v>5</v>
      </c>
      <c r="S50">
        <v>3</v>
      </c>
      <c r="T50" t="s">
        <v>555</v>
      </c>
    </row>
    <row r="51" spans="1:20" x14ac:dyDescent="0.25">
      <c r="A51" t="s">
        <v>178</v>
      </c>
      <c r="B51" t="s">
        <v>614</v>
      </c>
      <c r="C51">
        <v>74</v>
      </c>
      <c r="D51">
        <v>1936211</v>
      </c>
      <c r="E51">
        <v>2018500</v>
      </c>
      <c r="F51">
        <v>4028711</v>
      </c>
      <c r="G51" t="s">
        <v>51</v>
      </c>
      <c r="H51" t="s">
        <v>248</v>
      </c>
      <c r="I51" t="b">
        <v>1</v>
      </c>
      <c r="J51" t="b">
        <v>0</v>
      </c>
      <c r="K51" t="b">
        <v>1</v>
      </c>
      <c r="L51" t="b">
        <v>0</v>
      </c>
      <c r="M51" t="b">
        <v>1</v>
      </c>
      <c r="N51">
        <v>3</v>
      </c>
      <c r="O51" t="s">
        <v>49</v>
      </c>
      <c r="P51">
        <v>46</v>
      </c>
      <c r="Q51">
        <v>10</v>
      </c>
      <c r="R51">
        <v>0</v>
      </c>
      <c r="S51">
        <v>5</v>
      </c>
      <c r="T51" t="s">
        <v>555</v>
      </c>
    </row>
    <row r="52" spans="1:20" x14ac:dyDescent="0.25">
      <c r="A52" t="s">
        <v>179</v>
      </c>
      <c r="B52" t="s">
        <v>577</v>
      </c>
      <c r="C52">
        <v>74</v>
      </c>
      <c r="D52">
        <v>513171</v>
      </c>
      <c r="E52">
        <v>437500</v>
      </c>
      <c r="F52">
        <v>950671</v>
      </c>
      <c r="G52" t="s">
        <v>90</v>
      </c>
      <c r="H52" t="s">
        <v>180</v>
      </c>
      <c r="I52" t="b">
        <v>1</v>
      </c>
      <c r="J52" t="b">
        <v>0</v>
      </c>
      <c r="K52" t="b">
        <v>1</v>
      </c>
      <c r="L52" t="b">
        <v>0</v>
      </c>
      <c r="M52" t="b">
        <v>0</v>
      </c>
      <c r="N52">
        <v>1</v>
      </c>
      <c r="O52" t="s">
        <v>49</v>
      </c>
      <c r="P52">
        <v>45</v>
      </c>
      <c r="Q52">
        <v>11</v>
      </c>
      <c r="R52">
        <v>5</v>
      </c>
      <c r="S52">
        <v>5</v>
      </c>
      <c r="T52" t="s">
        <v>556</v>
      </c>
    </row>
    <row r="53" spans="1:20" x14ac:dyDescent="0.25">
      <c r="A53" t="s">
        <v>181</v>
      </c>
      <c r="B53" t="s">
        <v>584</v>
      </c>
      <c r="C53">
        <v>74</v>
      </c>
      <c r="D53">
        <v>332355</v>
      </c>
      <c r="E53">
        <v>824000</v>
      </c>
      <c r="F53">
        <v>1156355</v>
      </c>
      <c r="G53" t="s">
        <v>182</v>
      </c>
      <c r="H53" t="s">
        <v>183</v>
      </c>
      <c r="I53" t="b">
        <v>1</v>
      </c>
      <c r="J53" t="b">
        <v>0</v>
      </c>
      <c r="K53" t="b">
        <v>1</v>
      </c>
      <c r="L53" t="b">
        <v>0</v>
      </c>
      <c r="M53" t="b">
        <v>0</v>
      </c>
      <c r="N53">
        <v>2</v>
      </c>
      <c r="O53" t="s">
        <v>49</v>
      </c>
      <c r="P53">
        <v>42</v>
      </c>
      <c r="Q53">
        <v>16</v>
      </c>
      <c r="R53">
        <v>5</v>
      </c>
      <c r="S53">
        <v>5</v>
      </c>
      <c r="T53" t="s">
        <v>556</v>
      </c>
    </row>
    <row r="54" spans="1:20" x14ac:dyDescent="0.25">
      <c r="A54" t="s">
        <v>184</v>
      </c>
      <c r="B54" t="s">
        <v>590</v>
      </c>
      <c r="C54">
        <v>73</v>
      </c>
      <c r="D54">
        <v>396958</v>
      </c>
      <c r="E54">
        <v>228000</v>
      </c>
      <c r="F54">
        <v>624958</v>
      </c>
      <c r="G54" t="s">
        <v>77</v>
      </c>
      <c r="H54" t="s">
        <v>185</v>
      </c>
      <c r="I54" t="b">
        <v>1</v>
      </c>
      <c r="J54" t="b">
        <v>0</v>
      </c>
      <c r="K54" t="b">
        <v>1</v>
      </c>
      <c r="L54" t="b">
        <v>0</v>
      </c>
      <c r="M54" t="b">
        <v>0</v>
      </c>
      <c r="N54">
        <v>1</v>
      </c>
      <c r="O54" t="s">
        <v>49</v>
      </c>
      <c r="P54">
        <v>52</v>
      </c>
      <c r="Q54">
        <v>8</v>
      </c>
      <c r="R54">
        <v>5</v>
      </c>
      <c r="S54">
        <v>5</v>
      </c>
      <c r="T54" t="s">
        <v>556</v>
      </c>
    </row>
    <row r="55" spans="1:20" x14ac:dyDescent="0.25">
      <c r="A55" t="s">
        <v>186</v>
      </c>
      <c r="B55" t="s">
        <v>627</v>
      </c>
      <c r="C55">
        <v>73</v>
      </c>
      <c r="D55">
        <v>191701</v>
      </c>
      <c r="E55">
        <v>280000</v>
      </c>
      <c r="F55">
        <v>471701</v>
      </c>
      <c r="G55" t="s">
        <v>106</v>
      </c>
      <c r="H55" t="s">
        <v>187</v>
      </c>
      <c r="I55" t="b">
        <v>1</v>
      </c>
      <c r="J55" t="b">
        <v>0</v>
      </c>
      <c r="K55" t="b">
        <v>1</v>
      </c>
      <c r="L55" t="b">
        <v>0</v>
      </c>
      <c r="M55" t="b">
        <v>0</v>
      </c>
      <c r="N55">
        <v>3</v>
      </c>
      <c r="O55" t="s">
        <v>49</v>
      </c>
      <c r="P55">
        <v>47</v>
      </c>
      <c r="Q55">
        <v>13</v>
      </c>
      <c r="R55">
        <v>5</v>
      </c>
      <c r="S55">
        <v>3</v>
      </c>
      <c r="T55" t="s">
        <v>555</v>
      </c>
    </row>
    <row r="56" spans="1:20" x14ac:dyDescent="0.25">
      <c r="A56" t="s">
        <v>188</v>
      </c>
      <c r="B56" t="s">
        <v>189</v>
      </c>
      <c r="C56">
        <v>73</v>
      </c>
      <c r="D56">
        <v>1200000</v>
      </c>
      <c r="E56">
        <v>879900</v>
      </c>
      <c r="F56">
        <v>2079900</v>
      </c>
      <c r="G56" t="s">
        <v>135</v>
      </c>
      <c r="H56" t="s">
        <v>190</v>
      </c>
      <c r="I56" t="b">
        <v>1</v>
      </c>
      <c r="J56" t="b">
        <v>0</v>
      </c>
      <c r="K56" t="b">
        <v>1</v>
      </c>
      <c r="L56" t="b">
        <v>0</v>
      </c>
      <c r="M56" t="b">
        <v>0</v>
      </c>
      <c r="N56">
        <v>2</v>
      </c>
      <c r="O56" t="s">
        <v>49</v>
      </c>
      <c r="P56">
        <v>47</v>
      </c>
      <c r="Q56">
        <v>10</v>
      </c>
      <c r="R56">
        <v>5</v>
      </c>
      <c r="S56">
        <v>5</v>
      </c>
      <c r="T56" t="s">
        <v>555</v>
      </c>
    </row>
    <row r="57" spans="1:20" x14ac:dyDescent="0.25">
      <c r="A57" t="s">
        <v>191</v>
      </c>
      <c r="B57" t="s">
        <v>600</v>
      </c>
      <c r="C57">
        <v>73</v>
      </c>
      <c r="D57">
        <v>924566</v>
      </c>
      <c r="E57">
        <v>653344</v>
      </c>
      <c r="F57">
        <v>1577910</v>
      </c>
      <c r="G57" t="s">
        <v>192</v>
      </c>
      <c r="H57" t="s">
        <v>193</v>
      </c>
      <c r="I57" t="b">
        <v>1</v>
      </c>
      <c r="J57" t="b">
        <v>0</v>
      </c>
      <c r="K57" t="b">
        <v>1</v>
      </c>
      <c r="L57" t="b">
        <v>0</v>
      </c>
      <c r="M57" t="b">
        <v>0</v>
      </c>
      <c r="N57">
        <v>2</v>
      </c>
      <c r="O57" t="s">
        <v>49</v>
      </c>
      <c r="P57">
        <v>47</v>
      </c>
      <c r="Q57">
        <v>10</v>
      </c>
      <c r="R57">
        <v>5</v>
      </c>
      <c r="S57">
        <v>3</v>
      </c>
      <c r="T57" t="s">
        <v>555</v>
      </c>
    </row>
    <row r="58" spans="1:20" x14ac:dyDescent="0.25">
      <c r="A58" t="s">
        <v>194</v>
      </c>
      <c r="B58" t="s">
        <v>647</v>
      </c>
      <c r="C58">
        <v>72</v>
      </c>
      <c r="D58">
        <v>826925</v>
      </c>
      <c r="E58">
        <v>827250</v>
      </c>
      <c r="F58">
        <v>1654175</v>
      </c>
      <c r="G58" t="s">
        <v>66</v>
      </c>
      <c r="H58" t="s">
        <v>142</v>
      </c>
      <c r="I58" t="b">
        <v>1</v>
      </c>
      <c r="J58" t="b">
        <v>0</v>
      </c>
      <c r="K58" t="b">
        <v>1</v>
      </c>
      <c r="L58" t="b">
        <v>0</v>
      </c>
      <c r="M58" t="b">
        <v>0</v>
      </c>
      <c r="N58">
        <v>3</v>
      </c>
      <c r="O58" t="s">
        <v>49</v>
      </c>
      <c r="P58">
        <v>52</v>
      </c>
      <c r="Q58">
        <v>9</v>
      </c>
      <c r="R58">
        <v>0</v>
      </c>
      <c r="S58">
        <v>5</v>
      </c>
      <c r="T58" t="s">
        <v>555</v>
      </c>
    </row>
    <row r="59" spans="1:20" x14ac:dyDescent="0.25">
      <c r="A59" t="s">
        <v>195</v>
      </c>
      <c r="B59" t="s">
        <v>626</v>
      </c>
      <c r="C59">
        <v>72</v>
      </c>
      <c r="D59">
        <v>161936</v>
      </c>
      <c r="E59">
        <v>105000</v>
      </c>
      <c r="F59">
        <v>266936</v>
      </c>
      <c r="G59" t="s">
        <v>196</v>
      </c>
      <c r="H59" t="s">
        <v>103</v>
      </c>
      <c r="I59" t="b">
        <v>1</v>
      </c>
      <c r="J59" t="b">
        <v>0</v>
      </c>
      <c r="K59" t="b">
        <v>1</v>
      </c>
      <c r="L59" t="b">
        <v>0</v>
      </c>
      <c r="M59" t="b">
        <v>0</v>
      </c>
      <c r="N59">
        <v>2</v>
      </c>
      <c r="O59" t="s">
        <v>49</v>
      </c>
      <c r="P59">
        <v>47</v>
      </c>
      <c r="Q59">
        <v>9</v>
      </c>
      <c r="R59">
        <v>5</v>
      </c>
      <c r="S59">
        <v>3</v>
      </c>
      <c r="T59" t="s">
        <v>556</v>
      </c>
    </row>
    <row r="60" spans="1:20" x14ac:dyDescent="0.25">
      <c r="A60" t="s">
        <v>197</v>
      </c>
      <c r="B60" t="s">
        <v>635</v>
      </c>
      <c r="C60">
        <v>72</v>
      </c>
      <c r="D60">
        <v>1205000</v>
      </c>
      <c r="E60">
        <v>1877000</v>
      </c>
      <c r="F60">
        <v>3082000</v>
      </c>
      <c r="G60" t="s">
        <v>198</v>
      </c>
      <c r="H60" t="s">
        <v>199</v>
      </c>
      <c r="I60" t="b">
        <v>1</v>
      </c>
      <c r="J60" t="b">
        <v>0</v>
      </c>
      <c r="K60" t="b">
        <v>1</v>
      </c>
      <c r="L60" t="b">
        <v>0</v>
      </c>
      <c r="M60" t="b">
        <v>0</v>
      </c>
      <c r="N60">
        <v>1</v>
      </c>
      <c r="O60" t="s">
        <v>49</v>
      </c>
      <c r="P60">
        <v>45</v>
      </c>
      <c r="Q60">
        <v>14</v>
      </c>
      <c r="R60">
        <v>0</v>
      </c>
      <c r="S60">
        <v>5</v>
      </c>
      <c r="T60" t="s">
        <v>556</v>
      </c>
    </row>
    <row r="61" spans="1:20" x14ac:dyDescent="0.25">
      <c r="A61" t="s">
        <v>200</v>
      </c>
      <c r="B61" t="s">
        <v>582</v>
      </c>
      <c r="C61">
        <v>72</v>
      </c>
      <c r="D61">
        <v>128648</v>
      </c>
      <c r="E61">
        <v>393500</v>
      </c>
      <c r="F61">
        <v>522148</v>
      </c>
      <c r="G61" t="s">
        <v>118</v>
      </c>
      <c r="H61" t="s">
        <v>67</v>
      </c>
      <c r="I61" t="b">
        <v>1</v>
      </c>
      <c r="J61" t="b">
        <v>0</v>
      </c>
      <c r="K61" t="b">
        <v>1</v>
      </c>
      <c r="L61" t="b">
        <v>0</v>
      </c>
      <c r="M61" t="b">
        <v>0</v>
      </c>
      <c r="N61">
        <v>2</v>
      </c>
      <c r="O61" t="s">
        <v>49</v>
      </c>
      <c r="P61">
        <v>37</v>
      </c>
      <c r="Q61">
        <v>17</v>
      </c>
      <c r="R61">
        <v>5</v>
      </c>
      <c r="S61">
        <v>5</v>
      </c>
      <c r="T61" t="s">
        <v>556</v>
      </c>
    </row>
    <row r="62" spans="1:20" x14ac:dyDescent="0.25">
      <c r="A62" t="s">
        <v>201</v>
      </c>
      <c r="B62" t="s">
        <v>580</v>
      </c>
      <c r="C62">
        <v>71</v>
      </c>
      <c r="D62">
        <v>90932</v>
      </c>
      <c r="E62">
        <v>495200</v>
      </c>
      <c r="F62">
        <v>586132</v>
      </c>
      <c r="G62" t="s">
        <v>57</v>
      </c>
      <c r="H62" t="s">
        <v>202</v>
      </c>
      <c r="I62" t="b">
        <v>1</v>
      </c>
      <c r="J62" t="b">
        <v>0</v>
      </c>
      <c r="K62" t="b">
        <v>1</v>
      </c>
      <c r="L62" t="b">
        <v>0</v>
      </c>
      <c r="M62" t="b">
        <v>0</v>
      </c>
      <c r="N62">
        <v>3</v>
      </c>
      <c r="O62" t="s">
        <v>49</v>
      </c>
      <c r="P62">
        <v>36</v>
      </c>
      <c r="Q62">
        <v>19</v>
      </c>
      <c r="R62">
        <v>5</v>
      </c>
      <c r="S62">
        <v>3</v>
      </c>
      <c r="T62" t="s">
        <v>556</v>
      </c>
    </row>
    <row r="63" spans="1:20" x14ac:dyDescent="0.25">
      <c r="A63" t="s">
        <v>203</v>
      </c>
      <c r="B63" t="s">
        <v>592</v>
      </c>
      <c r="C63">
        <v>70</v>
      </c>
      <c r="D63">
        <v>817720</v>
      </c>
      <c r="E63">
        <v>1200859</v>
      </c>
      <c r="F63">
        <v>2018580</v>
      </c>
      <c r="G63" t="s">
        <v>132</v>
      </c>
      <c r="H63" t="s">
        <v>204</v>
      </c>
      <c r="I63" t="b">
        <v>1</v>
      </c>
      <c r="J63" t="b">
        <v>0</v>
      </c>
      <c r="K63" t="b">
        <v>1</v>
      </c>
      <c r="L63" t="b">
        <v>1</v>
      </c>
      <c r="M63" t="b">
        <v>0</v>
      </c>
      <c r="N63">
        <v>2</v>
      </c>
      <c r="O63" t="s">
        <v>49</v>
      </c>
      <c r="P63">
        <v>52</v>
      </c>
      <c r="Q63">
        <v>12</v>
      </c>
      <c r="R63">
        <v>0</v>
      </c>
      <c r="S63">
        <v>3</v>
      </c>
      <c r="T63" t="s">
        <v>555</v>
      </c>
    </row>
    <row r="64" spans="1:20" x14ac:dyDescent="0.25">
      <c r="A64" t="s">
        <v>205</v>
      </c>
      <c r="B64" t="s">
        <v>634</v>
      </c>
      <c r="C64">
        <v>70</v>
      </c>
      <c r="D64">
        <v>1205000</v>
      </c>
      <c r="E64">
        <v>1364500</v>
      </c>
      <c r="F64">
        <v>2569500</v>
      </c>
      <c r="G64" t="s">
        <v>102</v>
      </c>
      <c r="H64" t="s">
        <v>206</v>
      </c>
      <c r="I64" t="b">
        <v>1</v>
      </c>
      <c r="J64" t="b">
        <v>0</v>
      </c>
      <c r="K64" t="b">
        <v>1</v>
      </c>
      <c r="L64" t="b">
        <v>0</v>
      </c>
      <c r="M64" t="b">
        <v>0</v>
      </c>
      <c r="N64">
        <v>2</v>
      </c>
      <c r="O64" t="s">
        <v>104</v>
      </c>
      <c r="P64">
        <v>47</v>
      </c>
      <c r="Q64">
        <v>12</v>
      </c>
      <c r="R64">
        <v>2</v>
      </c>
      <c r="S64">
        <v>5</v>
      </c>
      <c r="T64" t="s">
        <v>556</v>
      </c>
    </row>
    <row r="65" spans="1:20" x14ac:dyDescent="0.25">
      <c r="A65" t="s">
        <v>207</v>
      </c>
      <c r="B65" t="s">
        <v>578</v>
      </c>
      <c r="C65">
        <v>70</v>
      </c>
      <c r="D65">
        <v>94322</v>
      </c>
      <c r="E65">
        <v>55000</v>
      </c>
      <c r="F65">
        <v>149322</v>
      </c>
      <c r="G65" t="s">
        <v>208</v>
      </c>
      <c r="H65" t="s">
        <v>209</v>
      </c>
      <c r="I65" t="b">
        <v>1</v>
      </c>
      <c r="J65" t="b">
        <v>0</v>
      </c>
      <c r="K65" t="b">
        <v>1</v>
      </c>
      <c r="L65" t="b">
        <v>0</v>
      </c>
      <c r="M65" t="b">
        <v>0</v>
      </c>
      <c r="N65">
        <v>1</v>
      </c>
      <c r="O65" t="s">
        <v>49</v>
      </c>
      <c r="P65">
        <v>45</v>
      </c>
      <c r="Q65">
        <v>9</v>
      </c>
      <c r="R65">
        <v>5</v>
      </c>
      <c r="S65">
        <v>3</v>
      </c>
      <c r="T65" t="s">
        <v>556</v>
      </c>
    </row>
    <row r="66" spans="1:20" x14ac:dyDescent="0.25">
      <c r="A66" t="s">
        <v>210</v>
      </c>
      <c r="B66" t="s">
        <v>617</v>
      </c>
      <c r="C66">
        <v>69</v>
      </c>
      <c r="D66">
        <v>312750</v>
      </c>
      <c r="E66">
        <v>912750</v>
      </c>
      <c r="F66">
        <v>1225500</v>
      </c>
      <c r="G66" t="s">
        <v>211</v>
      </c>
      <c r="H66" t="s">
        <v>212</v>
      </c>
      <c r="I66" t="b">
        <v>1</v>
      </c>
      <c r="J66" t="b">
        <v>0</v>
      </c>
      <c r="K66" t="b">
        <v>1</v>
      </c>
      <c r="L66" t="b">
        <v>0</v>
      </c>
      <c r="M66" t="b">
        <v>0</v>
      </c>
      <c r="N66">
        <v>2</v>
      </c>
      <c r="O66" t="s">
        <v>49</v>
      </c>
      <c r="P66">
        <v>47</v>
      </c>
      <c r="Q66">
        <v>14</v>
      </c>
      <c r="R66">
        <v>0</v>
      </c>
      <c r="S66">
        <v>5</v>
      </c>
      <c r="T66" t="s">
        <v>555</v>
      </c>
    </row>
    <row r="67" spans="1:20" x14ac:dyDescent="0.25">
      <c r="A67" t="s">
        <v>213</v>
      </c>
      <c r="B67" t="s">
        <v>649</v>
      </c>
      <c r="C67">
        <v>69</v>
      </c>
      <c r="D67">
        <v>95586</v>
      </c>
      <c r="E67">
        <v>41000</v>
      </c>
      <c r="F67">
        <v>136586</v>
      </c>
      <c r="G67" t="s">
        <v>106</v>
      </c>
      <c r="H67" t="s">
        <v>97</v>
      </c>
      <c r="I67" t="b">
        <v>1</v>
      </c>
      <c r="J67" t="b">
        <v>0</v>
      </c>
      <c r="K67" t="b">
        <v>1</v>
      </c>
      <c r="L67" t="b">
        <v>0</v>
      </c>
      <c r="M67" t="b">
        <v>0</v>
      </c>
      <c r="N67">
        <v>3</v>
      </c>
      <c r="O67" t="s">
        <v>49</v>
      </c>
      <c r="P67">
        <v>47</v>
      </c>
      <c r="Q67">
        <v>7</v>
      </c>
      <c r="R67">
        <v>5</v>
      </c>
      <c r="S67">
        <v>5</v>
      </c>
      <c r="T67" t="s">
        <v>555</v>
      </c>
    </row>
    <row r="68" spans="1:20" x14ac:dyDescent="0.25">
      <c r="A68" t="s">
        <v>215</v>
      </c>
      <c r="B68" t="s">
        <v>596</v>
      </c>
      <c r="C68">
        <v>68</v>
      </c>
      <c r="D68">
        <v>533000</v>
      </c>
      <c r="E68">
        <v>467450</v>
      </c>
      <c r="F68">
        <v>1000450</v>
      </c>
      <c r="G68" t="s">
        <v>216</v>
      </c>
      <c r="H68" t="s">
        <v>217</v>
      </c>
      <c r="I68" t="b">
        <v>1</v>
      </c>
      <c r="J68" t="b">
        <v>0</v>
      </c>
      <c r="K68" t="b">
        <v>1</v>
      </c>
      <c r="L68" t="b">
        <v>0</v>
      </c>
      <c r="M68" t="b">
        <v>0</v>
      </c>
      <c r="N68">
        <v>2</v>
      </c>
      <c r="O68" t="s">
        <v>49</v>
      </c>
      <c r="P68">
        <v>37</v>
      </c>
      <c r="Q68">
        <v>11</v>
      </c>
      <c r="R68">
        <v>5</v>
      </c>
      <c r="S68">
        <v>5</v>
      </c>
      <c r="T68" t="s">
        <v>556</v>
      </c>
    </row>
    <row r="69" spans="1:20" x14ac:dyDescent="0.25">
      <c r="A69" t="s">
        <v>218</v>
      </c>
      <c r="B69" t="s">
        <v>606</v>
      </c>
      <c r="C69">
        <v>66</v>
      </c>
      <c r="D69">
        <v>1040566</v>
      </c>
      <c r="E69">
        <v>1001000</v>
      </c>
      <c r="F69">
        <v>2041566</v>
      </c>
      <c r="G69" t="s">
        <v>93</v>
      </c>
      <c r="H69" t="s">
        <v>219</v>
      </c>
      <c r="I69" t="b">
        <v>1</v>
      </c>
      <c r="J69" t="b">
        <v>0</v>
      </c>
      <c r="K69" t="b">
        <v>0</v>
      </c>
      <c r="L69" t="b">
        <v>0</v>
      </c>
      <c r="M69" t="b">
        <v>0</v>
      </c>
      <c r="N69">
        <v>2</v>
      </c>
      <c r="O69" t="s">
        <v>49</v>
      </c>
      <c r="P69">
        <v>46</v>
      </c>
      <c r="Q69">
        <v>11</v>
      </c>
      <c r="R69">
        <v>0</v>
      </c>
      <c r="S69">
        <v>3</v>
      </c>
      <c r="T69" t="s">
        <v>555</v>
      </c>
    </row>
    <row r="70" spans="1:20" x14ac:dyDescent="0.25">
      <c r="A70" t="s">
        <v>221</v>
      </c>
      <c r="B70" t="s">
        <v>624</v>
      </c>
      <c r="C70">
        <v>62</v>
      </c>
      <c r="D70">
        <v>502269</v>
      </c>
      <c r="E70">
        <v>278000</v>
      </c>
      <c r="F70">
        <v>780269</v>
      </c>
      <c r="G70" t="s">
        <v>222</v>
      </c>
      <c r="H70" t="s">
        <v>223</v>
      </c>
      <c r="I70" t="b">
        <v>1</v>
      </c>
      <c r="J70" t="b">
        <v>0</v>
      </c>
      <c r="K70" t="b">
        <v>1</v>
      </c>
      <c r="L70" t="b">
        <v>0</v>
      </c>
      <c r="M70" t="b">
        <v>0</v>
      </c>
      <c r="N70">
        <v>2</v>
      </c>
      <c r="O70" t="s">
        <v>49</v>
      </c>
      <c r="P70">
        <v>36</v>
      </c>
      <c r="Q70">
        <v>8</v>
      </c>
      <c r="R70">
        <v>5</v>
      </c>
      <c r="S70">
        <v>5</v>
      </c>
      <c r="T70" t="s">
        <v>556</v>
      </c>
    </row>
    <row r="71" spans="1:20" x14ac:dyDescent="0.25">
      <c r="A71" t="s">
        <v>224</v>
      </c>
      <c r="B71" t="s">
        <v>648</v>
      </c>
      <c r="C71">
        <v>60</v>
      </c>
      <c r="D71">
        <v>53843</v>
      </c>
      <c r="E71">
        <v>87000</v>
      </c>
      <c r="F71">
        <v>140843</v>
      </c>
      <c r="G71" t="s">
        <v>66</v>
      </c>
      <c r="H71" t="s">
        <v>225</v>
      </c>
      <c r="I71" t="b">
        <v>1</v>
      </c>
      <c r="J71" t="b">
        <v>0</v>
      </c>
      <c r="K71" t="b">
        <v>1</v>
      </c>
      <c r="L71" t="b">
        <v>0</v>
      </c>
      <c r="M71" t="b">
        <v>0</v>
      </c>
      <c r="N71">
        <v>3</v>
      </c>
      <c r="O71" t="s">
        <v>49</v>
      </c>
      <c r="P71">
        <v>37</v>
      </c>
      <c r="Q71">
        <v>12</v>
      </c>
      <c r="R71">
        <v>0</v>
      </c>
      <c r="S71">
        <v>5</v>
      </c>
      <c r="T71" t="s">
        <v>555</v>
      </c>
    </row>
    <row r="72" spans="1:20" x14ac:dyDescent="0.25">
      <c r="A72" t="s">
        <v>226</v>
      </c>
      <c r="B72" t="s">
        <v>621</v>
      </c>
      <c r="C72">
        <v>58</v>
      </c>
      <c r="D72">
        <v>1125000</v>
      </c>
      <c r="E72">
        <v>719998</v>
      </c>
      <c r="F72">
        <v>1844998</v>
      </c>
      <c r="G72" t="s">
        <v>227</v>
      </c>
      <c r="H72" t="s">
        <v>204</v>
      </c>
      <c r="I72" t="b">
        <v>1</v>
      </c>
      <c r="J72" t="b">
        <v>0</v>
      </c>
      <c r="K72" t="b">
        <v>1</v>
      </c>
      <c r="L72" t="b">
        <v>0</v>
      </c>
      <c r="M72" t="b">
        <v>0</v>
      </c>
      <c r="N72">
        <v>2</v>
      </c>
      <c r="O72" t="s">
        <v>49</v>
      </c>
      <c r="P72">
        <v>37</v>
      </c>
      <c r="Q72">
        <v>9</v>
      </c>
      <c r="R72">
        <v>1</v>
      </c>
      <c r="S72">
        <v>5</v>
      </c>
      <c r="T72" t="s">
        <v>556</v>
      </c>
    </row>
    <row r="73" spans="1:20" x14ac:dyDescent="0.25">
      <c r="A73" t="s">
        <v>228</v>
      </c>
      <c r="B73" t="s">
        <v>229</v>
      </c>
      <c r="C73">
        <v>57</v>
      </c>
      <c r="D73">
        <v>350000</v>
      </c>
      <c r="E73">
        <v>432007</v>
      </c>
      <c r="F73">
        <v>782007</v>
      </c>
      <c r="G73" t="s">
        <v>230</v>
      </c>
      <c r="H73" t="s">
        <v>75</v>
      </c>
      <c r="I73" t="b">
        <v>1</v>
      </c>
      <c r="J73" t="b">
        <v>1</v>
      </c>
      <c r="K73" t="b">
        <v>0</v>
      </c>
      <c r="L73" t="b">
        <v>1</v>
      </c>
      <c r="M73" t="b">
        <v>0</v>
      </c>
      <c r="N73">
        <v>1</v>
      </c>
      <c r="O73" t="s">
        <v>104</v>
      </c>
      <c r="P73">
        <v>43</v>
      </c>
      <c r="Q73">
        <v>8</v>
      </c>
      <c r="R73">
        <v>0</v>
      </c>
      <c r="S73">
        <v>5</v>
      </c>
      <c r="T73" t="s">
        <v>555</v>
      </c>
    </row>
    <row r="74" spans="1:20" x14ac:dyDescent="0.25">
      <c r="A74" t="s">
        <v>231</v>
      </c>
      <c r="B74" t="s">
        <v>603</v>
      </c>
      <c r="C74">
        <v>54</v>
      </c>
      <c r="D74">
        <v>250903</v>
      </c>
      <c r="E74">
        <v>76500</v>
      </c>
      <c r="F74">
        <v>327403</v>
      </c>
      <c r="G74" t="s">
        <v>192</v>
      </c>
      <c r="H74" t="s">
        <v>232</v>
      </c>
      <c r="I74" t="b">
        <v>1</v>
      </c>
      <c r="J74" t="b">
        <v>0</v>
      </c>
      <c r="K74" t="b">
        <v>1</v>
      </c>
      <c r="L74" t="b">
        <v>0</v>
      </c>
      <c r="M74" t="b">
        <v>0</v>
      </c>
      <c r="N74">
        <v>2</v>
      </c>
      <c r="O74" t="s">
        <v>49</v>
      </c>
      <c r="P74">
        <v>37</v>
      </c>
      <c r="Q74">
        <v>6</v>
      </c>
      <c r="R74">
        <v>0</v>
      </c>
      <c r="S74">
        <v>5</v>
      </c>
      <c r="T74" t="s">
        <v>555</v>
      </c>
    </row>
    <row r="75" spans="1:20" x14ac:dyDescent="0.25">
      <c r="A75" t="s">
        <v>233</v>
      </c>
      <c r="B75" t="s">
        <v>633</v>
      </c>
      <c r="C75">
        <v>47</v>
      </c>
      <c r="D75">
        <v>975000</v>
      </c>
      <c r="E75">
        <v>435000</v>
      </c>
      <c r="F75">
        <v>1410000</v>
      </c>
      <c r="G75" t="s">
        <v>227</v>
      </c>
      <c r="H75" t="s">
        <v>234</v>
      </c>
      <c r="I75" t="b">
        <v>1</v>
      </c>
      <c r="J75" t="b">
        <v>0</v>
      </c>
      <c r="K75" t="b">
        <v>1</v>
      </c>
      <c r="L75" t="b">
        <v>0</v>
      </c>
      <c r="M75" t="b">
        <v>0</v>
      </c>
      <c r="N75">
        <v>2</v>
      </c>
      <c r="O75" t="s">
        <v>49</v>
      </c>
      <c r="P75">
        <v>31</v>
      </c>
      <c r="Q75">
        <v>7</v>
      </c>
      <c r="R75">
        <v>0</v>
      </c>
      <c r="S75">
        <v>5</v>
      </c>
      <c r="T75" t="s">
        <v>556</v>
      </c>
    </row>
    <row r="76" spans="1:20" x14ac:dyDescent="0.25">
      <c r="A76" t="s">
        <v>235</v>
      </c>
      <c r="B76" t="s">
        <v>602</v>
      </c>
      <c r="C76">
        <v>42</v>
      </c>
      <c r="D76">
        <v>269004</v>
      </c>
      <c r="E76">
        <v>252400</v>
      </c>
      <c r="F76">
        <v>521404</v>
      </c>
      <c r="G76" t="s">
        <v>236</v>
      </c>
      <c r="H76" t="s">
        <v>237</v>
      </c>
      <c r="I76" t="b">
        <v>1</v>
      </c>
      <c r="J76" t="b">
        <v>0</v>
      </c>
      <c r="K76" t="b">
        <v>1</v>
      </c>
      <c r="L76" t="b">
        <v>0</v>
      </c>
      <c r="M76" t="b">
        <v>0</v>
      </c>
      <c r="N76">
        <v>1</v>
      </c>
      <c r="O76" t="s">
        <v>49</v>
      </c>
      <c r="P76">
        <v>20</v>
      </c>
      <c r="Q76">
        <v>11</v>
      </c>
      <c r="R76">
        <v>0</v>
      </c>
      <c r="S76">
        <v>5</v>
      </c>
      <c r="T76" t="s">
        <v>555</v>
      </c>
    </row>
    <row r="77" spans="1:20" x14ac:dyDescent="0.25">
      <c r="A77" t="s">
        <v>238</v>
      </c>
      <c r="B77" t="s">
        <v>690</v>
      </c>
      <c r="E77">
        <v>523200</v>
      </c>
      <c r="I77" t="b">
        <v>0</v>
      </c>
      <c r="J77" t="b">
        <v>0</v>
      </c>
      <c r="K77" t="b">
        <v>0</v>
      </c>
      <c r="L77" t="b">
        <v>0</v>
      </c>
      <c r="M77" t="b">
        <v>0</v>
      </c>
      <c r="P77">
        <v>0</v>
      </c>
      <c r="R77">
        <v>0</v>
      </c>
      <c r="S77">
        <v>0</v>
      </c>
      <c r="T77" t="s">
        <v>556</v>
      </c>
    </row>
    <row r="78" spans="1:20" x14ac:dyDescent="0.25">
      <c r="A78" t="s">
        <v>239</v>
      </c>
      <c r="B78" t="s">
        <v>240</v>
      </c>
      <c r="E78">
        <v>6500</v>
      </c>
      <c r="I78" t="b">
        <v>0</v>
      </c>
      <c r="J78" t="b">
        <v>0</v>
      </c>
      <c r="K78" t="b">
        <v>0</v>
      </c>
      <c r="L78" t="b">
        <v>0</v>
      </c>
      <c r="M78" t="b">
        <v>0</v>
      </c>
      <c r="P78">
        <v>0</v>
      </c>
      <c r="S78">
        <v>0</v>
      </c>
      <c r="T78" t="s">
        <v>555</v>
      </c>
    </row>
    <row r="79" spans="1:20" x14ac:dyDescent="0.25">
      <c r="A79" t="s">
        <v>242</v>
      </c>
      <c r="B79" t="s">
        <v>694</v>
      </c>
      <c r="E79">
        <v>4500000</v>
      </c>
      <c r="I79" t="b">
        <v>0</v>
      </c>
      <c r="J79" t="b">
        <v>0</v>
      </c>
      <c r="K79" t="b">
        <v>0</v>
      </c>
      <c r="L79" t="b">
        <v>0</v>
      </c>
      <c r="M79" t="b">
        <v>0</v>
      </c>
      <c r="P79">
        <v>0</v>
      </c>
      <c r="S79">
        <v>0</v>
      </c>
      <c r="T79" t="s">
        <v>555</v>
      </c>
    </row>
    <row r="80" spans="1:20" x14ac:dyDescent="0.25">
      <c r="A80" t="s">
        <v>243</v>
      </c>
      <c r="B80" t="s">
        <v>244</v>
      </c>
      <c r="E80">
        <v>74000</v>
      </c>
      <c r="I80" t="b">
        <v>0</v>
      </c>
      <c r="J80" t="b">
        <v>0</v>
      </c>
      <c r="K80" t="b">
        <v>0</v>
      </c>
      <c r="L80" t="b">
        <v>0</v>
      </c>
      <c r="M80" t="b">
        <v>0</v>
      </c>
      <c r="P80">
        <v>0</v>
      </c>
      <c r="S80">
        <v>0</v>
      </c>
      <c r="T80" t="s">
        <v>556</v>
      </c>
    </row>
    <row r="81" spans="1:20" x14ac:dyDescent="0.25">
      <c r="A81" t="s">
        <v>214</v>
      </c>
      <c r="B81" t="s">
        <v>691</v>
      </c>
      <c r="E81">
        <v>3197500</v>
      </c>
      <c r="I81" t="b">
        <v>0</v>
      </c>
      <c r="J81" t="b">
        <v>0</v>
      </c>
      <c r="K81" t="b">
        <v>0</v>
      </c>
      <c r="L81" t="b">
        <v>0</v>
      </c>
      <c r="M81" t="b">
        <v>0</v>
      </c>
      <c r="P81">
        <v>0</v>
      </c>
      <c r="S81">
        <v>0</v>
      </c>
      <c r="T81" t="s">
        <v>556</v>
      </c>
    </row>
    <row r="82" spans="1:20" x14ac:dyDescent="0.25">
      <c r="A82" t="s">
        <v>245</v>
      </c>
      <c r="B82" t="s">
        <v>695</v>
      </c>
      <c r="E82">
        <v>278000</v>
      </c>
      <c r="I82" t="b">
        <v>0</v>
      </c>
      <c r="J82" t="b">
        <v>0</v>
      </c>
      <c r="K82" t="b">
        <v>0</v>
      </c>
      <c r="L82" t="b">
        <v>0</v>
      </c>
      <c r="M82" t="b">
        <v>0</v>
      </c>
      <c r="O82" t="s">
        <v>49</v>
      </c>
      <c r="P82">
        <v>0</v>
      </c>
      <c r="S82">
        <v>0</v>
      </c>
      <c r="T82" t="s">
        <v>556</v>
      </c>
    </row>
    <row r="83" spans="1:20" x14ac:dyDescent="0.25">
      <c r="A83" t="s">
        <v>241</v>
      </c>
      <c r="B83" t="s">
        <v>693</v>
      </c>
      <c r="E83">
        <v>155659</v>
      </c>
      <c r="I83" t="b">
        <v>0</v>
      </c>
      <c r="J83" t="b">
        <v>0</v>
      </c>
      <c r="K83" t="b">
        <v>0</v>
      </c>
      <c r="L83" t="b">
        <v>0</v>
      </c>
      <c r="M83" t="b">
        <v>0</v>
      </c>
      <c r="P83">
        <v>0</v>
      </c>
      <c r="S83">
        <v>0</v>
      </c>
      <c r="T83" t="s">
        <v>555</v>
      </c>
    </row>
    <row r="84" spans="1:20" x14ac:dyDescent="0.25">
      <c r="A84" t="s">
        <v>220</v>
      </c>
      <c r="B84" t="s">
        <v>692</v>
      </c>
      <c r="E84">
        <v>477040</v>
      </c>
      <c r="I84" t="b">
        <v>0</v>
      </c>
      <c r="J84" t="b">
        <v>0</v>
      </c>
      <c r="K84" t="b">
        <v>0</v>
      </c>
      <c r="L84" t="b">
        <v>0</v>
      </c>
      <c r="M84" t="b">
        <v>0</v>
      </c>
      <c r="P84">
        <v>0</v>
      </c>
      <c r="S84">
        <v>0</v>
      </c>
    </row>
    <row r="89" spans="1:20" x14ac:dyDescent="0.25">
      <c r="B89" s="96"/>
    </row>
    <row r="90" spans="1:20" x14ac:dyDescent="0.25">
      <c r="B90" s="97"/>
    </row>
    <row r="91" spans="1:20" x14ac:dyDescent="0.25">
      <c r="B91" s="96"/>
    </row>
    <row r="92" spans="1:20" x14ac:dyDescent="0.25">
      <c r="B92" s="97"/>
    </row>
    <row r="93" spans="1:20" x14ac:dyDescent="0.25">
      <c r="B93" s="96"/>
    </row>
    <row r="94" spans="1:20" x14ac:dyDescent="0.25">
      <c r="B94" s="97"/>
    </row>
    <row r="95" spans="1:20" x14ac:dyDescent="0.25">
      <c r="B95" s="96"/>
    </row>
    <row r="96" spans="1:20" x14ac:dyDescent="0.25">
      <c r="B96" s="97"/>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
  <sheetViews>
    <sheetView workbookViewId="0">
      <selection activeCell="B16" sqref="B16"/>
    </sheetView>
  </sheetViews>
  <sheetFormatPr defaultRowHeight="15" x14ac:dyDescent="0.25"/>
  <cols>
    <col min="1" max="1" width="15.85546875" customWidth="1"/>
    <col min="2" max="2" width="52" customWidth="1"/>
    <col min="3" max="3" width="13.28515625" customWidth="1"/>
    <col min="4" max="4" width="9.5703125" customWidth="1"/>
    <col min="5" max="5" width="11.7109375" customWidth="1"/>
    <col min="6" max="6" width="10.5703125" customWidth="1"/>
    <col min="7" max="7" width="11.5703125" customWidth="1"/>
    <col min="8" max="8" width="20" customWidth="1"/>
    <col min="9" max="9" width="17.5703125" customWidth="1"/>
    <col min="10" max="10" width="13.28515625" customWidth="1"/>
    <col min="11" max="11" width="18" customWidth="1"/>
    <col min="12" max="12" width="17.140625" customWidth="1"/>
    <col min="13" max="13" width="35.42578125" customWidth="1"/>
    <col min="14" max="14" width="6.7109375" customWidth="1"/>
    <col min="15" max="15" width="19" customWidth="1"/>
    <col min="16" max="16" width="12" customWidth="1"/>
    <col min="17" max="17" width="19.28515625" customWidth="1"/>
    <col min="18" max="18" width="18.7109375" customWidth="1"/>
    <col min="19" max="19" width="12.5703125" customWidth="1"/>
    <col min="20" max="20" width="12" customWidth="1"/>
    <col min="21" max="21" width="25.42578125" customWidth="1"/>
    <col min="22" max="22" width="12.85546875" customWidth="1"/>
    <col min="23" max="23" width="13.28515625" customWidth="1"/>
  </cols>
  <sheetData>
    <row r="1" spans="1:23" x14ac:dyDescent="0.25">
      <c r="A1" s="1" t="s">
        <v>246</v>
      </c>
    </row>
    <row r="2" spans="1:23" x14ac:dyDescent="0.25">
      <c r="A2" s="1" t="s">
        <v>252</v>
      </c>
    </row>
    <row r="3" spans="1:23" x14ac:dyDescent="0.25">
      <c r="A3" t="s">
        <v>34</v>
      </c>
      <c r="B3" t="s">
        <v>0</v>
      </c>
      <c r="C3" t="s">
        <v>35</v>
      </c>
      <c r="D3" t="s">
        <v>36</v>
      </c>
      <c r="E3" t="s">
        <v>37</v>
      </c>
      <c r="F3" t="s">
        <v>38</v>
      </c>
      <c r="G3" t="s">
        <v>7</v>
      </c>
      <c r="H3" t="s">
        <v>3</v>
      </c>
      <c r="I3" t="s">
        <v>39</v>
      </c>
      <c r="J3" t="s">
        <v>10</v>
      </c>
      <c r="K3" t="s">
        <v>11</v>
      </c>
      <c r="L3" t="s">
        <v>40</v>
      </c>
      <c r="M3" t="s">
        <v>253</v>
      </c>
      <c r="N3" t="s">
        <v>41</v>
      </c>
      <c r="O3" t="s">
        <v>42</v>
      </c>
      <c r="P3" t="s">
        <v>43</v>
      </c>
      <c r="Q3" t="s">
        <v>44</v>
      </c>
      <c r="R3" t="s">
        <v>45</v>
      </c>
      <c r="S3" t="s">
        <v>46</v>
      </c>
      <c r="T3" t="s">
        <v>249</v>
      </c>
      <c r="U3" t="s">
        <v>250</v>
      </c>
      <c r="V3" t="s">
        <v>554</v>
      </c>
      <c r="W3" t="s">
        <v>559</v>
      </c>
    </row>
    <row r="4" spans="1:23" x14ac:dyDescent="0.25">
      <c r="A4" t="s">
        <v>47</v>
      </c>
      <c r="B4" t="s">
        <v>642</v>
      </c>
      <c r="C4">
        <v>88</v>
      </c>
      <c r="D4">
        <v>375056</v>
      </c>
      <c r="E4">
        <v>740296</v>
      </c>
      <c r="F4">
        <v>1115352</v>
      </c>
      <c r="G4" t="s">
        <v>13</v>
      </c>
      <c r="H4" t="s">
        <v>48</v>
      </c>
      <c r="I4" t="b">
        <v>1</v>
      </c>
      <c r="J4" t="b">
        <v>0</v>
      </c>
      <c r="K4" t="b">
        <v>1</v>
      </c>
      <c r="L4" t="b">
        <v>0</v>
      </c>
      <c r="M4" t="b">
        <v>1</v>
      </c>
      <c r="N4">
        <v>1</v>
      </c>
      <c r="O4" t="s">
        <v>49</v>
      </c>
      <c r="P4">
        <v>52</v>
      </c>
      <c r="Q4">
        <v>13</v>
      </c>
      <c r="R4">
        <v>5</v>
      </c>
      <c r="S4">
        <v>5</v>
      </c>
      <c r="T4">
        <v>5</v>
      </c>
      <c r="U4" t="s">
        <v>251</v>
      </c>
      <c r="V4" t="s">
        <v>555</v>
      </c>
    </row>
    <row r="5" spans="1:23" x14ac:dyDescent="0.25">
      <c r="A5" t="s">
        <v>50</v>
      </c>
      <c r="B5" t="s">
        <v>616</v>
      </c>
      <c r="C5">
        <v>87</v>
      </c>
      <c r="D5">
        <v>1203815</v>
      </c>
      <c r="E5">
        <v>3334000</v>
      </c>
      <c r="F5">
        <v>4537815</v>
      </c>
      <c r="G5" t="s">
        <v>51</v>
      </c>
      <c r="H5" t="s">
        <v>52</v>
      </c>
      <c r="I5" t="b">
        <v>1</v>
      </c>
      <c r="J5" t="b">
        <v>0</v>
      </c>
      <c r="K5" t="b">
        <v>1</v>
      </c>
      <c r="L5" t="b">
        <v>0</v>
      </c>
      <c r="M5" t="b">
        <v>1</v>
      </c>
      <c r="N5">
        <v>3</v>
      </c>
      <c r="O5" t="s">
        <v>49</v>
      </c>
      <c r="P5">
        <v>52</v>
      </c>
      <c r="Q5">
        <v>14</v>
      </c>
      <c r="R5">
        <v>3</v>
      </c>
      <c r="S5">
        <v>5</v>
      </c>
      <c r="T5">
        <v>5</v>
      </c>
      <c r="U5" t="s">
        <v>251</v>
      </c>
      <c r="V5" t="s">
        <v>555</v>
      </c>
    </row>
    <row r="6" spans="1:23" x14ac:dyDescent="0.25">
      <c r="A6" t="s">
        <v>65</v>
      </c>
      <c r="B6" t="s">
        <v>645</v>
      </c>
      <c r="C6">
        <v>81</v>
      </c>
      <c r="D6">
        <v>137908</v>
      </c>
      <c r="E6">
        <v>223900</v>
      </c>
      <c r="F6">
        <v>361808</v>
      </c>
      <c r="G6" t="s">
        <v>66</v>
      </c>
      <c r="H6" t="s">
        <v>67</v>
      </c>
      <c r="I6" t="b">
        <v>1</v>
      </c>
      <c r="J6" t="b">
        <v>0</v>
      </c>
      <c r="K6" t="b">
        <v>1</v>
      </c>
      <c r="L6" t="b">
        <v>0</v>
      </c>
      <c r="M6" t="b">
        <v>1</v>
      </c>
      <c r="N6">
        <v>3</v>
      </c>
      <c r="O6" t="s">
        <v>49</v>
      </c>
      <c r="P6">
        <v>52</v>
      </c>
      <c r="Q6">
        <v>12</v>
      </c>
      <c r="R6">
        <v>3</v>
      </c>
      <c r="S6">
        <v>3</v>
      </c>
      <c r="T6">
        <v>5</v>
      </c>
      <c r="U6" t="s">
        <v>251</v>
      </c>
      <c r="V6" t="s">
        <v>555</v>
      </c>
    </row>
    <row r="7" spans="1:23" x14ac:dyDescent="0.25">
      <c r="A7" t="s">
        <v>71</v>
      </c>
      <c r="B7" t="s">
        <v>639</v>
      </c>
      <c r="C7">
        <v>80</v>
      </c>
      <c r="D7">
        <v>413367</v>
      </c>
      <c r="E7">
        <v>645726</v>
      </c>
      <c r="F7">
        <v>1059093</v>
      </c>
      <c r="G7" t="s">
        <v>72</v>
      </c>
      <c r="H7" t="s">
        <v>73</v>
      </c>
      <c r="I7" t="b">
        <v>1</v>
      </c>
      <c r="J7" t="b">
        <v>0</v>
      </c>
      <c r="K7" t="b">
        <v>1</v>
      </c>
      <c r="L7" t="b">
        <v>0</v>
      </c>
      <c r="M7" t="b">
        <v>1</v>
      </c>
      <c r="N7">
        <v>2</v>
      </c>
      <c r="O7" t="s">
        <v>49</v>
      </c>
      <c r="P7">
        <v>47</v>
      </c>
      <c r="Q7">
        <v>12</v>
      </c>
      <c r="R7">
        <v>5</v>
      </c>
      <c r="S7">
        <v>3</v>
      </c>
      <c r="T7">
        <v>5</v>
      </c>
      <c r="U7" t="s">
        <v>251</v>
      </c>
      <c r="V7" t="s">
        <v>555</v>
      </c>
    </row>
    <row r="8" spans="1:23" x14ac:dyDescent="0.25">
      <c r="A8" t="s">
        <v>160</v>
      </c>
      <c r="B8" t="s">
        <v>641</v>
      </c>
      <c r="C8">
        <v>75</v>
      </c>
      <c r="D8">
        <v>387860</v>
      </c>
      <c r="E8">
        <v>405800</v>
      </c>
      <c r="F8">
        <v>793660</v>
      </c>
      <c r="G8" t="s">
        <v>14</v>
      </c>
      <c r="H8" t="s">
        <v>161</v>
      </c>
      <c r="I8" t="b">
        <v>1</v>
      </c>
      <c r="J8" t="b">
        <v>0</v>
      </c>
      <c r="K8" t="b">
        <v>1</v>
      </c>
      <c r="L8" t="b">
        <v>0</v>
      </c>
      <c r="M8" t="b">
        <v>1</v>
      </c>
      <c r="N8">
        <v>2</v>
      </c>
      <c r="O8" t="s">
        <v>49</v>
      </c>
      <c r="P8">
        <v>47</v>
      </c>
      <c r="Q8">
        <v>10</v>
      </c>
      <c r="R8">
        <v>5</v>
      </c>
      <c r="S8">
        <v>3</v>
      </c>
      <c r="T8">
        <v>5</v>
      </c>
      <c r="U8" t="s">
        <v>251</v>
      </c>
      <c r="V8" t="s">
        <v>555</v>
      </c>
    </row>
    <row r="9" spans="1:23" x14ac:dyDescent="0.25">
      <c r="A9" t="s">
        <v>178</v>
      </c>
      <c r="B9" t="s">
        <v>614</v>
      </c>
      <c r="C9">
        <v>74</v>
      </c>
      <c r="D9">
        <v>1936211</v>
      </c>
      <c r="E9">
        <v>2018500</v>
      </c>
      <c r="F9">
        <v>4028711</v>
      </c>
      <c r="G9" t="s">
        <v>51</v>
      </c>
      <c r="H9" t="s">
        <v>248</v>
      </c>
      <c r="I9" t="b">
        <v>1</v>
      </c>
      <c r="J9" t="b">
        <v>0</v>
      </c>
      <c r="K9" t="b">
        <v>1</v>
      </c>
      <c r="L9" t="b">
        <v>0</v>
      </c>
      <c r="M9" t="b">
        <v>1</v>
      </c>
      <c r="N9">
        <v>3</v>
      </c>
      <c r="O9" t="s">
        <v>49</v>
      </c>
      <c r="P9">
        <v>46</v>
      </c>
      <c r="Q9">
        <v>10</v>
      </c>
      <c r="R9">
        <v>0</v>
      </c>
      <c r="S9">
        <v>5</v>
      </c>
      <c r="T9">
        <v>5</v>
      </c>
      <c r="U9" t="s">
        <v>251</v>
      </c>
      <c r="V9" t="s">
        <v>555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1"/>
  <sheetViews>
    <sheetView topLeftCell="E34" workbookViewId="0">
      <selection activeCell="H62" sqref="H62"/>
    </sheetView>
  </sheetViews>
  <sheetFormatPr defaultRowHeight="15" x14ac:dyDescent="0.25"/>
  <cols>
    <col min="1" max="1" width="9.7109375" bestFit="1" customWidth="1"/>
    <col min="2" max="2" width="35.140625" customWidth="1"/>
    <col min="3" max="3" width="52.140625" bestFit="1" customWidth="1"/>
    <col min="4" max="4" width="12.42578125" bestFit="1" customWidth="1"/>
    <col min="5" max="5" width="11.140625" bestFit="1" customWidth="1"/>
    <col min="6" max="6" width="13.42578125" bestFit="1" customWidth="1"/>
    <col min="7" max="8" width="73.140625" bestFit="1" customWidth="1"/>
  </cols>
  <sheetData>
    <row r="1" spans="1:8" x14ac:dyDescent="0.25">
      <c r="A1" s="1" t="s">
        <v>255</v>
      </c>
      <c r="B1" s="1" t="s">
        <v>256</v>
      </c>
      <c r="C1" s="1" t="s">
        <v>257</v>
      </c>
      <c r="D1" s="1" t="s">
        <v>258</v>
      </c>
      <c r="E1" s="1" t="s">
        <v>20</v>
      </c>
      <c r="F1" s="1" t="s">
        <v>259</v>
      </c>
      <c r="G1" s="1" t="s">
        <v>260</v>
      </c>
      <c r="H1" s="1" t="s">
        <v>261</v>
      </c>
    </row>
    <row r="2" spans="1:8" x14ac:dyDescent="0.25">
      <c r="A2" t="s">
        <v>188</v>
      </c>
      <c r="B2" t="s">
        <v>262</v>
      </c>
      <c r="C2" s="3" t="str">
        <f>HYPERLINK("2018%20Project%20Summaries\"&amp;F2&amp;"_Summary.pdf")</f>
        <v>2018%20Project%20Summaries\2018-001_Summary.pdf</v>
      </c>
      <c r="D2" s="3" t="str">
        <f>HYPERLINK("2018 Presentations pdf format\"&amp;H2)</f>
        <v>2018 Presentations pdf format\2018-001 Alamance Co - Sizemore Tr, Cane Cr Mtn NA.pdf</v>
      </c>
      <c r="E2" s="3" t="str">
        <f>HYPERLINK("2018 Applications\"&amp;G2)</f>
        <v>2018 Applications\2018-001 Alamance Co - Sizemore Tr, Cane Cr Mtn NA.pdf</v>
      </c>
      <c r="F2" t="s">
        <v>188</v>
      </c>
      <c r="G2" t="s">
        <v>263</v>
      </c>
      <c r="H2" t="s">
        <v>263</v>
      </c>
    </row>
    <row r="3" spans="1:8" x14ac:dyDescent="0.25">
      <c r="A3" t="s">
        <v>89</v>
      </c>
      <c r="B3" t="s">
        <v>264</v>
      </c>
      <c r="C3" s="3" t="str">
        <f t="shared" ref="C3:C66" si="0">HYPERLINK("2018%20Project%20Summaries\"&amp;F3&amp;"_Summary.pdf")</f>
        <v>2018%20Project%20Summaries\2018-002_Summary.pdf</v>
      </c>
      <c r="D3" s="3" t="str">
        <f t="shared" ref="D3:D66" si="1">HYPERLINK("2018 Presentations pdf format\"&amp;H3)</f>
        <v>2018 Presentations pdf format\2018-002 BRC - Paddy Mountain Preserve Trs.pdf</v>
      </c>
      <c r="E3" s="3" t="str">
        <f t="shared" ref="E3:E66" si="2">HYPERLINK("2018 Applications\"&amp;G3)</f>
        <v>2018 Applications\2018-002 BRC - Paddy Mountain Preserve Trs.pdf</v>
      </c>
      <c r="F3" t="s">
        <v>89</v>
      </c>
      <c r="G3" t="s">
        <v>265</v>
      </c>
      <c r="H3" t="s">
        <v>265</v>
      </c>
    </row>
    <row r="4" spans="1:8" x14ac:dyDescent="0.25">
      <c r="A4" t="s">
        <v>74</v>
      </c>
      <c r="B4" t="s">
        <v>266</v>
      </c>
      <c r="C4" s="3" t="str">
        <f t="shared" si="0"/>
        <v>2018%20Project%20Summaries\2018-003_Summary.pdf</v>
      </c>
      <c r="D4" s="3" t="str">
        <f t="shared" si="1"/>
        <v>2018 Presentations pdf format\2018-003 BRC - Shore Tr, Middle Fork GW.pdf</v>
      </c>
      <c r="E4" s="3" t="str">
        <f t="shared" si="2"/>
        <v>2018 Applications\2018-003 BRC - Shore Tr, Middle Fork GW.pdf</v>
      </c>
      <c r="F4" t="s">
        <v>74</v>
      </c>
      <c r="G4" t="s">
        <v>267</v>
      </c>
      <c r="H4" t="s">
        <v>267</v>
      </c>
    </row>
    <row r="5" spans="1:8" x14ac:dyDescent="0.25">
      <c r="A5" t="s">
        <v>179</v>
      </c>
      <c r="B5" t="s">
        <v>268</v>
      </c>
      <c r="C5" s="3" t="str">
        <f t="shared" si="0"/>
        <v>2018%20Project%20Summaries\2018-004_Summary.pdf</v>
      </c>
      <c r="D5" s="3" t="str">
        <f t="shared" si="1"/>
        <v>2018 Presentations pdf format\2018-004 BRC - Three Top East.pdf</v>
      </c>
      <c r="E5" s="3" t="str">
        <f t="shared" si="2"/>
        <v>2018 Applications\2018-004 BRC - Three Top East.pdf</v>
      </c>
      <c r="F5" t="s">
        <v>179</v>
      </c>
      <c r="G5" t="s">
        <v>269</v>
      </c>
      <c r="H5" t="s">
        <v>269</v>
      </c>
    </row>
    <row r="6" spans="1:8" x14ac:dyDescent="0.25">
      <c r="A6" t="s">
        <v>207</v>
      </c>
      <c r="B6" t="s">
        <v>270</v>
      </c>
      <c r="C6" s="3" t="str">
        <f t="shared" si="0"/>
        <v>2018%20Project%20Summaries\2018-005_Summary.pdf</v>
      </c>
      <c r="D6" s="3" t="str">
        <f t="shared" si="1"/>
        <v>2018 Presentations pdf format\2018-005 BRC - Tompkins Tr, Edmonds Meadow Bog.pdf</v>
      </c>
      <c r="E6" s="3" t="str">
        <f t="shared" si="2"/>
        <v>2018 Applications\2018-005 BRC - Tompkins Tr, Edmonds Meadow Bog.pdf</v>
      </c>
      <c r="F6" t="s">
        <v>207</v>
      </c>
      <c r="G6" t="s">
        <v>271</v>
      </c>
      <c r="H6" t="s">
        <v>271</v>
      </c>
    </row>
    <row r="7" spans="1:8" x14ac:dyDescent="0.25">
      <c r="A7" t="s">
        <v>239</v>
      </c>
      <c r="B7" t="s">
        <v>272</v>
      </c>
      <c r="C7" s="3" t="str">
        <f t="shared" si="0"/>
        <v>2018%20Project%20Summaries\2018-006_Summary.pdf</v>
      </c>
      <c r="D7" s="3" t="str">
        <f t="shared" si="1"/>
        <v>2018 Presentations pdf format\2018-006 Carolina Shores - Moore Tr, Persimmon Swp Canal GW.pdf</v>
      </c>
      <c r="E7" s="3" t="str">
        <f t="shared" si="2"/>
        <v>2018 Applications\2018-006 Carolina Shores - Moore Tr, Persimmon Swp Canal GW.pdf</v>
      </c>
      <c r="F7" t="s">
        <v>239</v>
      </c>
      <c r="G7" t="s">
        <v>273</v>
      </c>
      <c r="H7" t="s">
        <v>273</v>
      </c>
    </row>
    <row r="8" spans="1:8" x14ac:dyDescent="0.25">
      <c r="A8" t="s">
        <v>201</v>
      </c>
      <c r="B8" t="s">
        <v>274</v>
      </c>
      <c r="C8" s="3" t="str">
        <f t="shared" si="0"/>
        <v>2018%20Project%20Summaries\2018-007_Summary.pdf</v>
      </c>
      <c r="D8" s="3" t="str">
        <f t="shared" si="1"/>
        <v>2018 Presentations pdf format\2018-007 CC - Blue Moon Tr, Pinnacle Mtn NA.pdf</v>
      </c>
      <c r="E8" s="3" t="str">
        <f t="shared" si="2"/>
        <v>2018 Applications\2018-007 CC - Blue Moon Tr, Pinnacle Mtn NA.pdf</v>
      </c>
      <c r="F8" t="s">
        <v>201</v>
      </c>
      <c r="G8" t="s">
        <v>275</v>
      </c>
      <c r="H8" t="s">
        <v>275</v>
      </c>
    </row>
    <row r="9" spans="1:8" x14ac:dyDescent="0.25">
      <c r="A9" t="s">
        <v>117</v>
      </c>
      <c r="B9" t="s">
        <v>276</v>
      </c>
      <c r="C9" s="3" t="str">
        <f t="shared" si="0"/>
        <v>2018%20Project%20Summaries\2018-008_Summary.pdf</v>
      </c>
      <c r="D9" s="3" t="str">
        <f t="shared" si="1"/>
        <v>2018 Presentations pdf format\2018-008 CC - Camp Buc, Thompson R HW.pdf</v>
      </c>
      <c r="E9" s="3" t="str">
        <f t="shared" si="2"/>
        <v>2018 Applications\2018-008 CC - Camp Buc, Thompson R HW.pdf</v>
      </c>
      <c r="F9" t="s">
        <v>117</v>
      </c>
      <c r="G9" t="s">
        <v>277</v>
      </c>
      <c r="H9" t="s">
        <v>277</v>
      </c>
    </row>
    <row r="10" spans="1:8" x14ac:dyDescent="0.25">
      <c r="A10" t="s">
        <v>200</v>
      </c>
      <c r="B10" t="s">
        <v>278</v>
      </c>
      <c r="C10" s="3" t="str">
        <f t="shared" si="0"/>
        <v>2018%20Project%20Summaries\2018-009_Summary.pdf</v>
      </c>
      <c r="D10" s="3" t="str">
        <f t="shared" si="1"/>
        <v>2018 Presentations pdf format\2018-009 CC - Dehon Mtn-Sherwood Forest NA.pdf</v>
      </c>
      <c r="E10" s="3" t="str">
        <f t="shared" si="2"/>
        <v>2018 Applications\2018-009 CC - Dehon Mtn-Sherwood Forest NA.pdf</v>
      </c>
      <c r="F10" t="s">
        <v>200</v>
      </c>
      <c r="G10" t="s">
        <v>279</v>
      </c>
      <c r="H10" t="s">
        <v>279</v>
      </c>
    </row>
    <row r="11" spans="1:8" x14ac:dyDescent="0.25">
      <c r="A11" t="s">
        <v>56</v>
      </c>
      <c r="B11" t="s">
        <v>280</v>
      </c>
      <c r="C11" s="3" t="str">
        <f t="shared" si="0"/>
        <v>2018%20Project%20Summaries\2018-010_Summary.pdf</v>
      </c>
      <c r="D11" s="3" t="str">
        <f t="shared" si="1"/>
        <v>2018 Presentations pdf format\2018-010 CC - DuPont Connector, Green R HW NA.pdf</v>
      </c>
      <c r="E11" s="3" t="str">
        <f t="shared" si="2"/>
        <v>2018 Applications\2018-010 CC - DuPont Connector, Green R HW NA.pdf</v>
      </c>
      <c r="F11" t="s">
        <v>56</v>
      </c>
      <c r="G11" t="s">
        <v>281</v>
      </c>
      <c r="H11" t="s">
        <v>281</v>
      </c>
    </row>
    <row r="12" spans="1:8" x14ac:dyDescent="0.25">
      <c r="A12" t="s">
        <v>181</v>
      </c>
      <c r="B12" t="s">
        <v>282</v>
      </c>
      <c r="C12" s="3" t="str">
        <f t="shared" si="0"/>
        <v>2018%20Project%20Summaries\2018-011_Summary.pdf</v>
      </c>
      <c r="D12" s="3" t="str">
        <f t="shared" si="1"/>
        <v>2018 Presentations pdf format\2018-011 CC - Joel Ridge, Weed Patch Mtn NA.pdf</v>
      </c>
      <c r="E12" s="3" t="str">
        <f t="shared" si="2"/>
        <v>2018 Applications\2018-011 CC - Joel Ridge, Weed Patch Mtn NA.pdf</v>
      </c>
      <c r="F12" t="s">
        <v>181</v>
      </c>
      <c r="G12" t="s">
        <v>283</v>
      </c>
      <c r="H12" t="s">
        <v>283</v>
      </c>
    </row>
    <row r="13" spans="1:8" x14ac:dyDescent="0.25">
      <c r="A13" t="s">
        <v>214</v>
      </c>
      <c r="B13" t="s">
        <v>284</v>
      </c>
      <c r="C13" s="3" t="str">
        <f t="shared" si="0"/>
        <v>2018%20Project%20Summaries\2018-012_Summary.pdf</v>
      </c>
      <c r="D13" s="3" t="str">
        <f t="shared" si="1"/>
        <v>2018 Presentations pdf format\2018-012 CC - Kanuga Conferences Ph I.pdf</v>
      </c>
      <c r="E13" s="3" t="str">
        <f t="shared" si="2"/>
        <v>2018 Applications\2018-012 CC - Kanuga Conferences Ph I.pdf</v>
      </c>
      <c r="F13" t="s">
        <v>214</v>
      </c>
      <c r="G13" t="s">
        <v>285</v>
      </c>
      <c r="H13" t="s">
        <v>285</v>
      </c>
    </row>
    <row r="14" spans="1:8" x14ac:dyDescent="0.25">
      <c r="A14" t="s">
        <v>245</v>
      </c>
      <c r="B14" t="s">
        <v>286</v>
      </c>
      <c r="C14" s="3" t="str">
        <f t="shared" si="0"/>
        <v>2018%20Project%20Summaries\2018-013_Summary.pdf</v>
      </c>
      <c r="D14" s="3" t="str">
        <f t="shared" si="1"/>
        <v>2018 Presentations pdf format\</v>
      </c>
      <c r="E14" s="3" t="str">
        <f t="shared" si="2"/>
        <v>2018 Applications\2018-013 CC - Pleasant Grove, Little Willow Cr.pdf</v>
      </c>
      <c r="F14" t="s">
        <v>245</v>
      </c>
      <c r="G14" t="s">
        <v>287</v>
      </c>
    </row>
    <row r="15" spans="1:8" x14ac:dyDescent="0.25">
      <c r="A15" t="s">
        <v>87</v>
      </c>
      <c r="B15" t="s">
        <v>288</v>
      </c>
      <c r="C15" s="3" t="str">
        <f t="shared" si="0"/>
        <v>2018%20Project%20Summaries\2018-014_Summary.pdf</v>
      </c>
      <c r="D15" s="3" t="str">
        <f t="shared" si="1"/>
        <v>2018 Presentations pdf format\2018-014 CC - Transfiguration Phase II, HNG.pdf</v>
      </c>
      <c r="E15" s="3" t="str">
        <f t="shared" si="2"/>
        <v>2018 Applications\2018-014 CC - Transfiguration Phase II, HNG.pdf</v>
      </c>
      <c r="F15" t="s">
        <v>87</v>
      </c>
      <c r="G15" t="s">
        <v>289</v>
      </c>
      <c r="H15" t="s">
        <v>289</v>
      </c>
    </row>
    <row r="16" spans="1:8" x14ac:dyDescent="0.25">
      <c r="A16" t="s">
        <v>120</v>
      </c>
      <c r="B16" t="s">
        <v>290</v>
      </c>
      <c r="C16" s="3" t="str">
        <f t="shared" si="0"/>
        <v>2018%20Project%20Summaries\2018-015_Summary.pdf</v>
      </c>
      <c r="D16" s="3" t="str">
        <f t="shared" si="1"/>
        <v>2018 Presentations pdf format\2018-015 CLC - Saint James Preserve, Forney Cr.pdf</v>
      </c>
      <c r="E16" s="3" t="str">
        <f t="shared" si="2"/>
        <v>2018 Applications\2018-015 CLC - Saint James Preserve, Forney Cr.pdf</v>
      </c>
      <c r="F16" t="s">
        <v>120</v>
      </c>
      <c r="G16" t="s">
        <v>291</v>
      </c>
      <c r="H16" t="s">
        <v>291</v>
      </c>
    </row>
    <row r="17" spans="1:8" x14ac:dyDescent="0.25">
      <c r="A17" t="s">
        <v>68</v>
      </c>
      <c r="B17" t="s">
        <v>292</v>
      </c>
      <c r="C17" s="3" t="str">
        <f t="shared" si="0"/>
        <v>2018%20Project%20Summaries\2018-016_Summary.pdf</v>
      </c>
      <c r="D17" s="3" t="str">
        <f t="shared" si="1"/>
        <v>2018 Presentations pdf format\2018-016 CTNC - Florence Boyd Tr, Boone Fk.pdf</v>
      </c>
      <c r="E17" s="3" t="str">
        <f t="shared" si="2"/>
        <v>2018 Applications\2018-016 CTNC - Florence Boyd Tr, Boone Fk.pdf</v>
      </c>
      <c r="F17" t="s">
        <v>68</v>
      </c>
      <c r="G17" t="s">
        <v>293</v>
      </c>
      <c r="H17" t="s">
        <v>293</v>
      </c>
    </row>
    <row r="18" spans="1:8" x14ac:dyDescent="0.25">
      <c r="A18" t="s">
        <v>184</v>
      </c>
      <c r="B18" t="s">
        <v>294</v>
      </c>
      <c r="C18" s="3" t="str">
        <f t="shared" si="0"/>
        <v>2018%20Project%20Summaries\2018-017_Summary.pdf</v>
      </c>
      <c r="D18" s="3" t="str">
        <f t="shared" si="1"/>
        <v>2018 Presentations pdf format\2018-017 CTNC - Hornbuckle Cr, Blue Ridge Pkwy.pdf</v>
      </c>
      <c r="E18" s="3" t="str">
        <f t="shared" si="2"/>
        <v>2018 Applications\2018-017 CTNC - Hornbuckle Cr, Blue Ridge Pkwy.pdf</v>
      </c>
      <c r="F18" t="s">
        <v>184</v>
      </c>
      <c r="G18" t="s">
        <v>295</v>
      </c>
      <c r="H18" t="s">
        <v>295</v>
      </c>
    </row>
    <row r="19" spans="1:8" x14ac:dyDescent="0.25">
      <c r="A19" t="s">
        <v>131</v>
      </c>
      <c r="B19" t="s">
        <v>296</v>
      </c>
      <c r="C19" s="3" t="str">
        <f t="shared" si="0"/>
        <v>2018%20Project%20Summaries\2018-018_Summary.pdf</v>
      </c>
      <c r="D19" s="3" t="str">
        <f t="shared" si="1"/>
        <v>2018 Presentations pdf format\2018-018 CWPTF - Ray &amp; Ellis, Averasboro BF.pdf</v>
      </c>
      <c r="E19" s="3" t="str">
        <f t="shared" si="2"/>
        <v>2018 Applications\2018-018 CWPTF - Ray &amp; Ellis, Averasboro BF.pdf</v>
      </c>
      <c r="F19" t="s">
        <v>131</v>
      </c>
      <c r="G19" t="s">
        <v>297</v>
      </c>
      <c r="H19" t="s">
        <v>297</v>
      </c>
    </row>
    <row r="20" spans="1:8" x14ac:dyDescent="0.25">
      <c r="A20" t="s">
        <v>203</v>
      </c>
      <c r="B20" t="s">
        <v>298</v>
      </c>
      <c r="C20" s="3" t="str">
        <f t="shared" si="0"/>
        <v>2018%20Project%20Summaries\2018-019_Summary.pdf</v>
      </c>
      <c r="D20" s="3" t="str">
        <f t="shared" si="1"/>
        <v>2018 Presentations pdf format\2018-019 CWPTF - Weeks Farm &amp; Black R Pr, Averasboro BF.pdf</v>
      </c>
      <c r="E20" s="3" t="str">
        <f t="shared" si="2"/>
        <v>2018 Applications\2018-019 CWPTF - Weeks Farm &amp; Black R Pr, Averasboro BF.pdf</v>
      </c>
      <c r="F20" t="s">
        <v>203</v>
      </c>
      <c r="G20" t="s">
        <v>299</v>
      </c>
      <c r="H20" t="s">
        <v>299</v>
      </c>
    </row>
    <row r="21" spans="1:8" x14ac:dyDescent="0.25">
      <c r="A21" t="s">
        <v>84</v>
      </c>
      <c r="B21" t="s">
        <v>300</v>
      </c>
      <c r="C21" s="3" t="str">
        <f t="shared" si="0"/>
        <v>2018%20Project%20Summaries\2018-020_Summary.pdf</v>
      </c>
      <c r="D21" s="3" t="str">
        <f t="shared" si="1"/>
        <v>2018 Presentations pdf format\2018-020 DU - Hubbard-Pinkerton, North R.pdf</v>
      </c>
      <c r="E21" s="3" t="str">
        <f t="shared" si="2"/>
        <v>2018 Applications\2018-020 DU - Hubbard-Pinketon, North R.pdf</v>
      </c>
      <c r="F21" t="s">
        <v>84</v>
      </c>
      <c r="G21" t="s">
        <v>301</v>
      </c>
      <c r="H21" t="s">
        <v>570</v>
      </c>
    </row>
    <row r="22" spans="1:8" x14ac:dyDescent="0.25">
      <c r="A22" t="s">
        <v>241</v>
      </c>
      <c r="B22" t="s">
        <v>302</v>
      </c>
      <c r="C22" s="3" t="str">
        <f t="shared" si="0"/>
        <v>2018%20Project%20Summaries\2018-021_Summary.pdf</v>
      </c>
      <c r="D22" s="3" t="str">
        <f t="shared" si="1"/>
        <v>2018 Presentations pdf format\2018-021 ECWA - Goss Tr, Ellerbe Cr UT.pdf</v>
      </c>
      <c r="E22" s="3" t="str">
        <f t="shared" si="2"/>
        <v>2018 Applications\2018-021 ECWA - Goss Tr, Ellerbe Cr UT.pdf</v>
      </c>
      <c r="F22" t="s">
        <v>241</v>
      </c>
      <c r="G22" t="s">
        <v>303</v>
      </c>
      <c r="H22" t="s">
        <v>303</v>
      </c>
    </row>
    <row r="23" spans="1:8" x14ac:dyDescent="0.25">
      <c r="A23" t="s">
        <v>228</v>
      </c>
      <c r="B23" t="s">
        <v>304</v>
      </c>
      <c r="C23" s="3" t="str">
        <f t="shared" si="0"/>
        <v>2018%20Project%20Summaries\2018-022_Summary.pdf</v>
      </c>
      <c r="D23" s="3" t="str">
        <f t="shared" si="1"/>
        <v>2018 Presentations pdf format\2018-022 Elizabeth City - Griffin Shipyard.pdf</v>
      </c>
      <c r="E23" s="3" t="str">
        <f t="shared" si="2"/>
        <v>2018 Applications\2018-022 Elizabeth City - Griffin Shipyard.pdf</v>
      </c>
      <c r="F23" t="s">
        <v>228</v>
      </c>
      <c r="G23" t="s">
        <v>305</v>
      </c>
      <c r="H23" t="s">
        <v>305</v>
      </c>
    </row>
    <row r="24" spans="1:8" x14ac:dyDescent="0.25">
      <c r="A24" t="s">
        <v>59</v>
      </c>
      <c r="B24" t="s">
        <v>306</v>
      </c>
      <c r="C24" s="3" t="str">
        <f t="shared" si="0"/>
        <v>2018%20Project%20Summaries\2018-023_Summary.pdf</v>
      </c>
      <c r="D24" s="3" t="str">
        <f t="shared" si="1"/>
        <v>2018 Presentations pdf format\2018-023 FCNC, Bobs Pocket Wilderness, Ph2.pdf</v>
      </c>
      <c r="E24" s="3" t="str">
        <f t="shared" si="2"/>
        <v>2018 Applications\2018-023 FCNC - Bobs Cr Wilderness Ph 2.pdf</v>
      </c>
      <c r="F24" t="s">
        <v>59</v>
      </c>
      <c r="G24" t="s">
        <v>307</v>
      </c>
      <c r="H24" t="s">
        <v>308</v>
      </c>
    </row>
    <row r="25" spans="1:8" x14ac:dyDescent="0.25">
      <c r="A25" t="s">
        <v>215</v>
      </c>
      <c r="B25" t="s">
        <v>309</v>
      </c>
      <c r="C25" s="3" t="str">
        <f t="shared" si="0"/>
        <v>2018%20Project%20Summaries\2018-024_Summary.pdf</v>
      </c>
      <c r="D25" s="3" t="str">
        <f t="shared" si="1"/>
        <v>2018 Presentations pdf format\2018-024 FCNC - Jacob Fork East Trs.pdf</v>
      </c>
      <c r="E25" s="3" t="str">
        <f t="shared" si="2"/>
        <v>2018 Applications\2018-024 FCNC - Jacob Fork East Trs.pdf</v>
      </c>
      <c r="F25" t="s">
        <v>215</v>
      </c>
      <c r="G25" t="s">
        <v>310</v>
      </c>
      <c r="H25" t="s">
        <v>310</v>
      </c>
    </row>
    <row r="26" spans="1:8" x14ac:dyDescent="0.25">
      <c r="A26" t="s">
        <v>101</v>
      </c>
      <c r="B26" t="s">
        <v>311</v>
      </c>
      <c r="C26" s="3" t="str">
        <f t="shared" si="0"/>
        <v>2018%20Project%20Summaries\2018-025_Summary.pdf</v>
      </c>
      <c r="D26" s="3" t="str">
        <f t="shared" si="1"/>
        <v>2018 Presentations pdf format\2018-025 FCNC, Paddys Creek, OVNHT.pdf</v>
      </c>
      <c r="E26" s="3" t="str">
        <f t="shared" si="2"/>
        <v>2018 Applications\2018-025 FCNC - Paddy's Cr, OVNHT.pdf</v>
      </c>
      <c r="F26" t="s">
        <v>101</v>
      </c>
      <c r="G26" t="s">
        <v>312</v>
      </c>
      <c r="H26" t="s">
        <v>313</v>
      </c>
    </row>
    <row r="27" spans="1:8" x14ac:dyDescent="0.25">
      <c r="A27" t="s">
        <v>243</v>
      </c>
      <c r="B27" t="s">
        <v>314</v>
      </c>
      <c r="C27" s="3" t="str">
        <f t="shared" si="0"/>
        <v>2018%20Project%20Summaries\2018-026_Summary.pdf</v>
      </c>
      <c r="D27" s="3" t="str">
        <f t="shared" si="1"/>
        <v>2018 Presentations pdf format\</v>
      </c>
      <c r="E27" s="3" t="str">
        <f t="shared" si="2"/>
        <v>2018 Applications\2018-026 Hist Assn of Catawba Co - Bunker Hill Covered Br, Lyle Cr.pdf</v>
      </c>
      <c r="F27" t="s">
        <v>243</v>
      </c>
      <c r="G27" t="s">
        <v>315</v>
      </c>
    </row>
    <row r="28" spans="1:8" x14ac:dyDescent="0.25">
      <c r="A28" t="s">
        <v>113</v>
      </c>
      <c r="B28" t="s">
        <v>316</v>
      </c>
      <c r="C28" s="3" t="str">
        <f t="shared" si="0"/>
        <v>2018%20Project%20Summaries\2018-027_Summary.pdf</v>
      </c>
      <c r="D28" s="3" t="str">
        <f t="shared" si="1"/>
        <v>2018 Presentations pdf format\2018-027 Jonesville, Sloop-Nabors Tr, Yadkin R GW.pdf</v>
      </c>
      <c r="E28" s="3" t="str">
        <f t="shared" si="2"/>
        <v>2018 Applications\2018-027 Jonesville - Sloop-Nabors Tr, Yadkin R GW.pdf</v>
      </c>
      <c r="F28" t="s">
        <v>113</v>
      </c>
      <c r="G28" t="s">
        <v>317</v>
      </c>
      <c r="H28" t="s">
        <v>318</v>
      </c>
    </row>
    <row r="29" spans="1:8" x14ac:dyDescent="0.25">
      <c r="A29" t="s">
        <v>242</v>
      </c>
      <c r="B29" t="s">
        <v>319</v>
      </c>
      <c r="C29" s="3" t="str">
        <f t="shared" si="0"/>
        <v>2018%20Project%20Summaries\2018-028_Summary.pdf</v>
      </c>
      <c r="D29" s="3" t="str">
        <f t="shared" si="1"/>
        <v>2018 Presentations pdf format\2018-028 LTCNC - Alcoa, Tuckertown Lk.pdf</v>
      </c>
      <c r="E29" s="3" t="str">
        <f t="shared" si="2"/>
        <v>2018 Applications\2018-028 LTCNC - Alcoa, Tuckertown Lk.pdf</v>
      </c>
      <c r="F29" t="s">
        <v>242</v>
      </c>
      <c r="G29" t="s">
        <v>320</v>
      </c>
      <c r="H29" t="s">
        <v>320</v>
      </c>
    </row>
    <row r="30" spans="1:8" x14ac:dyDescent="0.25">
      <c r="A30" t="s">
        <v>191</v>
      </c>
      <c r="B30" t="s">
        <v>321</v>
      </c>
      <c r="C30" s="3" t="str">
        <f t="shared" si="0"/>
        <v>2018%20Project%20Summaries\2018-029_Summary.pdf</v>
      </c>
      <c r="D30" s="3" t="str">
        <f t="shared" si="1"/>
        <v>2018 Presentations pdf format\2018-029 LTCNC - Bennett Pr, Poison Fk.pdf</v>
      </c>
      <c r="E30" s="3" t="str">
        <f t="shared" si="2"/>
        <v>2018 Applications\2018-029 LTCNC - Bennett Pr, Poison Fk.pdf</v>
      </c>
      <c r="F30" t="s">
        <v>191</v>
      </c>
      <c r="G30" t="s">
        <v>322</v>
      </c>
      <c r="H30" t="s">
        <v>322</v>
      </c>
    </row>
    <row r="31" spans="1:8" x14ac:dyDescent="0.25">
      <c r="A31" t="s">
        <v>81</v>
      </c>
      <c r="B31" t="s">
        <v>323</v>
      </c>
      <c r="C31" s="3" t="str">
        <f t="shared" si="0"/>
        <v>2018%20Project%20Summaries\2018-030_Summary.pdf</v>
      </c>
      <c r="D31" s="3" t="str">
        <f t="shared" si="1"/>
        <v>2018 Presentations pdf format\2018-030 LTCNC - Bennett Pr, Suggs Cr UT.pdf</v>
      </c>
      <c r="E31" s="3" t="str">
        <f t="shared" si="2"/>
        <v>2018 Applications\2018-030 LTCNC - Bennett Pr, Suggs Cr UT.pdf</v>
      </c>
      <c r="F31" t="s">
        <v>81</v>
      </c>
      <c r="G31" t="s">
        <v>324</v>
      </c>
      <c r="H31" t="s">
        <v>324</v>
      </c>
    </row>
    <row r="32" spans="1:8" x14ac:dyDescent="0.25">
      <c r="A32" t="s">
        <v>235</v>
      </c>
      <c r="B32" t="s">
        <v>325</v>
      </c>
      <c r="C32" s="3" t="str">
        <f t="shared" si="0"/>
        <v>2018%20Project%20Summaries\2018-031_Summary.pdf</v>
      </c>
      <c r="D32" s="3" t="str">
        <f t="shared" si="1"/>
        <v>2018 Presentations pdf format\2018-031 LTCNC - Chicken Rock, Ledbetter Lk.pdf</v>
      </c>
      <c r="E32" s="3" t="str">
        <f t="shared" si="2"/>
        <v>2018 Applications\2018-031 LTCNC - Chicken Rock, Ledbetter Lk.pdf</v>
      </c>
      <c r="F32" t="s">
        <v>235</v>
      </c>
      <c r="G32" t="s">
        <v>326</v>
      </c>
      <c r="H32" t="s">
        <v>326</v>
      </c>
    </row>
    <row r="33" spans="1:8" x14ac:dyDescent="0.25">
      <c r="A33" t="s">
        <v>231</v>
      </c>
      <c r="B33" t="s">
        <v>327</v>
      </c>
      <c r="C33" s="3" t="str">
        <f t="shared" si="0"/>
        <v>2018%20Project%20Summaries\2018-032_Summary.pdf</v>
      </c>
      <c r="D33" s="3" t="str">
        <f t="shared" si="1"/>
        <v>2018 Presentations pdf format\2018-032 LTCNC - Dassow Pr, Talbotts Br.pdf</v>
      </c>
      <c r="E33" s="3" t="str">
        <f t="shared" si="2"/>
        <v>2018 Applications\2018-032 LTCNC - Dassow Pr, Talbotts Br.pdf</v>
      </c>
      <c r="F33" t="s">
        <v>231</v>
      </c>
      <c r="G33" t="s">
        <v>328</v>
      </c>
      <c r="H33" t="s">
        <v>328</v>
      </c>
    </row>
    <row r="34" spans="1:8" x14ac:dyDescent="0.25">
      <c r="A34" t="s">
        <v>126</v>
      </c>
      <c r="B34" t="s">
        <v>329</v>
      </c>
      <c r="C34" s="3" t="str">
        <f t="shared" si="0"/>
        <v>2018%20Project%20Summaries\2018-033_Summary.pdf</v>
      </c>
      <c r="D34" s="3" t="str">
        <f t="shared" si="1"/>
        <v>2018 Presentations pdf format\2018-033 LTCNC - Deeck Pr, Mtn Cr.pdf</v>
      </c>
      <c r="E34" s="3" t="str">
        <f t="shared" si="2"/>
        <v>2018 Applications\2018-033 LTCNC - Deeck Pr, Mtn Cr.pdf</v>
      </c>
      <c r="F34" t="s">
        <v>126</v>
      </c>
      <c r="G34" t="s">
        <v>330</v>
      </c>
      <c r="H34" t="s">
        <v>330</v>
      </c>
    </row>
    <row r="35" spans="1:8" x14ac:dyDescent="0.25">
      <c r="A35" t="s">
        <v>92</v>
      </c>
      <c r="B35" t="s">
        <v>331</v>
      </c>
      <c r="C35" s="3" t="str">
        <f t="shared" si="0"/>
        <v>2018%20Project%20Summaries\2018-034_Summary.pdf</v>
      </c>
      <c r="D35" s="3" t="str">
        <f t="shared" si="1"/>
        <v>2018 Presentations pdf format\2018-034 LTCNC - Redwine Farms, Yadkin R.pdf</v>
      </c>
      <c r="E35" s="3" t="str">
        <f t="shared" si="2"/>
        <v>2018 Applications\2018-034 LTCNC - Redwine Farms, Yadkin R.pdf</v>
      </c>
      <c r="F35" t="s">
        <v>92</v>
      </c>
      <c r="G35" t="s">
        <v>332</v>
      </c>
      <c r="H35" t="s">
        <v>332</v>
      </c>
    </row>
    <row r="36" spans="1:8" x14ac:dyDescent="0.25">
      <c r="A36" t="s">
        <v>218</v>
      </c>
      <c r="B36" t="s">
        <v>333</v>
      </c>
      <c r="C36" s="3" t="str">
        <f t="shared" si="0"/>
        <v>2018%20Project%20Summaries\2018-035_Summary.pdf</v>
      </c>
      <c r="D36" s="3" t="str">
        <f t="shared" si="1"/>
        <v>2018 Presentations pdf format\2018-035 LTCNC - Sowers Pr, Yadkin R UT.pdf</v>
      </c>
      <c r="E36" s="3" t="str">
        <f t="shared" si="2"/>
        <v>2018 Applications\2018-035 LTCNC - Sowers Pr, Yadkin R UT.pdf</v>
      </c>
      <c r="F36" t="s">
        <v>218</v>
      </c>
      <c r="G36" t="s">
        <v>334</v>
      </c>
      <c r="H36" t="s">
        <v>334</v>
      </c>
    </row>
    <row r="37" spans="1:8" x14ac:dyDescent="0.25">
      <c r="A37" t="s">
        <v>168</v>
      </c>
      <c r="B37" t="s">
        <v>335</v>
      </c>
      <c r="C37" s="3" t="str">
        <f t="shared" si="0"/>
        <v>2018%20Project%20Summaries\2018-036_Summary.pdf</v>
      </c>
      <c r="D37" s="3" t="str">
        <f t="shared" si="1"/>
        <v>2018 Presentations pdf format\2018-036 LTCNC - Young Pr, S Yadkin UT.pdf</v>
      </c>
      <c r="E37" s="3" t="str">
        <f t="shared" si="2"/>
        <v>2018 Applications\2018-036 LTCNC - Young Pr, S Yadkin UT.pdf</v>
      </c>
      <c r="F37" t="s">
        <v>168</v>
      </c>
      <c r="G37" t="s">
        <v>336</v>
      </c>
      <c r="H37" t="s">
        <v>336</v>
      </c>
    </row>
    <row r="38" spans="1:8" x14ac:dyDescent="0.25">
      <c r="A38" t="s">
        <v>98</v>
      </c>
      <c r="B38" t="s">
        <v>337</v>
      </c>
      <c r="C38" s="3" t="str">
        <f t="shared" si="0"/>
        <v>2018%20Project%20Summaries\2018-037_Summary.pdf</v>
      </c>
      <c r="D38" s="3" t="str">
        <f t="shared" si="1"/>
        <v>2018 Presentations pdf format\2018-037 MCT - Cartoogechaye Cr GW Extension.pdf</v>
      </c>
      <c r="E38" s="3" t="str">
        <f t="shared" si="2"/>
        <v>2018 Applications\2018-037 MCT - Cartoogechaye Cr GW Extension.pdf</v>
      </c>
      <c r="F38" t="s">
        <v>98</v>
      </c>
      <c r="G38" t="s">
        <v>338</v>
      </c>
      <c r="H38" t="s">
        <v>338</v>
      </c>
    </row>
    <row r="39" spans="1:8" x14ac:dyDescent="0.25">
      <c r="A39" t="s">
        <v>76</v>
      </c>
      <c r="B39" t="s">
        <v>339</v>
      </c>
      <c r="C39" s="3" t="str">
        <f t="shared" si="0"/>
        <v>2018%20Project%20Summaries\2018-038_Summary.pdf</v>
      </c>
      <c r="D39" s="3" t="str">
        <f t="shared" si="1"/>
        <v>2018 Presentations pdf format\2018-038 MCT - Shut-In Cr, Plott Balsam Range.pdf</v>
      </c>
      <c r="E39" s="3" t="str">
        <f t="shared" si="2"/>
        <v>2018 Applications\2018-038 MCT - Shut-In Cr, Plott Balsam Range.pdf</v>
      </c>
      <c r="F39" t="s">
        <v>76</v>
      </c>
      <c r="G39" t="s">
        <v>340</v>
      </c>
      <c r="H39" t="s">
        <v>340</v>
      </c>
    </row>
    <row r="40" spans="1:8" x14ac:dyDescent="0.25">
      <c r="A40" t="s">
        <v>62</v>
      </c>
      <c r="B40" t="s">
        <v>341</v>
      </c>
      <c r="C40" s="3" t="str">
        <f t="shared" si="0"/>
        <v>2018%20Project%20Summaries\2018-039_Summary.pdf</v>
      </c>
      <c r="D40" s="3" t="str">
        <f t="shared" si="1"/>
        <v>2018 Presentations pdf format\2018-039 MCT - Simp Gap, Cheoah Bald.pdf</v>
      </c>
      <c r="E40" s="3" t="str">
        <f t="shared" si="2"/>
        <v>2018 Applications\2018-039 MCT - Simp Gap, Cheoah Bald.pdf</v>
      </c>
      <c r="F40" t="s">
        <v>62</v>
      </c>
      <c r="G40" t="s">
        <v>342</v>
      </c>
      <c r="H40" t="s">
        <v>342</v>
      </c>
    </row>
    <row r="41" spans="1:8" x14ac:dyDescent="0.25">
      <c r="A41" t="s">
        <v>150</v>
      </c>
      <c r="B41" t="s">
        <v>343</v>
      </c>
      <c r="C41" s="3" t="str">
        <f t="shared" si="0"/>
        <v>2018%20Project%20Summaries\2018-040_Summary.pdf</v>
      </c>
      <c r="D41" s="3" t="str">
        <f t="shared" si="1"/>
        <v>2018 Presentations pdf format\2018-040 MVSD - Campbell Lick Trs.pdf</v>
      </c>
      <c r="E41" s="3" t="str">
        <f t="shared" si="2"/>
        <v>2018 Applications\2018-040 MVSD - Campbell Lick Trs.pdf</v>
      </c>
      <c r="F41" t="s">
        <v>150</v>
      </c>
      <c r="G41" t="s">
        <v>344</v>
      </c>
      <c r="H41" t="s">
        <v>344</v>
      </c>
    </row>
    <row r="42" spans="1:8" x14ac:dyDescent="0.25">
      <c r="A42" t="s">
        <v>155</v>
      </c>
      <c r="B42" t="s">
        <v>345</v>
      </c>
      <c r="C42" s="3" t="str">
        <f t="shared" si="0"/>
        <v>2018%20Project%20Summaries\2018-041_Summary.pdf</v>
      </c>
      <c r="D42" s="3" t="str">
        <f t="shared" si="1"/>
        <v>2018 Presentations pdf format\2018-041 MVSD - Johnson Br Trs.pdf</v>
      </c>
      <c r="E42" s="3" t="str">
        <f t="shared" si="2"/>
        <v>2018 Applications\2018-041 MVSD - Johnson Br Trs.pdf</v>
      </c>
      <c r="F42" t="s">
        <v>155</v>
      </c>
      <c r="G42" t="s">
        <v>346</v>
      </c>
      <c r="H42" t="s">
        <v>346</v>
      </c>
    </row>
    <row r="43" spans="1:8" x14ac:dyDescent="0.25">
      <c r="A43" t="s">
        <v>95</v>
      </c>
      <c r="B43" t="s">
        <v>347</v>
      </c>
      <c r="C43" s="3" t="str">
        <f t="shared" si="0"/>
        <v>2018%20Project%20Summaries\2018-042_Summary.pdf</v>
      </c>
      <c r="D43" s="3" t="str">
        <f t="shared" si="1"/>
        <v>2018 Presentations pdf format\2018-042 NC Bot Garden - Cochrane, Laurel Hill.pdf</v>
      </c>
      <c r="E43" s="3" t="str">
        <f t="shared" si="2"/>
        <v>2018 Applications\2018-042 NC Bot Garden - Cochrane, Laurel Hill.pdf</v>
      </c>
      <c r="F43" t="s">
        <v>95</v>
      </c>
      <c r="G43" t="s">
        <v>348</v>
      </c>
      <c r="H43" t="s">
        <v>348</v>
      </c>
    </row>
    <row r="44" spans="1:8" x14ac:dyDescent="0.25">
      <c r="A44" t="s">
        <v>178</v>
      </c>
      <c r="B44" t="s">
        <v>349</v>
      </c>
      <c r="C44" s="3" t="str">
        <f t="shared" si="0"/>
        <v>2018%20Project%20Summaries\2018-043_Summary.pdf</v>
      </c>
      <c r="D44" s="3" t="str">
        <f t="shared" si="1"/>
        <v>2018 Presentations pdf format\2018-043 NCCF - Stroud Tr, Bogue Sd.pdf</v>
      </c>
      <c r="E44" s="3" t="str">
        <f t="shared" si="2"/>
        <v>2018 Applications\2018-043 NCCF - Stroud Tr, Bogue Sd.pdf</v>
      </c>
      <c r="F44" t="s">
        <v>178</v>
      </c>
      <c r="G44" t="s">
        <v>350</v>
      </c>
      <c r="H44" t="s">
        <v>350</v>
      </c>
    </row>
    <row r="45" spans="1:8" x14ac:dyDescent="0.25">
      <c r="A45" t="s">
        <v>108</v>
      </c>
      <c r="B45" t="s">
        <v>351</v>
      </c>
      <c r="C45" s="3" t="str">
        <f t="shared" si="0"/>
        <v>2018%20Project%20Summaries\2018-044_Summary.pdf</v>
      </c>
      <c r="D45" s="3" t="str">
        <f t="shared" si="1"/>
        <v>2018 Presentations pdf format\2018-044 NCCLT - Duck Cr Wetlands.pdf</v>
      </c>
      <c r="E45" s="3" t="str">
        <f t="shared" si="2"/>
        <v>2018 Applications\2018-044 NCCLT - Duck Cr Wetlands.pdf</v>
      </c>
      <c r="F45" t="s">
        <v>108</v>
      </c>
      <c r="G45" t="s">
        <v>352</v>
      </c>
      <c r="H45" t="s">
        <v>352</v>
      </c>
    </row>
    <row r="46" spans="1:8" x14ac:dyDescent="0.25">
      <c r="A46" t="s">
        <v>50</v>
      </c>
      <c r="B46" t="s">
        <v>353</v>
      </c>
      <c r="C46" s="3" t="str">
        <f t="shared" si="0"/>
        <v>2018%20Project%20Summaries\2018-045_Summary.pdf</v>
      </c>
      <c r="D46" s="3" t="str">
        <f t="shared" si="1"/>
        <v>2018 Presentations pdf format\2018-045 NCCLT - Salters Cr Landing.pdf</v>
      </c>
      <c r="E46" s="3" t="str">
        <f t="shared" si="2"/>
        <v>2018 Applications\2018-045 NCCLT - Salters Cr Landing.pdf</v>
      </c>
      <c r="F46" t="s">
        <v>50</v>
      </c>
      <c r="G46" t="s">
        <v>354</v>
      </c>
      <c r="H46" t="s">
        <v>354</v>
      </c>
    </row>
    <row r="47" spans="1:8" x14ac:dyDescent="0.25">
      <c r="A47" t="s">
        <v>210</v>
      </c>
      <c r="B47" t="s">
        <v>355</v>
      </c>
      <c r="C47" s="3" t="str">
        <f t="shared" si="0"/>
        <v>2018%20Project%20Summaries\2018-046_Summary.pdf</v>
      </c>
      <c r="D47" s="3" t="str">
        <f t="shared" si="1"/>
        <v>2018 Presentations pdf format\2018-046 NCDCM - Meter Point Tr, Kitty Hawk Woods.pdf</v>
      </c>
      <c r="E47" s="3" t="str">
        <f t="shared" si="2"/>
        <v>2018 Applications\2018-046 NCDCM - Meter Point Tr, Kitty Hawk Woods.pdf</v>
      </c>
      <c r="F47" t="s">
        <v>210</v>
      </c>
      <c r="G47" t="s">
        <v>356</v>
      </c>
      <c r="H47" t="s">
        <v>356</v>
      </c>
    </row>
    <row r="48" spans="1:8" x14ac:dyDescent="0.25">
      <c r="A48" t="s">
        <v>134</v>
      </c>
      <c r="B48" t="s">
        <v>357</v>
      </c>
      <c r="C48" s="3" t="str">
        <f t="shared" si="0"/>
        <v>2018%20Project%20Summaries\2018-047_Summary.pdf</v>
      </c>
      <c r="D48" s="3" t="str">
        <f t="shared" si="1"/>
        <v>2018 Presentations pdf format\2018-047 NCDNCR - Sharpe &amp; Drake Tr, Alamance BG.pdf</v>
      </c>
      <c r="E48" s="3" t="str">
        <f t="shared" si="2"/>
        <v>2018 Applications\2018-047 NCDNCR - Sharpe &amp; Drake Tr, Alamance BG.pdf</v>
      </c>
      <c r="F48" t="s">
        <v>134</v>
      </c>
      <c r="G48" t="s">
        <v>358</v>
      </c>
      <c r="H48" t="s">
        <v>358</v>
      </c>
    </row>
    <row r="49" spans="1:8" x14ac:dyDescent="0.25">
      <c r="A49" t="s">
        <v>111</v>
      </c>
      <c r="B49" t="s">
        <v>359</v>
      </c>
      <c r="C49" s="3" t="str">
        <f t="shared" si="0"/>
        <v>2018%20Project%20Summaries\2018-048_Summary.pdf</v>
      </c>
      <c r="D49" s="3" t="str">
        <f t="shared" si="1"/>
        <v>2018 Presentations pdf format\2018-048 NCDPR - Ivy Creek Tr, South Mtn SP.pdf</v>
      </c>
      <c r="E49" s="3" t="str">
        <f t="shared" si="2"/>
        <v>2018 Applications\2018-048 NCDPR - Ivy Creek Tr, South Mtn SP.pdf</v>
      </c>
      <c r="F49" t="s">
        <v>111</v>
      </c>
      <c r="G49" t="s">
        <v>360</v>
      </c>
      <c r="H49" t="s">
        <v>360</v>
      </c>
    </row>
    <row r="50" spans="1:8" x14ac:dyDescent="0.25">
      <c r="A50" t="s">
        <v>153</v>
      </c>
      <c r="B50" t="s">
        <v>361</v>
      </c>
      <c r="C50" s="3" t="str">
        <f t="shared" si="0"/>
        <v>2018%20Project%20Summaries\2018-049_Summary.pdf</v>
      </c>
      <c r="D50" s="3" t="str">
        <f t="shared" si="1"/>
        <v>2018 Presentations pdf format\2018-049 NCFS - Addition Trs, Headwaters SF.pdf</v>
      </c>
      <c r="E50" s="3" t="str">
        <f t="shared" si="2"/>
        <v>2018 Applications\2018-049 NCFS - Addition Trs, Headwaters SF.pdf</v>
      </c>
      <c r="F50" t="s">
        <v>153</v>
      </c>
      <c r="G50" t="s">
        <v>362</v>
      </c>
      <c r="H50" t="s">
        <v>362</v>
      </c>
    </row>
    <row r="51" spans="1:8" x14ac:dyDescent="0.25">
      <c r="A51" t="s">
        <v>226</v>
      </c>
      <c r="B51" t="s">
        <v>363</v>
      </c>
      <c r="C51" s="3" t="str">
        <f t="shared" si="0"/>
        <v>2018%20Project%20Summaries\2018-050_Summary.pdf</v>
      </c>
      <c r="D51" s="3" t="str">
        <f t="shared" si="1"/>
        <v>2018 Presentations pdf format\2018-050 NCFS - Beaver Cr HW, State Forest.pdf</v>
      </c>
      <c r="E51" s="3" t="str">
        <f t="shared" si="2"/>
        <v>2018 Applications\2018-050 NCFS - Beaver Cr HW, State Forest.pdf</v>
      </c>
      <c r="F51" t="s">
        <v>226</v>
      </c>
      <c r="G51" t="s">
        <v>364</v>
      </c>
      <c r="H51" t="s">
        <v>364</v>
      </c>
    </row>
    <row r="52" spans="1:8" x14ac:dyDescent="0.25">
      <c r="A52" t="s">
        <v>146</v>
      </c>
      <c r="B52" t="s">
        <v>365</v>
      </c>
      <c r="C52" s="3" t="str">
        <f t="shared" si="0"/>
        <v>2018%20Project%20Summaries\2018-051_Summary.pdf</v>
      </c>
      <c r="D52" s="3" t="str">
        <f t="shared" si="1"/>
        <v>2018 Presentations pdf format\2018-051 NCWRC - Herrin Tr, Pond Mtn GL.pdf</v>
      </c>
      <c r="E52" s="3" t="str">
        <f t="shared" si="2"/>
        <v>2018 Applications\2018-051 NCWRC - Herrin Tr, Pond Mtn GL.pdf</v>
      </c>
      <c r="F52" t="s">
        <v>146</v>
      </c>
      <c r="G52" t="s">
        <v>366</v>
      </c>
      <c r="H52" t="s">
        <v>366</v>
      </c>
    </row>
    <row r="53" spans="1:8" x14ac:dyDescent="0.25">
      <c r="A53" t="s">
        <v>143</v>
      </c>
      <c r="B53" t="s">
        <v>367</v>
      </c>
      <c r="C53" s="3" t="str">
        <f t="shared" si="0"/>
        <v>2018%20Project%20Summaries\2018-052_Summary.pdf</v>
      </c>
      <c r="D53" s="3" t="str">
        <f t="shared" si="1"/>
        <v>2018 Presentations pdf format\2018-052 NCWRC - Rocky Swp.pdf</v>
      </c>
      <c r="E53" s="3" t="str">
        <f t="shared" si="2"/>
        <v>2018 Applications\2018-052 NCWRC - Rocky Swp.pdf</v>
      </c>
      <c r="F53" t="s">
        <v>143</v>
      </c>
      <c r="G53" t="s">
        <v>368</v>
      </c>
      <c r="H53" t="s">
        <v>368</v>
      </c>
    </row>
    <row r="54" spans="1:8" x14ac:dyDescent="0.25">
      <c r="A54" t="s">
        <v>140</v>
      </c>
      <c r="B54" t="s">
        <v>369</v>
      </c>
      <c r="C54" s="3" t="str">
        <f t="shared" si="0"/>
        <v>2018%20Project%20Summaries\2018-053_Summary.pdf</v>
      </c>
      <c r="D54" s="3" t="str">
        <f t="shared" si="1"/>
        <v>2018 Presentations pdf format\2018-053 Orange Co - Sevenmile Cr Preserve.pdf</v>
      </c>
      <c r="E54" s="3" t="str">
        <f t="shared" si="2"/>
        <v>2018 Applications\2018-053 Orange Co - Sevenmile Cr Preserve.pdf</v>
      </c>
      <c r="F54" t="s">
        <v>140</v>
      </c>
      <c r="G54" t="s">
        <v>370</v>
      </c>
      <c r="H54" t="s">
        <v>370</v>
      </c>
    </row>
    <row r="55" spans="1:8" x14ac:dyDescent="0.25">
      <c r="A55" t="s">
        <v>221</v>
      </c>
      <c r="B55" t="s">
        <v>371</v>
      </c>
      <c r="C55" s="3" t="str">
        <f t="shared" si="0"/>
        <v>2018%20Project%20Summaries\2018-054_Summary.pdf</v>
      </c>
      <c r="D55" s="3" t="str">
        <f t="shared" si="1"/>
        <v>2018 Presentations pdf format\2018-054 PLC - Lassiter Tr, Elkin Cr.pdf</v>
      </c>
      <c r="E55" s="3" t="str">
        <f t="shared" si="2"/>
        <v>2018 Applications\2018-054 PLC - Lassiter Tr, Elkin Cr.pdf</v>
      </c>
      <c r="F55" t="s">
        <v>221</v>
      </c>
      <c r="G55" t="s">
        <v>372</v>
      </c>
      <c r="H55" t="s">
        <v>372</v>
      </c>
    </row>
    <row r="56" spans="1:8" x14ac:dyDescent="0.25">
      <c r="A56" t="s">
        <v>123</v>
      </c>
      <c r="B56" t="s">
        <v>373</v>
      </c>
      <c r="C56" s="3" t="str">
        <f t="shared" si="0"/>
        <v>2018%20Project%20Summaries\2018-055_Summary.pdf</v>
      </c>
      <c r="D56" s="3" t="str">
        <f t="shared" si="1"/>
        <v>2018 Presentations pdf format\2018-055 SAHC - Greene Cr, Yellow Mtn SNA.pdf</v>
      </c>
      <c r="E56" s="3" t="str">
        <f t="shared" si="2"/>
        <v>2018 Applications\2018-055 SAHC - Greene Cr, Yellow Mtn SNA.pdf</v>
      </c>
      <c r="F56" t="s">
        <v>123</v>
      </c>
      <c r="G56" t="s">
        <v>374</v>
      </c>
      <c r="H56" t="s">
        <v>374</v>
      </c>
    </row>
    <row r="57" spans="1:8" x14ac:dyDescent="0.25">
      <c r="A57" t="s">
        <v>195</v>
      </c>
      <c r="B57" t="s">
        <v>375</v>
      </c>
      <c r="C57" s="3" t="str">
        <f t="shared" si="0"/>
        <v>2018%20Project%20Summaries\2018-056_Summary.pdf</v>
      </c>
      <c r="D57" s="3" t="str">
        <f t="shared" si="1"/>
        <v>2018 Presentations pdf format\2018-056 SAHC - Jones Tr, Roaring Cr.pdf</v>
      </c>
      <c r="E57" s="3" t="str">
        <f t="shared" si="2"/>
        <v>2018 Applications\2018-056 SAHC - Jones Tr, Roaring Cr.pdf</v>
      </c>
      <c r="F57" t="s">
        <v>195</v>
      </c>
      <c r="G57" t="s">
        <v>376</v>
      </c>
      <c r="H57" t="s">
        <v>376</v>
      </c>
    </row>
    <row r="58" spans="1:8" x14ac:dyDescent="0.25">
      <c r="A58" t="s">
        <v>186</v>
      </c>
      <c r="B58" t="s">
        <v>377</v>
      </c>
      <c r="C58" s="3" t="str">
        <f t="shared" si="0"/>
        <v>2018%20Project%20Summaries\2018-057_Summary.pdf</v>
      </c>
      <c r="D58" s="3" t="str">
        <f t="shared" si="1"/>
        <v>2018 Presentations pdf format\2018-057 SALT - Kiser, Deep R.pdf</v>
      </c>
      <c r="E58" s="3" t="str">
        <f t="shared" si="2"/>
        <v>2018 Applications\2018-057 SALT - Kiser, Deep R.pdf</v>
      </c>
      <c r="F58" t="s">
        <v>186</v>
      </c>
      <c r="G58" t="s">
        <v>378</v>
      </c>
      <c r="H58" t="s">
        <v>378</v>
      </c>
    </row>
    <row r="59" spans="1:8" x14ac:dyDescent="0.25">
      <c r="A59" t="s">
        <v>220</v>
      </c>
      <c r="B59" t="s">
        <v>379</v>
      </c>
      <c r="C59" s="3" t="str">
        <f t="shared" si="0"/>
        <v>2018%20Project%20Summaries\2018-058_Summary.pdf</v>
      </c>
      <c r="D59" s="3" t="str">
        <f t="shared" si="1"/>
        <v>2018 Presentations pdf format\2018-058 SALT - Richardson Preserve, Nats Cr UT.pdf</v>
      </c>
      <c r="E59" s="3" t="str">
        <f t="shared" si="2"/>
        <v>2018 Applications\2018-058 SALT - Richardson Preserve, Nats Cr UT.pdf</v>
      </c>
      <c r="F59" t="s">
        <v>220</v>
      </c>
      <c r="G59" t="s">
        <v>380</v>
      </c>
      <c r="H59" t="s">
        <v>380</v>
      </c>
    </row>
    <row r="60" spans="1:8" x14ac:dyDescent="0.25">
      <c r="A60" t="s">
        <v>105</v>
      </c>
      <c r="B60" t="s">
        <v>381</v>
      </c>
      <c r="C60" s="3" t="str">
        <f t="shared" si="0"/>
        <v>2018%20Project%20Summaries\2018-059_Summary.pdf</v>
      </c>
      <c r="D60" s="3" t="str">
        <f t="shared" si="1"/>
        <v>2018 Presentations pdf format\2018-059 SALT - Rogers, Drowning Cr.pdf</v>
      </c>
      <c r="E60" s="3" t="str">
        <f t="shared" si="2"/>
        <v>2018 Applications\2018-059 SALT - Rogers, Dronwing Cr.pdf</v>
      </c>
      <c r="F60" t="s">
        <v>105</v>
      </c>
      <c r="G60" t="s">
        <v>382</v>
      </c>
      <c r="H60" t="s">
        <v>571</v>
      </c>
    </row>
    <row r="61" spans="1:8" x14ac:dyDescent="0.25">
      <c r="A61" t="s">
        <v>79</v>
      </c>
      <c r="B61" t="s">
        <v>383</v>
      </c>
      <c r="C61" s="3" t="str">
        <f t="shared" si="0"/>
        <v>2018%20Project%20Summaries\2018-060_Summary.pdf</v>
      </c>
      <c r="D61" s="3" t="str">
        <f t="shared" si="1"/>
        <v>2018 Presentations pdf format\2018-060 TCF - Blackrock Cr, Plott Balsam Range.pdf</v>
      </c>
      <c r="E61" s="3" t="str">
        <f t="shared" si="2"/>
        <v>2018 Applications\2018-060 TCF - Blackrock Cr, Plott Balsam Range.pdf</v>
      </c>
      <c r="F61" t="s">
        <v>79</v>
      </c>
      <c r="G61" t="s">
        <v>384</v>
      </c>
      <c r="H61" t="s">
        <v>384</v>
      </c>
    </row>
    <row r="62" spans="1:8" x14ac:dyDescent="0.25">
      <c r="A62" t="s">
        <v>53</v>
      </c>
      <c r="B62" t="s">
        <v>385</v>
      </c>
      <c r="C62" s="3" t="str">
        <f t="shared" si="0"/>
        <v>2018%20Project%20Summaries\2018-061_Summary.pdf</v>
      </c>
      <c r="D62" s="3" t="str">
        <f t="shared" si="1"/>
        <v>2018 Presentations pdf format\2018-061 TCF - Deep R.pdf</v>
      </c>
      <c r="E62" s="3" t="str">
        <f t="shared" si="2"/>
        <v>2018 Applications\2018-061 TCF - Deep R.pdf</v>
      </c>
      <c r="F62" t="s">
        <v>53</v>
      </c>
      <c r="G62" t="s">
        <v>386</v>
      </c>
      <c r="H62" t="s">
        <v>386</v>
      </c>
    </row>
    <row r="63" spans="1:8" x14ac:dyDescent="0.25">
      <c r="A63" t="s">
        <v>238</v>
      </c>
      <c r="B63" t="s">
        <v>387</v>
      </c>
      <c r="C63" s="3" t="str">
        <f t="shared" si="0"/>
        <v>2018%20Project%20Summaries\2018-062_Summary.pdf</v>
      </c>
      <c r="D63" s="3" t="str">
        <f t="shared" si="1"/>
        <v>2018 Presentations pdf format\</v>
      </c>
      <c r="E63" s="3" t="str">
        <f t="shared" si="2"/>
        <v>2018 Applications\2018-062 TCF - Fire Cr, Silver GL.pdf</v>
      </c>
      <c r="F63" t="s">
        <v>238</v>
      </c>
      <c r="G63" t="s">
        <v>388</v>
      </c>
    </row>
    <row r="64" spans="1:8" x14ac:dyDescent="0.25">
      <c r="A64" t="s">
        <v>233</v>
      </c>
      <c r="B64" t="s">
        <v>389</v>
      </c>
      <c r="C64" s="3" t="str">
        <f t="shared" si="0"/>
        <v>2018%20Project%20Summaries\2018-063_Summary.pdf</v>
      </c>
      <c r="D64" s="3" t="str">
        <f t="shared" si="1"/>
        <v>2018 Presentations pdf format\2018-063 TCF - Kings Cr, State Forest.pdf</v>
      </c>
      <c r="E64" s="3" t="str">
        <f t="shared" si="2"/>
        <v>2018 Applications\2018-063 TCF - Kings Cr, State Forest.pdf</v>
      </c>
      <c r="F64" t="s">
        <v>233</v>
      </c>
      <c r="G64" t="s">
        <v>390</v>
      </c>
      <c r="H64" t="s">
        <v>390</v>
      </c>
    </row>
    <row r="65" spans="1:8" x14ac:dyDescent="0.25">
      <c r="A65" t="s">
        <v>205</v>
      </c>
      <c r="B65" t="s">
        <v>391</v>
      </c>
      <c r="C65" s="3" t="str">
        <f t="shared" si="0"/>
        <v>2018%20Project%20Summaries\2018-064_Summary.pdf</v>
      </c>
      <c r="D65" s="3" t="str">
        <f t="shared" si="1"/>
        <v>2018 Presentations pdf format\2018-064 TCF - Long Arm Mtn, Linville Gorge.pdf</v>
      </c>
      <c r="E65" s="3" t="str">
        <f t="shared" si="2"/>
        <v>2018 Applications\2018-064 TCF - Long Arm Mtn, Linville Gorge.pdf</v>
      </c>
      <c r="F65" t="s">
        <v>205</v>
      </c>
      <c r="G65" t="s">
        <v>392</v>
      </c>
      <c r="H65" t="s">
        <v>392</v>
      </c>
    </row>
    <row r="66" spans="1:8" x14ac:dyDescent="0.25">
      <c r="A66" t="s">
        <v>197</v>
      </c>
      <c r="B66" t="s">
        <v>393</v>
      </c>
      <c r="C66" s="3" t="str">
        <f t="shared" si="0"/>
        <v>2018%20Project%20Summaries\2018-065_Summary.pdf</v>
      </c>
      <c r="D66" s="3" t="str">
        <f t="shared" si="1"/>
        <v>2018 Presentations pdf format\2018-065 TCF - Turkey Ridge, Cane R.pdf</v>
      </c>
      <c r="E66" s="3" t="str">
        <f t="shared" si="2"/>
        <v>2018 Applications\2018-065 TCF - Turkey Ridge, Cane R.pdf</v>
      </c>
      <c r="F66" t="s">
        <v>197</v>
      </c>
      <c r="G66" t="s">
        <v>394</v>
      </c>
      <c r="H66" t="s">
        <v>394</v>
      </c>
    </row>
    <row r="67" spans="1:8" x14ac:dyDescent="0.25">
      <c r="A67" t="s">
        <v>137</v>
      </c>
      <c r="B67" t="s">
        <v>395</v>
      </c>
      <c r="C67" s="3" t="str">
        <f t="shared" ref="C67:C121" si="3">HYPERLINK("2018%20Project%20Summaries\"&amp;F67&amp;"_Summary.pdf")</f>
        <v>2018%20Project%20Summaries\2018-066_Summary.pdf</v>
      </c>
      <c r="D67" s="3" t="str">
        <f t="shared" ref="D67:D121" si="4">HYPERLINK("2018 Presentations pdf format\"&amp;H67)</f>
        <v>2018 Presentations pdf format\2018-066 TLC - Turnipseed South.pdf</v>
      </c>
      <c r="E67" s="3" t="str">
        <f t="shared" ref="E67:E121" si="5">HYPERLINK("2018 Applications\"&amp;G67)</f>
        <v>2018 Applications\2018-066 TLC - Turnipseed South.pdf</v>
      </c>
      <c r="F67" t="s">
        <v>137</v>
      </c>
      <c r="G67" t="s">
        <v>396</v>
      </c>
      <c r="H67" t="s">
        <v>396</v>
      </c>
    </row>
    <row r="68" spans="1:8" x14ac:dyDescent="0.25">
      <c r="A68" t="s">
        <v>128</v>
      </c>
      <c r="B68" t="s">
        <v>397</v>
      </c>
      <c r="C68" s="3" t="str">
        <f t="shared" si="3"/>
        <v>2018%20Project%20Summaries\2018-067_Summary.pdf</v>
      </c>
      <c r="D68" s="3" t="str">
        <f t="shared" si="4"/>
        <v>2018 Presentations pdf format\2018-067 TNC - Brown Tr, Black R.pdf</v>
      </c>
      <c r="E68" s="3" t="str">
        <f t="shared" si="5"/>
        <v>2018 Applications\2018-067 TNC - Brown Tr, Black R.pdf</v>
      </c>
      <c r="F68" t="s">
        <v>128</v>
      </c>
      <c r="G68" t="s">
        <v>398</v>
      </c>
      <c r="H68" t="s">
        <v>398</v>
      </c>
    </row>
    <row r="69" spans="1:8" x14ac:dyDescent="0.25">
      <c r="A69" t="s">
        <v>171</v>
      </c>
      <c r="B69" t="s">
        <v>399</v>
      </c>
      <c r="C69" s="3" t="str">
        <f t="shared" si="3"/>
        <v>2018%20Project%20Summaries\2018-068_Summary.pdf</v>
      </c>
      <c r="D69" s="3" t="str">
        <f t="shared" si="4"/>
        <v>2018 Presentations pdf format\2018-068 TNC - Bull Hill, Roanoke R.pdf</v>
      </c>
      <c r="E69" s="3" t="str">
        <f t="shared" si="5"/>
        <v>2018 Applications\2018-068 TNC - Bull Hill, Roanoke R.pdf</v>
      </c>
      <c r="F69" t="s">
        <v>171</v>
      </c>
      <c r="G69" t="s">
        <v>400</v>
      </c>
      <c r="H69" t="s">
        <v>400</v>
      </c>
    </row>
    <row r="70" spans="1:8" x14ac:dyDescent="0.25">
      <c r="A70" t="s">
        <v>71</v>
      </c>
      <c r="B70" t="s">
        <v>401</v>
      </c>
      <c r="C70" s="3" t="str">
        <f t="shared" si="3"/>
        <v>2018%20Project%20Summaries\2018-069_Summary.pdf</v>
      </c>
      <c r="D70" s="3" t="str">
        <f t="shared" si="4"/>
        <v>2018 Presentations pdf format\2018-069 TNC - Connell &amp; Crutchfield, Ft Bragg SHGL Gap.pdf</v>
      </c>
      <c r="E70" s="3" t="str">
        <f t="shared" si="5"/>
        <v>2018 Applications\2018-069 TNC - Connell &amp; Crutchfield, Ft Bragg SHGL Gap.pdf</v>
      </c>
      <c r="F70" t="s">
        <v>71</v>
      </c>
      <c r="G70" t="s">
        <v>402</v>
      </c>
      <c r="H70" t="s">
        <v>402</v>
      </c>
    </row>
    <row r="71" spans="1:8" x14ac:dyDescent="0.25">
      <c r="A71" t="s">
        <v>162</v>
      </c>
      <c r="B71" t="s">
        <v>403</v>
      </c>
      <c r="C71" s="3" t="str">
        <f t="shared" si="3"/>
        <v>2018%20Project%20Summaries\2018-070_Summary.pdf</v>
      </c>
      <c r="D71" s="3" t="str">
        <f t="shared" si="4"/>
        <v>2018 Presentations pdf format\2018-070 TNC - Evans and K&amp;W, Black R .pdf</v>
      </c>
      <c r="E71" s="3" t="str">
        <f t="shared" si="5"/>
        <v>2018 Applications\2018-070 TNC - Evans and K&amp;W, Black R.pdf</v>
      </c>
      <c r="F71" t="s">
        <v>162</v>
      </c>
      <c r="G71" t="s">
        <v>404</v>
      </c>
      <c r="H71" t="s">
        <v>405</v>
      </c>
    </row>
    <row r="72" spans="1:8" x14ac:dyDescent="0.25">
      <c r="A72" t="s">
        <v>160</v>
      </c>
      <c r="B72" t="s">
        <v>406</v>
      </c>
      <c r="C72" s="3" t="str">
        <f t="shared" si="3"/>
        <v>2018%20Project%20Summaries\2018-071_Summary.pdf</v>
      </c>
      <c r="D72" s="3" t="str">
        <f t="shared" si="4"/>
        <v>2018 Presentations pdf format\2018-071 TNC - Gray Tr, Flat Swp.pdf</v>
      </c>
      <c r="E72" s="3" t="str">
        <f t="shared" si="5"/>
        <v>2018 Applications\2018-071 TNC - Gray Tr, Flat Swp.pdf</v>
      </c>
      <c r="F72" t="s">
        <v>160</v>
      </c>
      <c r="G72" t="s">
        <v>407</v>
      </c>
      <c r="H72" t="s">
        <v>407</v>
      </c>
    </row>
    <row r="73" spans="1:8" x14ac:dyDescent="0.25">
      <c r="A73" t="s">
        <v>47</v>
      </c>
      <c r="B73" t="s">
        <v>408</v>
      </c>
      <c r="C73" s="3" t="str">
        <f t="shared" si="3"/>
        <v>2018%20Project%20Summaries\2018-072_Summary.pdf</v>
      </c>
      <c r="D73" s="3" t="str">
        <f t="shared" si="4"/>
        <v>2018 Presentations pdf format\2018-072 TNC - Harrison Tr, Roanoke R.pdf</v>
      </c>
      <c r="E73" s="3" t="str">
        <f t="shared" si="5"/>
        <v>2018 Applications\2018-072 TNC - Harrison Tr, Roanoke R.pdf</v>
      </c>
      <c r="F73" t="s">
        <v>47</v>
      </c>
      <c r="G73" t="s">
        <v>409</v>
      </c>
      <c r="H73" t="s">
        <v>409</v>
      </c>
    </row>
    <row r="74" spans="1:8" x14ac:dyDescent="0.25">
      <c r="A74" t="s">
        <v>165</v>
      </c>
      <c r="B74" t="s">
        <v>410</v>
      </c>
      <c r="C74" s="3" t="str">
        <f t="shared" si="3"/>
        <v>2018%20Project%20Summaries\2018-073_Summary.pdf</v>
      </c>
      <c r="D74" s="3" t="str">
        <f t="shared" si="4"/>
        <v>2018 Presentations pdf format\2018-073 TNC - Squires Tr 2, Black R.pdf</v>
      </c>
      <c r="E74" s="3" t="str">
        <f t="shared" si="5"/>
        <v>2018 Applications\2018-073 TNC - Squires Tr 2, Black R.pdf</v>
      </c>
      <c r="F74" t="s">
        <v>165</v>
      </c>
      <c r="G74" t="s">
        <v>411</v>
      </c>
      <c r="H74" t="s">
        <v>411</v>
      </c>
    </row>
    <row r="75" spans="1:8" x14ac:dyDescent="0.25">
      <c r="A75" t="s">
        <v>157</v>
      </c>
      <c r="B75" t="s">
        <v>412</v>
      </c>
      <c r="C75" s="3" t="str">
        <f t="shared" si="3"/>
        <v>2018%20Project%20Summaries\2018-074_Summary.pdf</v>
      </c>
      <c r="D75" s="3" t="str">
        <f t="shared" si="4"/>
        <v>2018 Presentations pdf format\2018-074 TRLC - Hosley Tr, Shocco Cr.pdf</v>
      </c>
      <c r="E75" s="3" t="str">
        <f t="shared" si="5"/>
        <v>2018 Applications\2018-074 TRLC - Hosley Tr, Shocco Cr.pdf</v>
      </c>
      <c r="F75" t="s">
        <v>157</v>
      </c>
      <c r="G75" t="s">
        <v>413</v>
      </c>
      <c r="H75" t="s">
        <v>413</v>
      </c>
    </row>
    <row r="76" spans="1:8" x14ac:dyDescent="0.25">
      <c r="A76" t="s">
        <v>65</v>
      </c>
      <c r="B76" t="s">
        <v>414</v>
      </c>
      <c r="C76" s="3" t="str">
        <f t="shared" si="3"/>
        <v>2018%20Project%20Summaries\2018-075_Summary.pdf</v>
      </c>
      <c r="D76" s="3" t="str">
        <f t="shared" si="4"/>
        <v>2018 Presentations pdf format\2018-075 TRLC - Hunter Tr, Dickens Cr.pdf</v>
      </c>
      <c r="E76" s="3" t="str">
        <f t="shared" si="5"/>
        <v>2018 Applications\2018-075 TRLC - Hunter Tr, Dickens Cr.pdf</v>
      </c>
      <c r="F76" t="s">
        <v>65</v>
      </c>
      <c r="G76" t="s">
        <v>415</v>
      </c>
      <c r="H76" t="s">
        <v>415</v>
      </c>
    </row>
    <row r="77" spans="1:8" x14ac:dyDescent="0.25">
      <c r="A77" t="s">
        <v>148</v>
      </c>
      <c r="B77" t="s">
        <v>416</v>
      </c>
      <c r="C77" s="3" t="str">
        <f t="shared" si="3"/>
        <v>2018%20Project%20Summaries\2018-076_Summary.pdf</v>
      </c>
      <c r="D77" s="3" t="str">
        <f t="shared" si="4"/>
        <v>2018 Presentations pdf format\2018-076 TRLC - Hunter Tr, Little Fishing Cr.pdf</v>
      </c>
      <c r="E77" s="3" t="str">
        <f t="shared" si="5"/>
        <v>2018 Applications\2018-076 TRLC - Hunter Tr, Little Fishing Cr.pdf</v>
      </c>
      <c r="F77" t="s">
        <v>148</v>
      </c>
      <c r="G77" t="s">
        <v>417</v>
      </c>
      <c r="H77" t="s">
        <v>417</v>
      </c>
    </row>
    <row r="78" spans="1:8" x14ac:dyDescent="0.25">
      <c r="A78" t="s">
        <v>194</v>
      </c>
      <c r="B78" t="s">
        <v>418</v>
      </c>
      <c r="C78" s="3" t="str">
        <f t="shared" si="3"/>
        <v>2018%20Project%20Summaries\2018-077_Summary.pdf</v>
      </c>
      <c r="D78" s="3" t="str">
        <f t="shared" si="4"/>
        <v>2018 Presentations pdf format\2018-077 TRLC - Norwood Tr, Smith Cr.pdf</v>
      </c>
      <c r="E78" s="3" t="str">
        <f t="shared" si="5"/>
        <v>2018 Applications\2018-077 TRLC - Norwood Tr, Smith Cr.pdf</v>
      </c>
      <c r="F78" t="s">
        <v>194</v>
      </c>
      <c r="G78" t="s">
        <v>419</v>
      </c>
      <c r="H78" t="s">
        <v>419</v>
      </c>
    </row>
    <row r="79" spans="1:8" x14ac:dyDescent="0.25">
      <c r="A79" t="s">
        <v>224</v>
      </c>
      <c r="B79" t="s">
        <v>420</v>
      </c>
      <c r="C79" s="3" t="str">
        <f t="shared" si="3"/>
        <v>2018%20Project%20Summaries\2018-078_Summary.pdf</v>
      </c>
      <c r="D79" s="3" t="str">
        <f t="shared" si="4"/>
        <v>2018 Presentations pdf format\2018-078 TRLC - Prestwick Tr, Holman Cr.pdf</v>
      </c>
      <c r="E79" s="3" t="str">
        <f t="shared" si="5"/>
        <v>2018 Applications\2018-078 TRLC - Prestwick Tr, Holman Cr.pdf</v>
      </c>
      <c r="F79" t="s">
        <v>224</v>
      </c>
      <c r="G79" t="s">
        <v>421</v>
      </c>
      <c r="H79" t="s">
        <v>421</v>
      </c>
    </row>
    <row r="80" spans="1:8" x14ac:dyDescent="0.25">
      <c r="A80" t="s">
        <v>213</v>
      </c>
      <c r="B80" t="s">
        <v>422</v>
      </c>
      <c r="C80" s="3" t="str">
        <f t="shared" si="3"/>
        <v>2018%20Project%20Summaries\2018-079_Summary.pdf</v>
      </c>
      <c r="D80" s="3" t="str">
        <f t="shared" si="4"/>
        <v>2018 Presentations pdf format\2018-079 UPTS - High Falls Deep R, Dam Rem Site.pdf</v>
      </c>
      <c r="E80" s="3" t="str">
        <f t="shared" si="5"/>
        <v>2018 Applications\2018-079 UPTS - High Falls Deep R, Dam Rem Site.pdf</v>
      </c>
      <c r="F80" t="s">
        <v>213</v>
      </c>
      <c r="G80" t="s">
        <v>423</v>
      </c>
      <c r="H80" t="s">
        <v>423</v>
      </c>
    </row>
    <row r="81" spans="1:8" x14ac:dyDescent="0.25">
      <c r="A81" t="s">
        <v>174</v>
      </c>
      <c r="B81" t="s">
        <v>424</v>
      </c>
      <c r="C81" s="3" t="str">
        <f t="shared" si="3"/>
        <v>2018%20Project%20Summaries\2018-080_Summary.pdf</v>
      </c>
      <c r="D81" s="3" t="str">
        <f t="shared" si="4"/>
        <v>2018 Presentations pdf format\2018-080 Winston-Salem - Muddy Cr Pr, Historic Bethania.pdf</v>
      </c>
      <c r="E81" s="3" t="str">
        <f t="shared" si="5"/>
        <v>2018 Applications\2018-080 Winston-Salem - Muddy Cr Pr, Historic Bethania.pdf</v>
      </c>
      <c r="F81" t="s">
        <v>174</v>
      </c>
      <c r="G81" t="s">
        <v>425</v>
      </c>
      <c r="H81" t="s">
        <v>425</v>
      </c>
    </row>
    <row r="82" spans="1:8" x14ac:dyDescent="0.25">
      <c r="A82" t="s">
        <v>426</v>
      </c>
      <c r="B82" t="s">
        <v>427</v>
      </c>
      <c r="C82" s="3" t="str">
        <f t="shared" si="3"/>
        <v>2018%20Project%20Summaries\2018-1001_Summary.pdf</v>
      </c>
      <c r="D82" s="3" t="str">
        <f t="shared" si="4"/>
        <v>2018 Presentations pdf format\2018-1001 Asheville - Celia Place ISW.pdf</v>
      </c>
      <c r="E82" s="3" t="str">
        <f t="shared" si="5"/>
        <v>2018 Applications\2018-1001 Asheville - Celia Place ISW.pdf</v>
      </c>
      <c r="F82" t="s">
        <v>426</v>
      </c>
      <c r="G82" t="s">
        <v>428</v>
      </c>
      <c r="H82" t="s">
        <v>428</v>
      </c>
    </row>
    <row r="83" spans="1:8" x14ac:dyDescent="0.25">
      <c r="A83" t="s">
        <v>429</v>
      </c>
      <c r="B83" t="s">
        <v>430</v>
      </c>
      <c r="C83" s="3" t="str">
        <f t="shared" si="3"/>
        <v>2018%20Project%20Summaries\2018-1002_Summary.pdf</v>
      </c>
      <c r="D83" s="3" t="str">
        <f t="shared" si="4"/>
        <v>2018 Presentations pdf format\2018-1002 Blue Ridge RCD, Pinebridge Campus SW.pdf</v>
      </c>
      <c r="E83" s="3" t="str">
        <f t="shared" si="5"/>
        <v>2018 Applications\2018-1002 Blue Ridge RC&amp;D - Phytotech Plant Palette, Pinebridge ISW.pdf</v>
      </c>
      <c r="F83" t="s">
        <v>429</v>
      </c>
      <c r="G83" t="s">
        <v>431</v>
      </c>
      <c r="H83" t="s">
        <v>432</v>
      </c>
    </row>
    <row r="84" spans="1:8" x14ac:dyDescent="0.25">
      <c r="A84" t="s">
        <v>433</v>
      </c>
      <c r="B84" t="s">
        <v>434</v>
      </c>
      <c r="C84" s="3" t="str">
        <f t="shared" si="3"/>
        <v>2018%20Project%20Summaries\2018-1003_Summary.pdf</v>
      </c>
      <c r="D84" s="3" t="str">
        <f t="shared" si="4"/>
        <v>2018 Presentations pdf format\2018-1003 Caswell Beach - Dune Infiltration ISW.pdf</v>
      </c>
      <c r="E84" s="3" t="str">
        <f t="shared" si="5"/>
        <v>2018 Applications\2018-1003 Caswell Beach - Dune Infiltration ISW.pdf</v>
      </c>
      <c r="F84" t="s">
        <v>433</v>
      </c>
      <c r="G84" t="s">
        <v>435</v>
      </c>
      <c r="H84" t="s">
        <v>435</v>
      </c>
    </row>
    <row r="85" spans="1:8" x14ac:dyDescent="0.25">
      <c r="A85" t="s">
        <v>436</v>
      </c>
      <c r="B85" t="s">
        <v>437</v>
      </c>
      <c r="C85" s="3" t="str">
        <f t="shared" si="3"/>
        <v>2018%20Project%20Summaries\2018-1004_Summary.pdf</v>
      </c>
      <c r="D85" s="3" t="str">
        <f t="shared" si="4"/>
        <v>2018 Presentations pdf format\2018-1004 Durham SWCD - Riverside HS ISW.pdf</v>
      </c>
      <c r="E85" s="3" t="str">
        <f t="shared" si="5"/>
        <v>2018 Applications\2018-1004 Durham SWCD - Riverside HS ISW.pdf</v>
      </c>
      <c r="F85" t="s">
        <v>436</v>
      </c>
      <c r="G85" t="s">
        <v>438</v>
      </c>
      <c r="H85" t="s">
        <v>438</v>
      </c>
    </row>
    <row r="86" spans="1:8" x14ac:dyDescent="0.25">
      <c r="A86" t="s">
        <v>439</v>
      </c>
      <c r="B86" t="s">
        <v>440</v>
      </c>
      <c r="C86" s="3" t="str">
        <f t="shared" si="3"/>
        <v>2018%20Project%20Summaries\2018-1005_Summary.pdf</v>
      </c>
      <c r="D86" s="3" t="str">
        <f t="shared" si="4"/>
        <v>2018 Presentations pdf format\2018-1005 Hendersonville - Hendersonville Elementary ISW.pdf</v>
      </c>
      <c r="E86" s="3" t="str">
        <f t="shared" si="5"/>
        <v>2018 Applications\2018-1005 Hendersonville - Hendersonville Elementary ISW.pdf</v>
      </c>
      <c r="F86" t="s">
        <v>439</v>
      </c>
      <c r="G86" t="s">
        <v>441</v>
      </c>
      <c r="H86" t="s">
        <v>441</v>
      </c>
    </row>
    <row r="87" spans="1:8" x14ac:dyDescent="0.25">
      <c r="A87" t="s">
        <v>442</v>
      </c>
      <c r="B87" t="s">
        <v>443</v>
      </c>
      <c r="C87" s="3" t="str">
        <f t="shared" si="3"/>
        <v>2018%20Project%20Summaries\2018-1006_Summary.pdf</v>
      </c>
      <c r="D87" s="3" t="str">
        <f t="shared" si="4"/>
        <v>2018 Presentations pdf format\2018-1006 NCSU - Evaluating Sand Filters ISW.pdf</v>
      </c>
      <c r="E87" s="3" t="str">
        <f t="shared" si="5"/>
        <v>2018 Applications\2018-1006 NCSU - Evaluating Sand Filters ISW.pdf</v>
      </c>
      <c r="F87" t="s">
        <v>442</v>
      </c>
      <c r="G87" t="s">
        <v>444</v>
      </c>
      <c r="H87" t="s">
        <v>444</v>
      </c>
    </row>
    <row r="88" spans="1:8" x14ac:dyDescent="0.25">
      <c r="A88" t="s">
        <v>445</v>
      </c>
      <c r="B88" t="s">
        <v>446</v>
      </c>
      <c r="C88" s="3" t="str">
        <f t="shared" si="3"/>
        <v>2018%20Project%20Summaries\2018-1007_Summary.pdf</v>
      </c>
      <c r="D88" s="3" t="str">
        <f t="shared" si="4"/>
        <v>2018 Presentations pdf format\2018-1007 NCSU - Mycoremediation of Metals ISW.pdf</v>
      </c>
      <c r="E88" s="3" t="str">
        <f t="shared" si="5"/>
        <v>2018 Applications\2018-1007 NCSU - Mycoremediation of Metals ISW.pdf</v>
      </c>
      <c r="F88" t="s">
        <v>445</v>
      </c>
      <c r="G88" t="s">
        <v>447</v>
      </c>
      <c r="H88" t="s">
        <v>447</v>
      </c>
    </row>
    <row r="89" spans="1:8" x14ac:dyDescent="0.25">
      <c r="A89" t="s">
        <v>448</v>
      </c>
      <c r="B89" t="s">
        <v>449</v>
      </c>
      <c r="C89" s="3" t="str">
        <f t="shared" si="3"/>
        <v>2018%20Project%20Summaries\2018-401_Summary.pdf</v>
      </c>
      <c r="D89" s="3" t="str">
        <f t="shared" si="4"/>
        <v>2018 Presentations pdf format\2018-401 Audubon NC - Pine Island Living Shorline.pdf</v>
      </c>
      <c r="E89" s="3" t="str">
        <f t="shared" si="5"/>
        <v>2018 Applications\2018-401 Audubon NC - Pine Island Living Shoreline.pdf</v>
      </c>
      <c r="F89" t="s">
        <v>448</v>
      </c>
      <c r="G89" t="s">
        <v>450</v>
      </c>
      <c r="H89" t="s">
        <v>451</v>
      </c>
    </row>
    <row r="90" spans="1:8" x14ac:dyDescent="0.25">
      <c r="A90" t="s">
        <v>452</v>
      </c>
      <c r="B90" t="s">
        <v>453</v>
      </c>
      <c r="C90" s="3" t="str">
        <f t="shared" si="3"/>
        <v>2018%20Project%20Summaries\2018-402_Summary.pdf</v>
      </c>
      <c r="D90" s="3" t="str">
        <f t="shared" si="4"/>
        <v>2018 Presentations pdf format\2018-402 CC - Mouth of Mud Cr Floodplain.pdf</v>
      </c>
      <c r="E90" s="3" t="str">
        <f t="shared" si="5"/>
        <v>2018 Applications\2018-402 cc - Mouth of Mud cr Flodplain.pdf</v>
      </c>
      <c r="F90" t="s">
        <v>452</v>
      </c>
      <c r="G90" t="s">
        <v>454</v>
      </c>
      <c r="H90" t="s">
        <v>455</v>
      </c>
    </row>
    <row r="91" spans="1:8" x14ac:dyDescent="0.25">
      <c r="A91" t="s">
        <v>456</v>
      </c>
      <c r="B91" t="s">
        <v>457</v>
      </c>
      <c r="C91" s="3" t="str">
        <f t="shared" si="3"/>
        <v>2018%20Project%20Summaries\2018-403_Summary.pdf</v>
      </c>
      <c r="D91" s="3" t="str">
        <f t="shared" si="4"/>
        <v>2018 Presentations pdf format\2018-403 Charlotte SWS - Irwin Cr.pdf</v>
      </c>
      <c r="E91" s="3" t="str">
        <f t="shared" si="5"/>
        <v>2018 Applications\2018-403 Charlotte SWS - Irwin Cr.pdf</v>
      </c>
      <c r="F91" t="s">
        <v>456</v>
      </c>
      <c r="G91" t="s">
        <v>458</v>
      </c>
      <c r="H91" t="s">
        <v>458</v>
      </c>
    </row>
    <row r="92" spans="1:8" x14ac:dyDescent="0.25">
      <c r="A92" t="s">
        <v>459</v>
      </c>
      <c r="B92" t="s">
        <v>460</v>
      </c>
      <c r="C92" s="3" t="str">
        <f t="shared" si="3"/>
        <v>2018%20Project%20Summaries\2018-404_Summary.pdf</v>
      </c>
      <c r="D92" s="3" t="str">
        <f t="shared" si="4"/>
        <v>2018 Presentations pdf format\2018-404 Charlotte SWS - Stewart Cr Ph 2.pdf</v>
      </c>
      <c r="E92" s="3" t="str">
        <f t="shared" si="5"/>
        <v>2018 Applications\2018-404 Charlotte SWS - Stewart Cr Ph 2.pdf</v>
      </c>
      <c r="F92" t="s">
        <v>459</v>
      </c>
      <c r="G92" t="s">
        <v>461</v>
      </c>
      <c r="H92" t="s">
        <v>461</v>
      </c>
    </row>
    <row r="93" spans="1:8" x14ac:dyDescent="0.25">
      <c r="A93" t="s">
        <v>462</v>
      </c>
      <c r="B93" t="s">
        <v>463</v>
      </c>
      <c r="C93" s="3" t="str">
        <f t="shared" si="3"/>
        <v>2018%20Project%20Summaries\2018-405_Summary.pdf</v>
      </c>
      <c r="D93" s="3" t="str">
        <f t="shared" si="4"/>
        <v>2018 Presentations pdf format\2018-405 Env. Impact - Hitchcock Cr Ph 2.pdf</v>
      </c>
      <c r="E93" s="3" t="str">
        <f t="shared" si="5"/>
        <v>2018 Applications\2018-405 Env. Impact - Hitchcock Cr Ph 2.pdf</v>
      </c>
      <c r="F93" t="s">
        <v>462</v>
      </c>
      <c r="G93" t="s">
        <v>464</v>
      </c>
      <c r="H93" t="s">
        <v>464</v>
      </c>
    </row>
    <row r="94" spans="1:8" x14ac:dyDescent="0.25">
      <c r="A94" t="s">
        <v>465</v>
      </c>
      <c r="B94" t="s">
        <v>466</v>
      </c>
      <c r="C94" s="3" t="str">
        <f t="shared" si="3"/>
        <v>2018%20Project%20Summaries\2018-406_Summary.pdf</v>
      </c>
      <c r="D94" s="3" t="str">
        <f t="shared" si="4"/>
        <v>2018 Presentations pdf format\2018-406 Env. Impact - Midway Dam Removal.pdf</v>
      </c>
      <c r="E94" s="3" t="str">
        <f t="shared" si="5"/>
        <v>2018 Applications\2018-406 Env. Impact - Midway Dam Removal.pdf</v>
      </c>
      <c r="F94" t="s">
        <v>465</v>
      </c>
      <c r="G94" t="s">
        <v>467</v>
      </c>
      <c r="H94" t="s">
        <v>467</v>
      </c>
    </row>
    <row r="95" spans="1:8" x14ac:dyDescent="0.25">
      <c r="A95" t="s">
        <v>468</v>
      </c>
      <c r="B95" t="s">
        <v>469</v>
      </c>
      <c r="C95" s="3" t="str">
        <f t="shared" si="3"/>
        <v>2018%20Project%20Summaries\2018-407_Summary.pdf</v>
      </c>
      <c r="D95" s="3" t="str">
        <f t="shared" si="4"/>
        <v>2018 Presentations pdf format\2018-407 Jacksonville - New River Oyster Hwy.pdf</v>
      </c>
      <c r="E95" s="3" t="str">
        <f t="shared" si="5"/>
        <v>2018 Applications\2018-407 Jacksonville - New River Oyster Hwy.pdf</v>
      </c>
      <c r="F95" t="s">
        <v>468</v>
      </c>
      <c r="G95" t="s">
        <v>470</v>
      </c>
      <c r="H95" t="s">
        <v>470</v>
      </c>
    </row>
    <row r="96" spans="1:8" x14ac:dyDescent="0.25">
      <c r="A96" t="s">
        <v>471</v>
      </c>
      <c r="B96" t="s">
        <v>472</v>
      </c>
      <c r="C96" s="3" t="str">
        <f t="shared" si="3"/>
        <v>2018%20Project%20Summaries\2018-408_Summary.pdf</v>
      </c>
      <c r="D96" s="3" t="str">
        <f t="shared" si="4"/>
        <v>2018 Presentations pdf format\2018-408 NCDPR - Lake Waccamaw Hydrilla 2018.pdf</v>
      </c>
      <c r="E96" s="3" t="str">
        <f t="shared" si="5"/>
        <v>2018 Applications\2018-408 NCDPR - Lake Waccamaw Hydrilla 2018.pdf</v>
      </c>
      <c r="F96" t="s">
        <v>471</v>
      </c>
      <c r="G96" t="s">
        <v>473</v>
      </c>
      <c r="H96" t="s">
        <v>473</v>
      </c>
    </row>
    <row r="97" spans="1:8" x14ac:dyDescent="0.25">
      <c r="A97" t="s">
        <v>474</v>
      </c>
      <c r="B97" t="s">
        <v>475</v>
      </c>
      <c r="C97" s="3" t="str">
        <f t="shared" si="3"/>
        <v>2018%20Project%20Summaries\2018-409_Summary.pdf</v>
      </c>
      <c r="D97" s="3" t="str">
        <f t="shared" si="4"/>
        <v>2018 Presentations pdf format\2018-409 NCDSWC - CREP 2018.pdf</v>
      </c>
      <c r="E97" s="3" t="str">
        <f t="shared" si="5"/>
        <v>2018 Applications\2018-409 NCDSWC - CREP 2018.pdf</v>
      </c>
      <c r="F97" t="s">
        <v>474</v>
      </c>
      <c r="G97" t="s">
        <v>476</v>
      </c>
      <c r="H97" t="s">
        <v>476</v>
      </c>
    </row>
    <row r="98" spans="1:8" x14ac:dyDescent="0.25">
      <c r="A98" t="s">
        <v>477</v>
      </c>
      <c r="B98" t="s">
        <v>478</v>
      </c>
      <c r="C98" s="3" t="str">
        <f t="shared" si="3"/>
        <v>2018%20Project%20Summaries\2018-410_Summary.pdf</v>
      </c>
      <c r="D98" s="3" t="str">
        <f t="shared" si="4"/>
        <v>2018 Presentations pdf format\2018-410 NRC - Bard, New River Ph 2.pdf</v>
      </c>
      <c r="E98" s="3" t="str">
        <f t="shared" si="5"/>
        <v>2018 Applications\2018-410 NRC - Bard, New River Ph 2.pdf</v>
      </c>
      <c r="F98" t="s">
        <v>477</v>
      </c>
      <c r="G98" t="s">
        <v>479</v>
      </c>
      <c r="H98" t="s">
        <v>479</v>
      </c>
    </row>
    <row r="99" spans="1:8" x14ac:dyDescent="0.25">
      <c r="A99" t="s">
        <v>480</v>
      </c>
      <c r="B99" t="s">
        <v>481</v>
      </c>
      <c r="C99" s="3" t="str">
        <f t="shared" si="3"/>
        <v>2018%20Project%20Summaries\2018-411_Summary.pdf</v>
      </c>
      <c r="D99" s="3" t="str">
        <f t="shared" si="4"/>
        <v>2018 Presentations pdf format\2018-411 NRC - Kirby Farm, Helton Cr.pdf</v>
      </c>
      <c r="E99" s="3" t="str">
        <f t="shared" si="5"/>
        <v>2018 Applications\2018-411 NRC - Kirby Farm, Helton Cr.pdf</v>
      </c>
      <c r="F99" t="s">
        <v>480</v>
      </c>
      <c r="G99" t="s">
        <v>482</v>
      </c>
      <c r="H99" t="s">
        <v>482</v>
      </c>
    </row>
    <row r="100" spans="1:8" x14ac:dyDescent="0.25">
      <c r="A100" t="s">
        <v>483</v>
      </c>
      <c r="B100" t="s">
        <v>484</v>
      </c>
      <c r="C100" s="3" t="str">
        <f t="shared" si="3"/>
        <v>2018%20Project%20Summaries\2018-412_Summary.pdf</v>
      </c>
      <c r="D100" s="3" t="str">
        <f t="shared" si="4"/>
        <v>2018 Presentations pdf format\2018-412 PCC - Smith Cr UT.pdf</v>
      </c>
      <c r="E100" s="3" t="str">
        <f t="shared" si="5"/>
        <v>2018 Applications\2018-412 PCC - Smith Cr UT.pdf</v>
      </c>
      <c r="F100" t="s">
        <v>483</v>
      </c>
      <c r="G100" t="s">
        <v>485</v>
      </c>
      <c r="H100" t="s">
        <v>485</v>
      </c>
    </row>
    <row r="101" spans="1:8" x14ac:dyDescent="0.25">
      <c r="A101" t="s">
        <v>486</v>
      </c>
      <c r="B101" t="s">
        <v>487</v>
      </c>
      <c r="C101" s="3" t="str">
        <f t="shared" si="3"/>
        <v>2018%20Project%20Summaries\2018-413_Summary.pdf</v>
      </c>
      <c r="D101" s="3" t="str">
        <f t="shared" si="4"/>
        <v>2018 Presentations pdf format\2018-413 Pilot Mountain, Chinquapin Creek UT.pdf</v>
      </c>
      <c r="E101" s="3" t="str">
        <f t="shared" si="5"/>
        <v>2018 Applications\2018-413 Pilot Mtn - Chinquapin Creek UT.pdf</v>
      </c>
      <c r="F101" t="s">
        <v>486</v>
      </c>
      <c r="G101" t="s">
        <v>488</v>
      </c>
      <c r="H101" t="s">
        <v>489</v>
      </c>
    </row>
    <row r="102" spans="1:8" x14ac:dyDescent="0.25">
      <c r="A102" t="s">
        <v>490</v>
      </c>
      <c r="B102" t="s">
        <v>491</v>
      </c>
      <c r="C102" s="3" t="str">
        <f t="shared" si="3"/>
        <v>2018%20Project%20Summaries\2018-414_Summary.pdf</v>
      </c>
      <c r="D102" s="3" t="str">
        <f t="shared" si="4"/>
        <v>2018 Presentations pdf format\2018-414 Polk SWCD - N Pacolet River Reach 4, Ph 4.pdf</v>
      </c>
      <c r="E102" s="3" t="str">
        <f t="shared" si="5"/>
        <v>2018 Applications\2018-414 Polk SWCD - N Pacolet River Reach 4, Ph 4.pdf</v>
      </c>
      <c r="F102" t="s">
        <v>490</v>
      </c>
      <c r="G102" t="s">
        <v>492</v>
      </c>
      <c r="H102" t="s">
        <v>492</v>
      </c>
    </row>
    <row r="103" spans="1:8" x14ac:dyDescent="0.25">
      <c r="A103" t="s">
        <v>493</v>
      </c>
      <c r="B103" t="s">
        <v>494</v>
      </c>
      <c r="C103" s="3" t="str">
        <f t="shared" si="3"/>
        <v>2018%20Project%20Summaries\2018-415_Summary.pdf</v>
      </c>
      <c r="D103" s="3" t="str">
        <f t="shared" si="4"/>
        <v>2018 Presentations pdf format\2018-415 RI - Elk River Dam Removal.pdf</v>
      </c>
      <c r="E103" s="3" t="str">
        <f t="shared" si="5"/>
        <v>2018 Applications\2018-415 RI - Elk River Dam Removal.pdf</v>
      </c>
      <c r="F103" t="s">
        <v>493</v>
      </c>
      <c r="G103" t="s">
        <v>495</v>
      </c>
      <c r="H103" t="s">
        <v>495</v>
      </c>
    </row>
    <row r="104" spans="1:8" x14ac:dyDescent="0.25">
      <c r="A104" t="s">
        <v>496</v>
      </c>
      <c r="B104" t="s">
        <v>497</v>
      </c>
      <c r="C104" s="3" t="str">
        <f t="shared" si="3"/>
        <v>2018%20Project%20Summaries\2018-416_Summary.pdf</v>
      </c>
      <c r="D104" s="3" t="str">
        <f t="shared" si="4"/>
        <v>2018 Presentations pdf format\2018-416 RI - Payne Branch Dam Removal.pdf</v>
      </c>
      <c r="E104" s="3" t="str">
        <f t="shared" si="5"/>
        <v>2018 Applications\2018-416 RI - Payne Branch Dam Removal.pdf</v>
      </c>
      <c r="F104" t="s">
        <v>496</v>
      </c>
      <c r="G104" t="s">
        <v>498</v>
      </c>
      <c r="H104" t="s">
        <v>498</v>
      </c>
    </row>
    <row r="105" spans="1:8" x14ac:dyDescent="0.25">
      <c r="A105" t="s">
        <v>499</v>
      </c>
      <c r="B105" t="s">
        <v>500</v>
      </c>
      <c r="C105" s="3" t="str">
        <f t="shared" si="3"/>
        <v>2018%20Project%20Summaries\2018-417_Summary.pdf</v>
      </c>
      <c r="D105" s="3" t="str">
        <f t="shared" si="4"/>
        <v>2018 Presentations pdf format\2018-417 RI, Stingy Branch.pdf</v>
      </c>
      <c r="E105" s="3" t="str">
        <f t="shared" si="5"/>
        <v>2018 Applications\2018-417 RI - Stingy Branch.pdf</v>
      </c>
      <c r="F105" t="s">
        <v>499</v>
      </c>
      <c r="G105" t="s">
        <v>501</v>
      </c>
      <c r="H105" t="s">
        <v>502</v>
      </c>
    </row>
    <row r="106" spans="1:8" x14ac:dyDescent="0.25">
      <c r="A106" t="s">
        <v>503</v>
      </c>
      <c r="B106" t="s">
        <v>504</v>
      </c>
      <c r="C106" s="3" t="str">
        <f t="shared" si="3"/>
        <v>2018%20Project%20Summaries\2018-418_Summary.pdf</v>
      </c>
      <c r="D106" s="3" t="str">
        <f t="shared" si="4"/>
        <v>2018 Presentations pdf format\2018-418 RI, Western NC Stream Initiative 2018.pdf</v>
      </c>
      <c r="E106" s="3" t="str">
        <f t="shared" si="5"/>
        <v>2018 Applications\2018-418 RI - WNC Stream Initiative 2018.pdf</v>
      </c>
      <c r="F106" t="s">
        <v>503</v>
      </c>
      <c r="G106" t="s">
        <v>505</v>
      </c>
      <c r="H106" t="s">
        <v>506</v>
      </c>
    </row>
    <row r="107" spans="1:8" x14ac:dyDescent="0.25">
      <c r="A107" t="s">
        <v>507</v>
      </c>
      <c r="B107" t="s">
        <v>508</v>
      </c>
      <c r="C107" s="3" t="str">
        <f t="shared" si="3"/>
        <v>2018%20Project%20Summaries\2018-419_Summary.pdf</v>
      </c>
      <c r="D107" s="3" t="str">
        <f t="shared" si="4"/>
        <v>2018 Presentations pdf format\2018-419 Riverlink  - Smith Mill Cr.pdf</v>
      </c>
      <c r="E107" s="3" t="str">
        <f t="shared" si="5"/>
        <v>2018 Applications\2018-419 Riverlink  - Smith Mill Cr.pdf</v>
      </c>
      <c r="F107" t="s">
        <v>507</v>
      </c>
      <c r="G107" t="s">
        <v>509</v>
      </c>
      <c r="H107" t="s">
        <v>509</v>
      </c>
    </row>
    <row r="108" spans="1:8" x14ac:dyDescent="0.25">
      <c r="A108" t="s">
        <v>510</v>
      </c>
      <c r="B108" t="s">
        <v>511</v>
      </c>
      <c r="C108" s="3" t="str">
        <f t="shared" si="3"/>
        <v>2018%20Project%20Summaries\2018-420_Summary.pdf</v>
      </c>
      <c r="D108" s="3" t="str">
        <f t="shared" si="4"/>
        <v>2018 Presentations pdf format\2018-420 Rutherfordton, Cleghorn Creek, Ph2.pdf</v>
      </c>
      <c r="E108" s="3" t="str">
        <f t="shared" si="5"/>
        <v>2018 Applications\2018-420 Rutherfordton - Cleghorn Cr Ph 2.pdf</v>
      </c>
      <c r="F108" t="s">
        <v>510</v>
      </c>
      <c r="G108" t="s">
        <v>512</v>
      </c>
      <c r="H108" t="s">
        <v>513</v>
      </c>
    </row>
    <row r="109" spans="1:8" x14ac:dyDescent="0.25">
      <c r="A109" t="s">
        <v>514</v>
      </c>
      <c r="B109" t="s">
        <v>515</v>
      </c>
      <c r="C109" s="3" t="str">
        <f t="shared" si="3"/>
        <v>2018%20Project%20Summaries\2018-421_Summary.pdf</v>
      </c>
      <c r="D109" s="3" t="str">
        <f t="shared" si="4"/>
        <v>2018 Presentations pdf format\2018-421 TCF - Lindsey Br Dam Removal.pdf</v>
      </c>
      <c r="E109" s="3" t="str">
        <f t="shared" si="5"/>
        <v>2018 Applications\2018-421 TCF - Lindsey Br Dam Removal.pdf</v>
      </c>
      <c r="F109" t="s">
        <v>514</v>
      </c>
      <c r="G109" t="s">
        <v>516</v>
      </c>
      <c r="H109" t="s">
        <v>516</v>
      </c>
    </row>
    <row r="110" spans="1:8" x14ac:dyDescent="0.25">
      <c r="A110" t="s">
        <v>517</v>
      </c>
      <c r="B110" t="s">
        <v>518</v>
      </c>
      <c r="C110" s="3" t="str">
        <f t="shared" si="3"/>
        <v>2018%20Project%20Summaries\2018-422_Summary.pdf</v>
      </c>
      <c r="D110" s="3" t="str">
        <f t="shared" si="4"/>
        <v>2018 Presentations pdf format\</v>
      </c>
      <c r="E110" s="3" t="str">
        <f t="shared" si="5"/>
        <v>2018 Applications\2018-422 Watauga Co - Brookshire Park Wetland Restoration.pdf</v>
      </c>
      <c r="F110" t="s">
        <v>517</v>
      </c>
      <c r="G110" t="s">
        <v>519</v>
      </c>
    </row>
    <row r="111" spans="1:8" x14ac:dyDescent="0.25">
      <c r="A111" t="s">
        <v>520</v>
      </c>
      <c r="B111" t="s">
        <v>521</v>
      </c>
      <c r="C111" s="3" t="str">
        <f t="shared" si="3"/>
        <v>2018%20Project%20Summaries\2018-423_Summary.pdf</v>
      </c>
      <c r="D111" s="3" t="str">
        <f t="shared" si="4"/>
        <v>2018 Presentations pdf format\2018-423 Wild South - Hellbender Stream Stabilization.pdf</v>
      </c>
      <c r="E111" s="3" t="str">
        <f t="shared" si="5"/>
        <v>2018 Applications\2018-423 Wild South - Hellbender Stream Stabilization.pdf</v>
      </c>
      <c r="F111" t="s">
        <v>520</v>
      </c>
      <c r="G111" t="s">
        <v>522</v>
      </c>
      <c r="H111" t="s">
        <v>522</v>
      </c>
    </row>
    <row r="112" spans="1:8" x14ac:dyDescent="0.25">
      <c r="A112" t="s">
        <v>523</v>
      </c>
      <c r="B112" t="s">
        <v>524</v>
      </c>
      <c r="C112" s="3" t="str">
        <f t="shared" si="3"/>
        <v>2018%20Project%20Summaries\2018-801_Summary.pdf</v>
      </c>
      <c r="D112" s="3" t="str">
        <f t="shared" si="4"/>
        <v>2018 Presentations pdf format\2018-801 Audubon NC - Currituck Sound Marsh Rest Plan.pdf</v>
      </c>
      <c r="E112" s="3" t="str">
        <f t="shared" si="5"/>
        <v>2018 Applications\2018-801 Audubon NC - Currituck Sound Marsh Rest Plan.pdf</v>
      </c>
      <c r="F112" t="s">
        <v>523</v>
      </c>
      <c r="G112" t="s">
        <v>525</v>
      </c>
      <c r="H112" t="s">
        <v>525</v>
      </c>
    </row>
    <row r="113" spans="1:8" x14ac:dyDescent="0.25">
      <c r="A113" t="s">
        <v>526</v>
      </c>
      <c r="B113" t="s">
        <v>527</v>
      </c>
      <c r="C113" s="3" t="str">
        <f t="shared" si="3"/>
        <v>2018%20Project%20Summaries\2018-802_Summary.pdf</v>
      </c>
      <c r="D113" s="3" t="str">
        <f t="shared" si="4"/>
        <v>2018 Presentations pdf format\2018-802 Carolina Land &amp; Lakes RCD - J Iverson Riddle, Hunting Cr Feasibility.pdf</v>
      </c>
      <c r="E113" s="3" t="str">
        <f t="shared" si="5"/>
        <v>2018 Applications\2018-802 Carolina Land &amp; Lakes RCD - J Iverson Riddle, Hunting Cr Feasibility.pdf</v>
      </c>
      <c r="F113" t="s">
        <v>526</v>
      </c>
      <c r="G113" t="s">
        <v>528</v>
      </c>
      <c r="H113" t="s">
        <v>528</v>
      </c>
    </row>
    <row r="114" spans="1:8" x14ac:dyDescent="0.25">
      <c r="A114" t="s">
        <v>529</v>
      </c>
      <c r="B114" t="s">
        <v>530</v>
      </c>
      <c r="C114" s="3" t="str">
        <f t="shared" si="3"/>
        <v>2018%20Project%20Summaries\2018-803_Summary.pdf</v>
      </c>
      <c r="D114" s="3" t="str">
        <f t="shared" si="4"/>
        <v>2018 Presentations pdf format\2018-803 FCNC - Catawba Co Priority Watersheds Plan.pdf</v>
      </c>
      <c r="E114" s="3" t="str">
        <f t="shared" si="5"/>
        <v>2018 Applications\2018-803 FCNC - Catawba Co Priority Watersheds Plan.pdf</v>
      </c>
      <c r="F114" t="s">
        <v>529</v>
      </c>
      <c r="G114" t="s">
        <v>531</v>
      </c>
      <c r="H114" t="s">
        <v>531</v>
      </c>
    </row>
    <row r="115" spans="1:8" x14ac:dyDescent="0.25">
      <c r="A115" t="s">
        <v>532</v>
      </c>
      <c r="B115" t="s">
        <v>533</v>
      </c>
      <c r="C115" s="3" t="str">
        <f t="shared" si="3"/>
        <v>2018%20Project%20Summaries\2018-804_Summary.pdf</v>
      </c>
      <c r="D115" s="3" t="str">
        <f t="shared" si="4"/>
        <v>2018 Presentations pdf format\2018-804 Mountain True - Watauga River Plan.pdf</v>
      </c>
      <c r="E115" s="3" t="str">
        <f t="shared" si="5"/>
        <v>2018 Applications\2018-804 Mountain True - Watauga River Plan.pdf</v>
      </c>
      <c r="F115" t="s">
        <v>532</v>
      </c>
      <c r="G115" t="s">
        <v>534</v>
      </c>
      <c r="H115" t="s">
        <v>534</v>
      </c>
    </row>
    <row r="116" spans="1:8" x14ac:dyDescent="0.25">
      <c r="A116" t="s">
        <v>535</v>
      </c>
      <c r="B116" t="s">
        <v>536</v>
      </c>
      <c r="C116" s="3" t="str">
        <f t="shared" si="3"/>
        <v>2018%20Project%20Summaries\2018-805_Summary.pdf</v>
      </c>
      <c r="D116" s="3" t="str">
        <f t="shared" si="4"/>
        <v>2018 Presentations pdf format\2018-805 Mountain Valleys RCD - Gabriel Creek, Mars Hill Univ Feasiblity .pdf</v>
      </c>
      <c r="E116" s="3" t="str">
        <f t="shared" si="5"/>
        <v>2018 Applications\2018-805 Mountain Valleys RCD - Gabriel Creek, Mars Hill Univ Feasiblity.pdf</v>
      </c>
      <c r="F116" t="s">
        <v>535</v>
      </c>
      <c r="G116" t="s">
        <v>537</v>
      </c>
      <c r="H116" t="s">
        <v>538</v>
      </c>
    </row>
    <row r="117" spans="1:8" x14ac:dyDescent="0.25">
      <c r="A117" t="s">
        <v>539</v>
      </c>
      <c r="B117" t="s">
        <v>540</v>
      </c>
      <c r="C117" s="3" t="str">
        <f t="shared" si="3"/>
        <v>2018%20Project%20Summaries\2018-806_Summary.pdf</v>
      </c>
      <c r="D117" s="3" t="str">
        <f t="shared" si="4"/>
        <v>2018 Presentations pdf format\2018-806 NRC - Peacock Lot Boone Cr Daylighting Plan.pdf</v>
      </c>
      <c r="E117" s="3" t="str">
        <f t="shared" si="5"/>
        <v>2018 Applications\2018-806 NRC - Peacock Lot Boone Cr Daylighting Plan.pdf</v>
      </c>
      <c r="F117" t="s">
        <v>539</v>
      </c>
      <c r="G117" t="s">
        <v>541</v>
      </c>
      <c r="H117" t="s">
        <v>541</v>
      </c>
    </row>
    <row r="118" spans="1:8" x14ac:dyDescent="0.25">
      <c r="A118" t="s">
        <v>542</v>
      </c>
      <c r="B118" t="s">
        <v>543</v>
      </c>
      <c r="C118" s="3" t="str">
        <f t="shared" si="3"/>
        <v>2018%20Project%20Summaries\2018-807_Summary.pdf</v>
      </c>
      <c r="D118" s="3" t="str">
        <f t="shared" si="4"/>
        <v>2018 Presentations pdf format\2018-807 Piedmont Triad RC - Thomas Built Bus Preserve Rest Plan.pdf</v>
      </c>
      <c r="E118" s="3" t="str">
        <f t="shared" si="5"/>
        <v>2018 Applications\2018-807 Piedmont Triad RC - Thomas Built Bus Preserve Rest Plan.pdf</v>
      </c>
      <c r="F118" t="s">
        <v>542</v>
      </c>
      <c r="G118" t="s">
        <v>544</v>
      </c>
      <c r="H118" t="s">
        <v>544</v>
      </c>
    </row>
    <row r="119" spans="1:8" x14ac:dyDescent="0.25">
      <c r="A119" t="s">
        <v>545</v>
      </c>
      <c r="B119" t="s">
        <v>546</v>
      </c>
      <c r="C119" s="3" t="str">
        <f t="shared" si="3"/>
        <v>2018%20Project%20Summaries\2018-808_Summary.pdf</v>
      </c>
      <c r="D119" s="3" t="str">
        <f t="shared" si="4"/>
        <v>2018 Presentations pdf format\2018-808 Polk SWCD - North Pacolet Reach 2 Assessment.pdf</v>
      </c>
      <c r="E119" s="3" t="str">
        <f t="shared" si="5"/>
        <v>2018 Applications\2018-808 Polk SWCD - North Pacolet Reach 2 Assessment.pdf</v>
      </c>
      <c r="F119" t="s">
        <v>545</v>
      </c>
      <c r="G119" t="s">
        <v>547</v>
      </c>
      <c r="H119" t="s">
        <v>547</v>
      </c>
    </row>
    <row r="120" spans="1:8" x14ac:dyDescent="0.25">
      <c r="A120" t="s">
        <v>548</v>
      </c>
      <c r="B120" t="s">
        <v>549</v>
      </c>
      <c r="C120" s="3" t="str">
        <f t="shared" si="3"/>
        <v>2018%20Project%20Summaries\2018-809_Summary.pdf</v>
      </c>
      <c r="D120" s="3" t="str">
        <f t="shared" si="4"/>
        <v>2018 Presentations pdf format\2018-809 RiverLink - River Arts District Watersheds Plan.pdf</v>
      </c>
      <c r="E120" s="3" t="str">
        <f t="shared" si="5"/>
        <v>2018 Applications\2018-809 RiverLink - River Arts District Watersheds Plan.pdf</v>
      </c>
      <c r="F120" t="s">
        <v>548</v>
      </c>
      <c r="G120" t="s">
        <v>550</v>
      </c>
      <c r="H120" t="s">
        <v>550</v>
      </c>
    </row>
    <row r="121" spans="1:8" x14ac:dyDescent="0.25">
      <c r="A121" t="s">
        <v>551</v>
      </c>
      <c r="B121" t="s">
        <v>552</v>
      </c>
      <c r="C121" s="3" t="str">
        <f t="shared" si="3"/>
        <v>2018%20Project%20Summaries\2018-810_Summary.pdf</v>
      </c>
      <c r="D121" s="3" t="str">
        <f t="shared" si="4"/>
        <v>2018 Presentations pdf format\2018-810 TU - Sky Island Coldwater Cons. Plan.pdf</v>
      </c>
      <c r="E121" s="3" t="str">
        <f t="shared" si="5"/>
        <v>2018 Applications\2018-810 TU - Sky Island Coldwater Cons. Plan.pdf</v>
      </c>
      <c r="F121" t="s">
        <v>551</v>
      </c>
      <c r="G121" t="s">
        <v>553</v>
      </c>
      <c r="H121" t="s">
        <v>553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Commitee Worksheet</vt:lpstr>
      <vt:lpstr>Military Projects</vt:lpstr>
      <vt:lpstr>MASTER_FINAL</vt:lpstr>
      <vt:lpstr>Linked_Table</vt:lpstr>
      <vt:lpstr>Linked_Table_Mil</vt:lpstr>
      <vt:lpstr>Doc_Links</vt:lpstr>
      <vt:lpstr>MASTER_FINAL!_FilterDatabase</vt:lpstr>
      <vt:lpstr>'Commitee Worksheet'!Print_Titles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Guthrie, Nancy</dc:creator>
  <cp:lastModifiedBy>Administrator</cp:lastModifiedBy>
  <cp:lastPrinted>2017-09-06T13:31:21Z</cp:lastPrinted>
  <dcterms:created xsi:type="dcterms:W3CDTF">2017-07-31T19:24:36Z</dcterms:created>
  <dcterms:modified xsi:type="dcterms:W3CDTF">2018-08-30T13:45:25Z</dcterms:modified>
</cp:coreProperties>
</file>