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1"/>
  </bookViews>
  <sheets>
    <sheet name="Intensity Example" sheetId="1" r:id="rId1"/>
    <sheet name="I. &amp; II. Design Summary" sheetId="2" r:id="rId2"/>
    <sheet name="III. Required Items Checklist" sheetId="3" r:id="rId3"/>
  </sheets>
  <definedNames>
    <definedName name="_xlnm.Print_Area" localSheetId="1">'I. &amp; II. Design Summary'!$A$3:$E$131</definedName>
  </definedNames>
  <calcPr fullCalcOnLoad="1"/>
</workbook>
</file>

<file path=xl/comments2.xml><?xml version="1.0" encoding="utf-8"?>
<comments xmlns="http://schemas.openxmlformats.org/spreadsheetml/2006/main">
  <authors>
    <author>kelly_johnson</author>
    <author>boyd_devane</author>
    <author>annette_lucas</author>
    <author>Robert_Patterson</author>
  </authors>
  <commentList>
    <comment ref="A53" authorId="0">
      <text>
        <r>
          <rPr>
            <sz val="10"/>
            <rFont val="Tahoma"/>
            <family val="2"/>
          </rPr>
          <t>Equal to the design volume divided by the ponding depth.</t>
        </r>
        <r>
          <rPr>
            <sz val="8"/>
            <rFont val="Tahoma"/>
            <family val="0"/>
          </rPr>
          <t xml:space="preserve">
</t>
        </r>
      </text>
    </comment>
    <comment ref="A18" authorId="0">
      <text>
        <r>
          <rPr>
            <sz val="10"/>
            <rFont val="Tahoma"/>
            <family val="2"/>
          </rPr>
          <t>For projects with multiple basins, as identified on the plans.</t>
        </r>
      </text>
    </comment>
    <comment ref="A62" authorId="0">
      <text>
        <r>
          <rPr>
            <sz val="10"/>
            <rFont val="Tahoma"/>
            <family val="2"/>
          </rPr>
          <t>A copy of the soils report with the application must be included with the application.</t>
        </r>
      </text>
    </comment>
    <comment ref="A27" authorId="0">
      <text>
        <r>
          <rPr>
            <sz val="10"/>
            <rFont val="Tahoma"/>
            <family val="2"/>
          </rPr>
          <t>This variable is "RD" when using the Simple Method.  Reference Tables 2.2 and 2.3 of the BMP manual.  It is:  Non-SA (either 1.0" or 1.5", depending on location); or SA Water (the greater of either 1.5" or post-pre development runoff from the 1yr 24hr storm)</t>
        </r>
      </text>
    </comment>
    <comment ref="A41" authorId="0">
      <text>
        <r>
          <rPr>
            <sz val="10"/>
            <rFont val="Tahoma"/>
            <family val="2"/>
          </rPr>
          <t xml:space="preserve">Use the Simple Method to calculate the volume.  </t>
        </r>
        <r>
          <rPr>
            <b/>
            <sz val="10"/>
            <rFont val="Tahoma"/>
            <family val="2"/>
          </rPr>
          <t>(Only complete if within 1/2 mile of &amp; draining to SA water)</t>
        </r>
      </text>
    </comment>
    <comment ref="A22" authorId="1">
      <text>
        <r>
          <rPr>
            <sz val="10"/>
            <rFont val="Tahoma"/>
            <family val="2"/>
          </rPr>
          <t>Include on-site and off-site drainage to the bioretention cell.</t>
        </r>
        <r>
          <rPr>
            <sz val="8"/>
            <rFont val="Tahoma"/>
            <family val="0"/>
          </rPr>
          <t xml:space="preserve">
</t>
        </r>
      </text>
    </comment>
    <comment ref="A24" authorId="1">
      <text>
        <r>
          <rPr>
            <sz val="10"/>
            <rFont val="Tahoma"/>
            <family val="2"/>
          </rPr>
          <t>Include on-site and off-site drainage to the bioretention cell.</t>
        </r>
        <r>
          <rPr>
            <sz val="8"/>
            <rFont val="Tahoma"/>
            <family val="0"/>
          </rPr>
          <t xml:space="preserve">
</t>
        </r>
      </text>
    </comment>
    <comment ref="A38" authorId="1">
      <text>
        <r>
          <rPr>
            <sz val="10"/>
            <rFont val="Tahoma"/>
            <family val="2"/>
          </rPr>
          <t xml:space="preserve">Use the Simple Method to calculate the volume.
</t>
        </r>
        <r>
          <rPr>
            <sz val="8"/>
            <rFont val="Tahoma"/>
            <family val="0"/>
          </rPr>
          <t xml:space="preserve">
</t>
        </r>
      </text>
    </comment>
    <comment ref="A55" authorId="1">
      <text>
        <r>
          <rPr>
            <sz val="10"/>
            <rFont val="Tahoma"/>
            <family val="2"/>
          </rPr>
          <t>No dimension (length, width, or radius) shall be less than 10 feet.</t>
        </r>
        <r>
          <rPr>
            <sz val="8"/>
            <rFont val="Tahoma"/>
            <family val="0"/>
          </rPr>
          <t xml:space="preserve">
</t>
        </r>
      </text>
    </comment>
    <comment ref="A57" authorId="1">
      <text>
        <r>
          <rPr>
            <sz val="10"/>
            <rFont val="Tahoma"/>
            <family val="2"/>
          </rPr>
          <t>No dimension (length, width, or radius) shall be less than 10 feet.</t>
        </r>
        <r>
          <rPr>
            <sz val="8"/>
            <rFont val="Tahoma"/>
            <family val="0"/>
          </rPr>
          <t xml:space="preserve">
</t>
        </r>
      </text>
    </comment>
    <comment ref="A59" authorId="1">
      <text>
        <r>
          <rPr>
            <sz val="10"/>
            <rFont val="Tahoma"/>
            <family val="2"/>
          </rPr>
          <t>No dimension (length, width, or radius) shall be less than 10 feet.</t>
        </r>
        <r>
          <rPr>
            <sz val="8"/>
            <rFont val="Tahoma"/>
            <family val="0"/>
          </rPr>
          <t xml:space="preserve">
</t>
        </r>
      </text>
    </comment>
    <comment ref="A49" authorId="1">
      <text>
        <r>
          <rPr>
            <sz val="10"/>
            <rFont val="Tahoma"/>
            <family val="2"/>
          </rPr>
          <t>9-12 inches, 9 inches preferred.</t>
        </r>
        <r>
          <rPr>
            <sz val="8"/>
            <rFont val="Tahoma"/>
            <family val="0"/>
          </rPr>
          <t xml:space="preserve">
</t>
        </r>
      </text>
    </comment>
    <comment ref="A63" authorId="1">
      <text>
        <r>
          <rPr>
            <sz val="10"/>
            <rFont val="Tahoma"/>
            <family val="2"/>
          </rPr>
          <t>12 hours is the maximum allowed drawdown time.</t>
        </r>
        <r>
          <rPr>
            <sz val="8"/>
            <rFont val="Tahoma"/>
            <family val="0"/>
          </rPr>
          <t xml:space="preserve">
</t>
        </r>
      </text>
    </comment>
    <comment ref="A64" authorId="1">
      <text>
        <r>
          <rPr>
            <sz val="10"/>
            <rFont val="Tahoma"/>
            <family val="2"/>
          </rPr>
          <t>Must meet the 12 and 48 hour requirements.</t>
        </r>
      </text>
    </comment>
    <comment ref="A67" authorId="1">
      <text>
        <r>
          <rPr>
            <sz val="10"/>
            <rFont val="Tahoma"/>
            <family val="2"/>
          </rPr>
          <t xml:space="preserve">Most restrictive soil layer, determines whether or not underdrains are needed.  Minimum infiltration is 0.52 in/hr if not using underdrains, per 15A NCAC 02H .1008(d)(6)
</t>
        </r>
        <r>
          <rPr>
            <sz val="8"/>
            <rFont val="Tahoma"/>
            <family val="0"/>
          </rPr>
          <t xml:space="preserve">
</t>
        </r>
      </text>
    </comment>
    <comment ref="A117" authorId="1">
      <text>
        <r>
          <rPr>
            <sz val="10"/>
            <rFont val="Tahoma"/>
            <family val="2"/>
          </rPr>
          <t>A 30 ft filter is typically required.  A 50 ft filter is required for some projects , such as high density projects in coastal counties that drain to SA and/or ORW waters.</t>
        </r>
        <r>
          <rPr>
            <sz val="8"/>
            <rFont val="Tahoma"/>
            <family val="0"/>
          </rPr>
          <t xml:space="preserve">
</t>
        </r>
      </text>
    </comment>
    <comment ref="A69" authorId="2">
      <text>
        <r>
          <rPr>
            <sz val="10"/>
            <rFont val="Tahoma"/>
            <family val="2"/>
          </rPr>
          <t>0.52-6.0 in/hr is required, 1-2 in/hr is preferred.</t>
        </r>
        <r>
          <rPr>
            <sz val="8"/>
            <rFont val="Tahoma"/>
            <family val="0"/>
          </rPr>
          <t xml:space="preserve">
</t>
        </r>
      </text>
    </comment>
    <comment ref="A71" authorId="2">
      <text>
        <r>
          <rPr>
            <sz val="10"/>
            <rFont val="Tahoma"/>
            <family val="2"/>
          </rPr>
          <t>85-88% sand</t>
        </r>
        <r>
          <rPr>
            <sz val="8"/>
            <rFont val="Tahoma"/>
            <family val="0"/>
          </rPr>
          <t xml:space="preserve">
</t>
        </r>
      </text>
    </comment>
    <comment ref="A74" authorId="2">
      <text>
        <r>
          <rPr>
            <sz val="10"/>
            <rFont val="Tahoma"/>
            <family val="2"/>
          </rPr>
          <t>8-12% fines (silt and clay)
  TN is target pollutant:  Recommend 12%
  TP is target pollutant: Recommend 8%</t>
        </r>
        <r>
          <rPr>
            <sz val="8"/>
            <rFont val="Tahoma"/>
            <family val="0"/>
          </rPr>
          <t xml:space="preserve">
</t>
        </r>
      </text>
    </comment>
    <comment ref="A77" authorId="2">
      <text>
        <r>
          <rPr>
            <sz val="10"/>
            <rFont val="Tahoma"/>
            <family val="2"/>
          </rPr>
          <t>3-5% organic</t>
        </r>
        <r>
          <rPr>
            <sz val="8"/>
            <rFont val="Tahoma"/>
            <family val="0"/>
          </rPr>
          <t xml:space="preserve">
</t>
        </r>
      </text>
    </comment>
    <comment ref="A81" authorId="2">
      <text>
        <r>
          <rPr>
            <sz val="10"/>
            <rFont val="Tahoma"/>
            <family val="2"/>
          </rPr>
          <t>The media installed must have a P-index between 10 and 30.</t>
        </r>
        <r>
          <rPr>
            <sz val="8"/>
            <rFont val="Tahoma"/>
            <family val="0"/>
          </rPr>
          <t xml:space="preserve">
</t>
        </r>
      </text>
    </comment>
    <comment ref="A85" authorId="2">
      <text>
        <r>
          <rPr>
            <sz val="10"/>
            <rFont val="Tahoma"/>
            <family val="2"/>
          </rPr>
          <t xml:space="preserve">This is the elevation of bypass/outless structure.  This should be equal to the elevation of the planting elevation plus the ponding depth. </t>
        </r>
        <r>
          <rPr>
            <sz val="8"/>
            <rFont val="Tahoma"/>
            <family val="0"/>
          </rPr>
          <t xml:space="preserve">
</t>
        </r>
      </text>
    </comment>
    <comment ref="A90" authorId="2">
      <text>
        <r>
          <rPr>
            <sz val="10"/>
            <rFont val="Tahoma"/>
            <family val="2"/>
          </rPr>
          <t>Elevation of the ground surface (top of the mulch or grass/sod layer).</t>
        </r>
        <r>
          <rPr>
            <sz val="8"/>
            <rFont val="Tahoma"/>
            <family val="0"/>
          </rPr>
          <t xml:space="preserve">
</t>
        </r>
      </text>
    </comment>
    <comment ref="A92" authorId="2">
      <text>
        <r>
          <rPr>
            <sz val="10"/>
            <rFont val="Tahoma"/>
            <family val="2"/>
          </rPr>
          <t>Elevation of the bottom of the engineered media/soil.</t>
        </r>
        <r>
          <rPr>
            <sz val="8"/>
            <rFont val="Tahoma"/>
            <family val="0"/>
          </rPr>
          <t xml:space="preserve">
</t>
        </r>
      </text>
    </comment>
    <comment ref="A91" authorId="2">
      <text>
        <r>
          <rPr>
            <sz val="10"/>
            <rFont val="Tahoma"/>
            <family val="2"/>
          </rPr>
          <t>Should be about 2-4 inches deep.</t>
        </r>
        <r>
          <rPr>
            <sz val="8"/>
            <rFont val="Tahoma"/>
            <family val="0"/>
          </rPr>
          <t xml:space="preserve">
</t>
        </r>
        <r>
          <rPr>
            <sz val="10"/>
            <rFont val="Tahoma"/>
            <family val="2"/>
          </rPr>
          <t>Mulch is not used if installing a grassed cell.</t>
        </r>
      </text>
    </comment>
    <comment ref="A101" authorId="2">
      <text>
        <r>
          <rPr>
            <sz val="10"/>
            <rFont val="Tahoma"/>
            <family val="2"/>
          </rPr>
          <t>Seasonal high water table elevation must be at least 2 ft below the bottom of the bioretention cell.</t>
        </r>
        <r>
          <rPr>
            <sz val="8"/>
            <rFont val="Tahoma"/>
            <family val="0"/>
          </rPr>
          <t xml:space="preserve">
</t>
        </r>
      </text>
    </comment>
    <comment ref="A95" authorId="2">
      <text>
        <r>
          <rPr>
            <sz val="10"/>
            <rFont val="Tahoma"/>
            <family val="2"/>
          </rPr>
          <t>If the permeability of the planting media is greater than the permeability of the in-situ soil, then there must be a method for draining the cell.</t>
        </r>
        <r>
          <rPr>
            <sz val="8"/>
            <rFont val="Tahoma"/>
            <family val="0"/>
          </rPr>
          <t xml:space="preserve">
</t>
        </r>
      </text>
    </comment>
    <comment ref="A96" authorId="2">
      <text>
        <r>
          <rPr>
            <sz val="10"/>
            <rFont val="Tahoma"/>
            <family val="2"/>
          </rPr>
          <t>Minimum number is 1 per 1,000 ft2 of surface area.</t>
        </r>
        <r>
          <rPr>
            <sz val="8"/>
            <rFont val="Tahoma"/>
            <family val="0"/>
          </rPr>
          <t xml:space="preserve">
</t>
        </r>
      </text>
    </comment>
    <comment ref="A97" authorId="2">
      <text>
        <r>
          <rPr>
            <sz val="10"/>
            <rFont val="Tahoma"/>
            <family val="2"/>
          </rPr>
          <t>The factor of safety should be between 2 and 10.  A factor of safety should be applied to the drawdown rate for water leaving the bioretention cell when sizing underdrain pipes.  This will ensure that water will be able to leave the cell if one or more of the drains becomes clogged (or partially clogged).   Over-size the pipe to accomodate this risk.  See section 5.7 of the BMP manual for further information.</t>
        </r>
        <r>
          <rPr>
            <sz val="8"/>
            <rFont val="Tahoma"/>
            <family val="0"/>
          </rPr>
          <t xml:space="preserve">
</t>
        </r>
      </text>
    </comment>
    <comment ref="A123" authorId="2">
      <text>
        <r>
          <rPr>
            <sz val="10"/>
            <rFont val="Tahoma"/>
            <family val="2"/>
          </rPr>
          <t>For mulch cells this must be 1 ft/sec or less, unless energy dissipating devices are being used.</t>
        </r>
        <r>
          <rPr>
            <sz val="8"/>
            <rFont val="Tahoma"/>
            <family val="0"/>
          </rPr>
          <t xml:space="preserve">
</t>
        </r>
        <r>
          <rPr>
            <sz val="10"/>
            <rFont val="Tahoma"/>
            <family val="2"/>
          </rPr>
          <t>For grass cells this must be 3 ft/sec or less, unless energy dissipating devices are being used.</t>
        </r>
      </text>
    </comment>
    <comment ref="A124" authorId="2">
      <text>
        <r>
          <rPr>
            <sz val="10"/>
            <rFont val="Tahoma"/>
            <family val="2"/>
          </rPr>
          <t>If the area will be developed, DWQ recommends considering another BMP because bioretention cells may clog.  If the designer feels that a bioretention cell is appropriate, consider using choking stone rather than filter fabric.</t>
        </r>
        <r>
          <rPr>
            <sz val="8"/>
            <rFont val="Tahoma"/>
            <family val="0"/>
          </rPr>
          <t xml:space="preserve">
</t>
        </r>
      </text>
    </comment>
    <comment ref="A125" authorId="2">
      <text>
        <r>
          <rPr>
            <sz val="10"/>
            <rFont val="Tahoma"/>
            <family val="2"/>
          </rPr>
          <t xml:space="preserve">Drainage area must be a 20% slope or less.
</t>
        </r>
      </text>
    </comment>
    <comment ref="A126" authorId="2">
      <text>
        <r>
          <rPr>
            <sz val="10"/>
            <rFont val="Tahoma"/>
            <family val="2"/>
          </rPr>
          <t>Drainage area must be permanently stabilized.</t>
        </r>
        <r>
          <rPr>
            <sz val="8"/>
            <rFont val="Tahoma"/>
            <family val="0"/>
          </rPr>
          <t xml:space="preserve">
</t>
        </r>
      </text>
    </comment>
    <comment ref="A110" authorId="2">
      <text>
        <r>
          <rPr>
            <sz val="10"/>
            <rFont val="Tahoma"/>
            <family val="2"/>
          </rPr>
          <t>One or more species should be used; dependant on size of cell.  If it is a smaller cell then it should not be overcrowded with trees.</t>
        </r>
        <r>
          <rPr>
            <sz val="8"/>
            <rFont val="Tahoma"/>
            <family val="0"/>
          </rPr>
          <t xml:space="preserve">
</t>
        </r>
        <r>
          <rPr>
            <sz val="10"/>
            <rFont val="Tahoma"/>
            <family val="2"/>
          </rPr>
          <t>No trees are used in a grass cell.</t>
        </r>
      </text>
    </comment>
    <comment ref="A111" authorId="2">
      <text>
        <r>
          <rPr>
            <sz val="10"/>
            <rFont val="Tahoma"/>
            <family val="2"/>
          </rPr>
          <t>Three or more species should be used; dependant on size of cell.</t>
        </r>
        <r>
          <rPr>
            <sz val="8"/>
            <rFont val="Tahoma"/>
            <family val="0"/>
          </rPr>
          <t xml:space="preserve">
</t>
        </r>
        <r>
          <rPr>
            <sz val="10"/>
            <rFont val="Tahoma"/>
            <family val="2"/>
          </rPr>
          <t>No shrubs are used in a grass cell.</t>
        </r>
      </text>
    </comment>
    <comment ref="A112" authorId="2">
      <text>
        <r>
          <rPr>
            <sz val="10"/>
            <rFont val="Tahoma"/>
            <family val="2"/>
          </rPr>
          <t>Three or more species should be used; dependant on size of cell.</t>
        </r>
        <r>
          <rPr>
            <sz val="8"/>
            <rFont val="Tahoma"/>
            <family val="0"/>
          </rPr>
          <t xml:space="preserve">
</t>
        </r>
        <r>
          <rPr>
            <sz val="10"/>
            <rFont val="Tahoma"/>
            <family val="2"/>
          </rPr>
          <t>No groundcover other than the grass sod are used in a grass cell.</t>
        </r>
      </text>
    </comment>
    <comment ref="A87" authorId="2">
      <text>
        <r>
          <rPr>
            <sz val="10"/>
            <rFont val="Tahoma"/>
            <family val="2"/>
          </rPr>
          <t>The planting depth must be at least 2 feet.</t>
        </r>
        <r>
          <rPr>
            <sz val="8"/>
            <rFont val="Tahoma"/>
            <family val="0"/>
          </rPr>
          <t xml:space="preserve">
</t>
        </r>
      </text>
    </comment>
    <comment ref="A89" authorId="2">
      <text>
        <r>
          <rPr>
            <sz val="10"/>
            <rFont val="Tahoma"/>
            <family val="2"/>
          </rPr>
          <t>The planting depth must be at least 3 feet.</t>
        </r>
        <r>
          <rPr>
            <sz val="8"/>
            <rFont val="Tahoma"/>
            <family val="0"/>
          </rPr>
          <t xml:space="preserve">
</t>
        </r>
      </text>
    </comment>
    <comment ref="A94" authorId="3">
      <text>
        <r>
          <rPr>
            <sz val="10"/>
            <rFont val="Tahoma"/>
            <family val="2"/>
          </rPr>
          <t>4 inches of washed sand may be used between the planting media soil and the filter fabric or choking stone.</t>
        </r>
        <r>
          <rPr>
            <sz val="8"/>
            <rFont val="Tahoma"/>
            <family val="0"/>
          </rPr>
          <t xml:space="preserve">
</t>
        </r>
      </text>
    </comment>
    <comment ref="A100" authorId="3">
      <text>
        <r>
          <rPr>
            <sz val="10"/>
            <rFont val="Tahoma"/>
            <family val="2"/>
          </rPr>
          <t>This calculation includes the mulch, planting media, washed sand layer (if used), and underdrain system.</t>
        </r>
        <r>
          <rPr>
            <sz val="8"/>
            <rFont val="Tahoma"/>
            <family val="0"/>
          </rPr>
          <t xml:space="preserve">
</t>
        </r>
      </text>
    </comment>
  </commentList>
</comments>
</file>

<file path=xl/sharedStrings.xml><?xml version="1.0" encoding="utf-8"?>
<sst xmlns="http://schemas.openxmlformats.org/spreadsheetml/2006/main" count="250" uniqueCount="157">
  <si>
    <t>ft</t>
  </si>
  <si>
    <t>Project name</t>
  </si>
  <si>
    <t>Drainage area number</t>
  </si>
  <si>
    <t>Drainage area</t>
  </si>
  <si>
    <t>in/hr</t>
  </si>
  <si>
    <t>I.  PROJECT INFORMATION</t>
  </si>
  <si>
    <t>in</t>
  </si>
  <si>
    <t>fmsl</t>
  </si>
  <si>
    <t>Date</t>
  </si>
  <si>
    <t>III.  REQUIRED ITEMS CHECKLIST</t>
  </si>
  <si>
    <t>Initials</t>
  </si>
  <si>
    <t>Page/ Plan Sheet No.</t>
  </si>
  <si>
    <t>acres</t>
  </si>
  <si>
    <t>Impervious area</t>
  </si>
  <si>
    <t>inch</t>
  </si>
  <si>
    <t>%</t>
  </si>
  <si>
    <t>Site Characteristics</t>
  </si>
  <si>
    <t>(unitless)</t>
  </si>
  <si>
    <t>Ponding depth of water</t>
  </si>
  <si>
    <t>inches</t>
  </si>
  <si>
    <t>Length:</t>
  </si>
  <si>
    <t>Width:</t>
  </si>
  <si>
    <t xml:space="preserve"> -or- Radius</t>
  </si>
  <si>
    <t>In-situ soil:</t>
  </si>
  <si>
    <t>Planting media soil:</t>
  </si>
  <si>
    <t>Total:</t>
  </si>
  <si>
    <t>Soil composition</t>
  </si>
  <si>
    <t>hr</t>
  </si>
  <si>
    <t>Drawdown time, ponded volume</t>
  </si>
  <si>
    <t>Drawdown time, to 24 inches below surface</t>
  </si>
  <si>
    <t>Drawdown time, total:</t>
  </si>
  <si>
    <t>Basin Elevations</t>
  </si>
  <si>
    <t>Temporary pool elevation</t>
  </si>
  <si>
    <t>SHWT elevation</t>
  </si>
  <si>
    <t>Distance from bottom to SHWT</t>
  </si>
  <si>
    <t>Additional Information</t>
  </si>
  <si>
    <t>Depth of mulch</t>
  </si>
  <si>
    <t>Inlet velocity (from treatment system)</t>
  </si>
  <si>
    <t>ft/sec</t>
  </si>
  <si>
    <t>Grassed swale</t>
  </si>
  <si>
    <t>Forebay</t>
  </si>
  <si>
    <t>Surface area of the top of the bioretention cell</t>
  </si>
  <si>
    <t>min</t>
  </si>
  <si>
    <t>Soil permeability</t>
  </si>
  <si>
    <t>Pretreatment Used
(Indicate Type Used with an "X" in the shaded cell)</t>
  </si>
  <si>
    <t>Peak Flow Calculations</t>
  </si>
  <si>
    <t>Are underdrains being installed?</t>
  </si>
  <si>
    <t>How many clean out pipes are being installed?</t>
  </si>
  <si>
    <t xml:space="preserve"> </t>
  </si>
  <si>
    <t>Number of tree species</t>
  </si>
  <si>
    <t>Number of shrub species</t>
  </si>
  <si>
    <t>Number of herbaceous groundcover species</t>
  </si>
  <si>
    <r>
      <t xml:space="preserve">Example City, </t>
    </r>
    <r>
      <rPr>
        <b/>
        <sz val="10"/>
        <rFont val="Arial"/>
        <family val="2"/>
      </rPr>
      <t xml:space="preserve">
Precipitation Data Chart From:  http://hdsc.nws.noaa.gov/hdsc/pfds/</t>
    </r>
    <r>
      <rPr>
        <sz val="10"/>
        <rFont val="Arial"/>
        <family val="0"/>
      </rPr>
      <t xml:space="preserve">
</t>
    </r>
  </si>
  <si>
    <t>Precipitation Frequency Estimates (inches)</t>
  </si>
  <si>
    <t>ARI*</t>
  </si>
  <si>
    <t>(years)</t>
  </si>
  <si>
    <t>day</t>
  </si>
  <si>
    <r>
      <t>Time of Conc.:  T</t>
    </r>
    <r>
      <rPr>
        <b/>
        <vertAlign val="subscript"/>
        <sz val="10"/>
        <rFont val="Arial"/>
        <family val="2"/>
      </rPr>
      <t>c</t>
    </r>
    <r>
      <rPr>
        <b/>
        <sz val="10"/>
        <rFont val="Arial"/>
        <family val="2"/>
      </rPr>
      <t xml:space="preserve">=
</t>
    </r>
    <r>
      <rPr>
        <sz val="10"/>
        <rFont val="Arial"/>
        <family val="2"/>
      </rPr>
      <t xml:space="preserve"> =(L</t>
    </r>
    <r>
      <rPr>
        <vertAlign val="superscript"/>
        <sz val="10"/>
        <rFont val="Arial"/>
        <family val="2"/>
      </rPr>
      <t>3</t>
    </r>
    <r>
      <rPr>
        <sz val="10"/>
        <rFont val="Arial"/>
        <family val="2"/>
      </rPr>
      <t>/H)</t>
    </r>
    <r>
      <rPr>
        <vertAlign val="superscript"/>
        <sz val="10"/>
        <rFont val="Arial"/>
        <family val="2"/>
      </rPr>
      <t>.385</t>
    </r>
    <r>
      <rPr>
        <sz val="10"/>
        <rFont val="Arial"/>
        <family val="2"/>
      </rPr>
      <t>/128</t>
    </r>
  </si>
  <si>
    <t>(Calculate this value from the hydraulic length and the change in elevation along the hydraulic length)</t>
  </si>
  <si>
    <t>Hydraulic Length, L</t>
  </si>
  <si>
    <t xml:space="preserve">ft </t>
  </si>
  <si>
    <r>
      <t xml:space="preserve">Furthest distance water flows to BMP </t>
    </r>
    <r>
      <rPr>
        <sz val="10"/>
        <color indexed="57"/>
        <rFont val="Arial"/>
        <family val="2"/>
      </rPr>
      <t>(Example Site)</t>
    </r>
  </si>
  <si>
    <t>Change in Elev., H</t>
  </si>
  <si>
    <r>
      <t xml:space="preserve">Over hydraulic length </t>
    </r>
    <r>
      <rPr>
        <sz val="10"/>
        <color indexed="57"/>
        <rFont val="Arial"/>
        <family val="2"/>
      </rPr>
      <t>(Example Site)</t>
    </r>
  </si>
  <si>
    <r>
      <t xml:space="preserve">Intensity, Peak 10-yr
</t>
    </r>
    <r>
      <rPr>
        <sz val="10"/>
        <rFont val="Arial"/>
        <family val="2"/>
      </rPr>
      <t>d(in)/t</t>
    </r>
    <r>
      <rPr>
        <vertAlign val="subscript"/>
        <sz val="10"/>
        <rFont val="Arial"/>
        <family val="2"/>
      </rPr>
      <t>c</t>
    </r>
    <r>
      <rPr>
        <sz val="10"/>
        <rFont val="Arial"/>
        <family val="2"/>
      </rPr>
      <t>(min)*60(min/hr)</t>
    </r>
  </si>
  <si>
    <r>
      <t>Depth at T</t>
    </r>
    <r>
      <rPr>
        <vertAlign val="subscript"/>
        <sz val="10"/>
        <rFont val="Arial"/>
        <family val="2"/>
      </rPr>
      <t xml:space="preserve">c </t>
    </r>
    <r>
      <rPr>
        <sz val="10"/>
        <rFont val="Arial"/>
        <family val="2"/>
      </rPr>
      <t>&amp; 10-y</t>
    </r>
    <r>
      <rPr>
        <vertAlign val="subscript"/>
        <sz val="10"/>
        <rFont val="Arial"/>
        <family val="2"/>
      </rPr>
      <t>r</t>
    </r>
    <r>
      <rPr>
        <sz val="10"/>
        <rFont val="Arial"/>
        <family val="2"/>
      </rPr>
      <t>:  d=</t>
    </r>
  </si>
  <si>
    <r>
      <t xml:space="preserve">Intensity, Peak 1-yr
</t>
    </r>
    <r>
      <rPr>
        <sz val="10"/>
        <rFont val="Arial"/>
        <family val="2"/>
      </rPr>
      <t>d(in)/t</t>
    </r>
    <r>
      <rPr>
        <vertAlign val="subscript"/>
        <sz val="10"/>
        <rFont val="Arial"/>
        <family val="2"/>
      </rPr>
      <t>c</t>
    </r>
    <r>
      <rPr>
        <sz val="10"/>
        <rFont val="Arial"/>
        <family val="2"/>
      </rPr>
      <t>(min)*60(min/hr)</t>
    </r>
  </si>
  <si>
    <r>
      <t>Depth at T</t>
    </r>
    <r>
      <rPr>
        <vertAlign val="subscript"/>
        <sz val="10"/>
        <rFont val="Arial"/>
        <family val="2"/>
      </rPr>
      <t xml:space="preserve">c </t>
    </r>
    <r>
      <rPr>
        <sz val="10"/>
        <rFont val="Arial"/>
        <family val="2"/>
      </rPr>
      <t>&amp; 1-y</t>
    </r>
    <r>
      <rPr>
        <vertAlign val="subscript"/>
        <sz val="10"/>
        <rFont val="Arial"/>
        <family val="2"/>
      </rPr>
      <t>r</t>
    </r>
    <r>
      <rPr>
        <sz val="10"/>
        <rFont val="Arial"/>
        <family val="2"/>
      </rPr>
      <t>:  d=</t>
    </r>
  </si>
  <si>
    <t>What factor of safety is used for sizing the underdrains? (See BMP Manual Section 12.3.6)</t>
  </si>
  <si>
    <t>Red triangles at the upper right hand corner indicate design comments</t>
  </si>
  <si>
    <t>Please complete the yellow shaded items.</t>
  </si>
  <si>
    <r>
      <t>ft</t>
    </r>
    <r>
      <rPr>
        <vertAlign val="superscript"/>
        <sz val="13"/>
        <rFont val="Arial Narrow"/>
        <family val="2"/>
      </rPr>
      <t>2</t>
    </r>
  </si>
  <si>
    <r>
      <t>ft</t>
    </r>
    <r>
      <rPr>
        <vertAlign val="superscript"/>
        <sz val="13"/>
        <rFont val="Arial Narrow"/>
        <family val="2"/>
      </rPr>
      <t>3</t>
    </r>
  </si>
  <si>
    <r>
      <t>Gravel and grass
(8</t>
    </r>
    <r>
      <rPr>
        <vertAlign val="superscript"/>
        <sz val="13"/>
        <rFont val="Arial Narrow"/>
        <family val="2"/>
      </rPr>
      <t>+</t>
    </r>
    <r>
      <rPr>
        <sz val="13"/>
        <rFont val="Arial Narrow"/>
        <family val="2"/>
      </rPr>
      <t>inches gravel followed by 3-5 ft of grass)</t>
    </r>
  </si>
  <si>
    <r>
      <t>ft</t>
    </r>
    <r>
      <rPr>
        <vertAlign val="superscript"/>
        <sz val="13"/>
        <rFont val="Arial Narrow"/>
        <family val="2"/>
      </rPr>
      <t>3</t>
    </r>
    <r>
      <rPr>
        <sz val="13"/>
        <rFont val="Arial Narrow"/>
        <family val="2"/>
      </rPr>
      <t>/sec</t>
    </r>
  </si>
  <si>
    <t>STORMWATER MANAGEMENT PERMIT APPLICATION FORM</t>
  </si>
  <si>
    <t>401 CERTIFICATION APPLICATION FORM</t>
  </si>
  <si>
    <t>Phone number</t>
  </si>
  <si>
    <t>Contact name</t>
  </si>
  <si>
    <t>Type of bioretention cell (answer "Y" to only one of the two following questions):</t>
  </si>
  <si>
    <t>Are the vegetated side slopes equal to or less than 3:1?</t>
  </si>
  <si>
    <t>Is the area surrounding the cell likely to undergo development in the future?</t>
  </si>
  <si>
    <t>Are the slopes draining to the bioretention cell greater than 20%?</t>
  </si>
  <si>
    <t>Is the drainage area permanently stabilized?</t>
  </si>
  <si>
    <t>Does volume in excess of the design volume flow evenly distributed through a vegetated filter?</t>
  </si>
  <si>
    <t>Does the design use a level spreader to evenly distribute flow?</t>
  </si>
  <si>
    <t>What is the length of the vegetated filter?</t>
  </si>
  <si>
    <t>Does volume in excess of the design volume bypass the bioretention cell?</t>
  </si>
  <si>
    <t>BIORETENTION CELL SUPPLEMENT</t>
  </si>
  <si>
    <t>Design rainfall depth</t>
  </si>
  <si>
    <t>Is this a grassed cell?</t>
  </si>
  <si>
    <t>Is this a cell with trees/shrubs?</t>
  </si>
  <si>
    <t>Bottom of the cell required</t>
  </si>
  <si>
    <t>Additional distance between the bottom of the planting media and the bottom of the cell to account for underdrains</t>
  </si>
  <si>
    <t>Pre-development 1-yr, 24-hr runoff</t>
  </si>
  <si>
    <t>Post-development 1-yr, 24-hr runoff</t>
  </si>
  <si>
    <t>Minimum volume required</t>
  </si>
  <si>
    <t>Volume provided</t>
  </si>
  <si>
    <t>1-yr, 24-hr runoff depth</t>
  </si>
  <si>
    <t>1-yr, 24-hr intensity</t>
  </si>
  <si>
    <t>Pre/Post 1-yr, 24-hr peak control</t>
  </si>
  <si>
    <t>(Y or N)</t>
  </si>
  <si>
    <t xml:space="preserve">Section view of the bioretention cell (1" = 20' or larger) showing:
- Side slopes, 3:1 or lower
- Underdrain system (if applicable), and 
- Bioretention cell layers [ground level and slope, pre-treatment, ponding depth, mulch depth, fill media depth, washed sand, filter fabric (or choking stone if applicable), #57 stone, underdrains (if applicable), SHWT level(s), and overflow structure]                                                                                                              </t>
  </si>
  <si>
    <t>II.  DESIGN INFORMATION</t>
  </si>
  <si>
    <t>1.</t>
  </si>
  <si>
    <t>2.</t>
  </si>
  <si>
    <t>3.</t>
  </si>
  <si>
    <t>4.</t>
  </si>
  <si>
    <t>5.</t>
  </si>
  <si>
    <t>6.</t>
  </si>
  <si>
    <t>8.</t>
  </si>
  <si>
    <t>7.</t>
  </si>
  <si>
    <t>Percent impervious</t>
  </si>
  <si>
    <r>
      <t xml:space="preserve">Please indicate the page or plan sheet numbers where the supporting documentation can be found.  </t>
    </r>
    <r>
      <rPr>
        <b/>
        <sz val="13"/>
        <rFont val="Arial Narrow"/>
        <family val="2"/>
      </rPr>
      <t>An incomplete submittal package will result in a request for additional information.  This will delay final review and approval of the project.</t>
    </r>
    <r>
      <rPr>
        <sz val="13"/>
        <rFont val="Arial Narrow"/>
        <family val="2"/>
      </rPr>
      <t xml:space="preserve">  Initial in the space provided to indicate the following design requirements have been met.  If the applicant has designated an agent, the agent may initial below.  </t>
    </r>
    <r>
      <rPr>
        <b/>
        <sz val="13"/>
        <rFont val="Arial Narrow"/>
        <family val="2"/>
      </rPr>
      <t>If a requirement has not been met, attach justification.</t>
    </r>
  </si>
  <si>
    <t>Is the BMP located at least 30 feet from surface waters (50 feet if SA waters)?</t>
  </si>
  <si>
    <t>Is the BMP localed at least 100 feet from water supply wells?</t>
  </si>
  <si>
    <t>Planting Plan</t>
  </si>
  <si>
    <t xml:space="preserve">Is pre/post control of the 1-yr, 24-hr peak flow required? </t>
  </si>
  <si>
    <t>Pre-development 1-yr, 24-hr peak flow</t>
  </si>
  <si>
    <t>Post-development 1-yr, 24-hr peak flow</t>
  </si>
  <si>
    <t>A detailed planting plan (1" = 20' or larger) prepared by a qualified individual showing:
- A variety of suitable species, 
- Sizes, spacing and locations of plantings, 
- Total quantity of each type of plant specified,
- A planting detail,
- The source nursery for the plants, and
- Fertilizer and watering requirements to establish vegetation.</t>
  </si>
  <si>
    <t>________</t>
  </si>
  <si>
    <t>A construction sequence that shows how the bioretention cell will be protected from sediment until the entire drainage area is stabilized.</t>
  </si>
  <si>
    <t>The supporting calculations (including underdrain calculations, if applicable).</t>
  </si>
  <si>
    <t>A copy of the deed restriction.</t>
  </si>
  <si>
    <t>9.</t>
  </si>
  <si>
    <t>A soils report that is based upon an actual field investigation, soil borings, and infiltration tests.  The results of the soils report must be verified in the field by DWQ, by completing &amp; submitting the soils investigation request form.  County soil maps are not an acceptable source of soils information.  All elevations shall be in feet mean sea level (fmsl). Results of soils tests of both the planting soil and the in situ soil must include: 
- Soil permeability, 
- Soil composition (% sand, % fines, % organic), and
- P-index.</t>
  </si>
  <si>
    <t xml:space="preserve">Plans (1" - 50' or larger) of the entire site showing:
- Design at ultimate build-out,
- Off-site drainage (if applicable),
- Delineated drainage basins (include Rational C coefficient per basin),
- Cell dimensions,
- Pretreatment system, 
- High flow bypass system,
- Maintenance access, 
- Recorded drainage easement and public right of way (ROW),
- Clean out pipe locations, 
- Overflow device, and
- Boundaries of drainage easement. </t>
  </si>
  <si>
    <t>This form must be filled out, printed and submitted.</t>
  </si>
  <si>
    <t>A copy of the signed and notarized inspection and maintenance (I&amp;M) agreement.</t>
  </si>
  <si>
    <t>The Required Items Checklist (Part III) must be printed, filled out and submitted along with all of the required information.</t>
  </si>
  <si>
    <t>Cell Dimensions</t>
  </si>
  <si>
    <t>Plan details (1" = 30' or larger) for the bioretention cell showing:
- Cell dimensions
- Pretreatment system, 
- High flow bypass system,
- Maintenance access, 
- Recorded drainage easement and public right of way (ROW),
- Design at ultimate build-out,
- Off-site drainage (if applicable),
- Clean out pipe locations, 
- Overflow device, and
- Boundaries of drainage easement. 
- Indicate the P-Index between 10 and 30</t>
  </si>
  <si>
    <r>
      <t xml:space="preserve">Intensity, Peak 10-yr, 24-hr
</t>
    </r>
    <r>
      <rPr>
        <sz val="10"/>
        <rFont val="Arial"/>
        <family val="2"/>
      </rPr>
      <t>d(in)/24hr</t>
    </r>
  </si>
  <si>
    <t>Use time of concentration to determine the "1-yr" storm, but not the "1-yr, 24-hr" storm.  Note that the "1-yr, 24-hr"  value discussed here is the regulated storm.</t>
  </si>
  <si>
    <r>
      <t>Depth at 24hr</t>
    </r>
    <r>
      <rPr>
        <vertAlign val="subscript"/>
        <sz val="10"/>
        <rFont val="Arial"/>
        <family val="2"/>
      </rPr>
      <t xml:space="preserve"> </t>
    </r>
    <r>
      <rPr>
        <sz val="10"/>
        <rFont val="Arial"/>
        <family val="2"/>
      </rPr>
      <t>&amp; 10-y</t>
    </r>
    <r>
      <rPr>
        <vertAlign val="subscript"/>
        <sz val="10"/>
        <rFont val="Arial"/>
        <family val="2"/>
      </rPr>
      <t>r</t>
    </r>
    <r>
      <rPr>
        <sz val="10"/>
        <rFont val="Arial"/>
        <family val="2"/>
      </rPr>
      <t>:  d=</t>
    </r>
  </si>
  <si>
    <r>
      <t xml:space="preserve">Intensity, Peak 1-yr, 24-hr
</t>
    </r>
    <r>
      <rPr>
        <sz val="10"/>
        <rFont val="Arial"/>
        <family val="2"/>
      </rPr>
      <t>d(in)/24hr</t>
    </r>
  </si>
  <si>
    <r>
      <t>Depth at 24hr</t>
    </r>
    <r>
      <rPr>
        <vertAlign val="subscript"/>
        <sz val="10"/>
        <rFont val="Arial"/>
        <family val="2"/>
      </rPr>
      <t xml:space="preserve"> </t>
    </r>
    <r>
      <rPr>
        <sz val="10"/>
        <rFont val="Arial"/>
        <family val="2"/>
      </rPr>
      <t>&amp; 1-y</t>
    </r>
    <r>
      <rPr>
        <vertAlign val="subscript"/>
        <sz val="10"/>
        <rFont val="Arial"/>
        <family val="2"/>
      </rPr>
      <t>r</t>
    </r>
    <r>
      <rPr>
        <sz val="10"/>
        <rFont val="Arial"/>
        <family val="2"/>
      </rPr>
      <t>:  d=</t>
    </r>
  </si>
  <si>
    <t>Storage Volume:  Non-SA Waters</t>
  </si>
  <si>
    <t>Storage Volume:  SA Waters</t>
  </si>
  <si>
    <t>1.5" runoff volume</t>
  </si>
  <si>
    <t>Phosphorus Index (P-Index) of media</t>
  </si>
  <si>
    <t xml:space="preserve">   Other</t>
  </si>
  <si>
    <t>Planting media depth</t>
  </si>
  <si>
    <t>Media and Soils Summary</t>
  </si>
  <si>
    <t>Bottom of the planting media soil</t>
  </si>
  <si>
    <t>Depth of washed sand below planting media soil</t>
  </si>
  <si>
    <t>Planting elevation (top of the mulch or grass sod layer)</t>
  </si>
  <si>
    <t>Is the BMP located in a proposed drainage easement with access to a public Right of Way (ROW)?</t>
  </si>
  <si>
    <t>Internal Water Storage Zone (IWS)</t>
  </si>
  <si>
    <t>Does the design include IWS</t>
  </si>
  <si>
    <t>Elevation of the top of the upturned elbow</t>
  </si>
  <si>
    <t>Y</t>
  </si>
  <si>
    <t>Separation of IWS and Surface</t>
  </si>
  <si>
    <t>% Sand (by volume)</t>
  </si>
  <si>
    <t>% Fines (by volume)</t>
  </si>
  <si>
    <t>% Organic (by volume)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</si>
</sst>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Yes&quot;;&quot;Yes&quot;;&quot;No&quot;"/>
    <numFmt numFmtId="167" formatCode="&quot;True&quot;;&quot;True&quot;;&quot;False&quot;"/>
    <numFmt numFmtId="168" formatCode="&quot;On&quot;;&quot;On&quot;;&quot;Off&quot;"/>
    <numFmt numFmtId="169" formatCode="0.0%"/>
    <numFmt numFmtId="170" formatCode="0.0000"/>
    <numFmt numFmtId="171" formatCode="0.000"/>
    <numFmt numFmtId="172" formatCode="#,##0.0"/>
    <numFmt numFmtId="173" formatCode="#,##0.0000"/>
    <numFmt numFmtId="174" formatCode="#,##0.000"/>
    <numFmt numFmtId="175" formatCode="mmmm\ d\,\ yyyy"/>
  </numFmts>
  <fonts count="68">
    <font>
      <sz val="10"/>
      <name val="Arial"/>
      <family val="0"/>
    </font>
    <font>
      <b/>
      <sz val="14"/>
      <name val="Times New Roman"/>
      <family val="1"/>
    </font>
    <font>
      <b/>
      <sz val="10"/>
      <name val="Arial"/>
      <family val="2"/>
    </font>
    <font>
      <vertAlign val="superscript"/>
      <sz val="10"/>
      <name val="Arial"/>
      <family val="2"/>
    </font>
    <font>
      <vertAlign val="subscript"/>
      <sz val="10"/>
      <name val="Arial"/>
      <family val="2"/>
    </font>
    <font>
      <sz val="8"/>
      <name val="Tahoma"/>
      <family val="0"/>
    </font>
    <font>
      <sz val="10"/>
      <color indexed="10"/>
      <name val="Arial"/>
      <family val="2"/>
    </font>
    <font>
      <b/>
      <sz val="10"/>
      <color indexed="57"/>
      <name val="Arial"/>
      <family val="2"/>
    </font>
    <font>
      <b/>
      <sz val="7.5"/>
      <name val="Arial"/>
      <family val="0"/>
    </font>
    <font>
      <sz val="7.5"/>
      <name val="Arial"/>
      <family val="2"/>
    </font>
    <font>
      <sz val="7.5"/>
      <color indexed="46"/>
      <name val="Arial"/>
      <family val="2"/>
    </font>
    <font>
      <sz val="7.5"/>
      <color indexed="48"/>
      <name val="Arial"/>
      <family val="2"/>
    </font>
    <font>
      <sz val="7.5"/>
      <color indexed="10"/>
      <name val="Arial"/>
      <family val="2"/>
    </font>
    <font>
      <b/>
      <vertAlign val="subscript"/>
      <sz val="10"/>
      <name val="Arial"/>
      <family val="2"/>
    </font>
    <font>
      <sz val="10"/>
      <color indexed="57"/>
      <name val="Arial"/>
      <family val="2"/>
    </font>
    <font>
      <sz val="10"/>
      <color indexed="48"/>
      <name val="Arial"/>
      <family val="2"/>
    </font>
    <font>
      <sz val="10"/>
      <color indexed="46"/>
      <name val="Arial"/>
      <family val="2"/>
    </font>
    <font>
      <sz val="12"/>
      <color indexed="10"/>
      <name val="Arial Narrow"/>
      <family val="2"/>
    </font>
    <font>
      <sz val="12"/>
      <name val="Arial Narrow"/>
      <family val="2"/>
    </font>
    <font>
      <i/>
      <sz val="14"/>
      <name val="Arial Narrow"/>
      <family val="2"/>
    </font>
    <font>
      <b/>
      <sz val="14"/>
      <name val="Arial Narrow"/>
      <family val="2"/>
    </font>
    <font>
      <sz val="13"/>
      <name val="Arial Narrow"/>
      <family val="2"/>
    </font>
    <font>
      <b/>
      <sz val="13"/>
      <name val="Arial Narrow"/>
      <family val="2"/>
    </font>
    <font>
      <vertAlign val="superscript"/>
      <sz val="13"/>
      <name val="Arial Narrow"/>
      <family val="2"/>
    </font>
    <font>
      <sz val="13"/>
      <color indexed="10"/>
      <name val="Arial Narrow"/>
      <family val="2"/>
    </font>
    <font>
      <i/>
      <sz val="13"/>
      <name val="Arial Narrow"/>
      <family val="2"/>
    </font>
    <font>
      <b/>
      <sz val="18"/>
      <color indexed="18"/>
      <name val="Arial Narrow"/>
      <family val="2"/>
    </font>
    <font>
      <sz val="14"/>
      <name val="Arial Narrow"/>
      <family val="2"/>
    </font>
    <font>
      <sz val="10"/>
      <name val="Tahoma"/>
      <family val="2"/>
    </font>
    <font>
      <sz val="10"/>
      <name val="Arial Narrow"/>
      <family val="2"/>
    </font>
    <font>
      <sz val="7.5"/>
      <color indexed="14"/>
      <name val="Arial"/>
      <family val="2"/>
    </font>
    <font>
      <sz val="10"/>
      <color indexed="14"/>
      <name val="Arial"/>
      <family val="2"/>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72">
    <xf numFmtId="0" fontId="0" fillId="0" borderId="0" xfId="0" applyAlignment="1">
      <alignment/>
    </xf>
    <xf numFmtId="2" fontId="0" fillId="0" borderId="0" xfId="0" applyNumberFormat="1" applyAlignment="1">
      <alignment/>
    </xf>
    <xf numFmtId="0" fontId="8" fillId="0" borderId="10" xfId="0" applyFont="1" applyBorder="1" applyAlignment="1">
      <alignment horizontal="center"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9" fillId="0" borderId="12" xfId="0" applyFont="1" applyBorder="1" applyAlignment="1">
      <alignment wrapText="1"/>
    </xf>
    <xf numFmtId="0" fontId="10" fillId="0" borderId="12" xfId="0" applyFont="1" applyBorder="1" applyAlignment="1">
      <alignment wrapText="1"/>
    </xf>
    <xf numFmtId="0" fontId="9" fillId="0" borderId="12" xfId="0" applyFont="1" applyBorder="1" applyAlignment="1">
      <alignment wrapText="1"/>
    </xf>
    <xf numFmtId="0" fontId="11" fillId="0" borderId="12" xfId="0" applyFont="1" applyFill="1" applyBorder="1" applyAlignment="1">
      <alignment wrapText="1"/>
    </xf>
    <xf numFmtId="0" fontId="12" fillId="0" borderId="12" xfId="0" applyFont="1" applyFill="1" applyBorder="1" applyAlignment="1">
      <alignment wrapText="1"/>
    </xf>
    <xf numFmtId="0" fontId="2" fillId="0" borderId="0" xfId="0" applyFont="1" applyAlignment="1">
      <alignment vertical="top" wrapText="1"/>
    </xf>
    <xf numFmtId="2" fontId="0" fillId="0" borderId="0" xfId="0" applyNumberFormat="1" applyFont="1" applyFill="1" applyAlignment="1">
      <alignment vertical="top" wrapText="1"/>
    </xf>
    <xf numFmtId="0" fontId="0" fillId="0" borderId="0" xfId="0" applyAlignment="1">
      <alignment horizontal="left" vertical="top" wrapText="1"/>
    </xf>
    <xf numFmtId="0" fontId="0" fillId="0" borderId="0" xfId="0" applyBorder="1" applyAlignment="1">
      <alignment horizontal="left" vertical="top" indent="1"/>
    </xf>
    <xf numFmtId="0" fontId="0" fillId="0" borderId="0" xfId="0" applyBorder="1" applyAlignment="1">
      <alignment vertical="top"/>
    </xf>
    <xf numFmtId="0" fontId="2" fillId="0" borderId="0" xfId="0" applyFont="1" applyAlignment="1">
      <alignment wrapText="1"/>
    </xf>
    <xf numFmtId="0" fontId="0" fillId="0" borderId="0" xfId="0" applyFont="1" applyAlignment="1">
      <alignment horizontal="left" indent="1"/>
    </xf>
    <xf numFmtId="2" fontId="15" fillId="0" borderId="0" xfId="0" applyNumberFormat="1" applyFont="1" applyAlignment="1">
      <alignment/>
    </xf>
    <xf numFmtId="2" fontId="16" fillId="0" borderId="0" xfId="0" applyNumberFormat="1" applyFont="1" applyAlignment="1">
      <alignment/>
    </xf>
    <xf numFmtId="0" fontId="18" fillId="0" borderId="0" xfId="0" applyFont="1" applyAlignment="1">
      <alignment vertical="center" wrapText="1"/>
    </xf>
    <xf numFmtId="0" fontId="18" fillId="33" borderId="0" xfId="0" applyFont="1" applyFill="1" applyAlignment="1">
      <alignment/>
    </xf>
    <xf numFmtId="0" fontId="18" fillId="0" borderId="0" xfId="0" applyFont="1" applyAlignment="1">
      <alignment horizontal="right" vertical="center" wrapText="1"/>
    </xf>
    <xf numFmtId="0" fontId="21" fillId="0" borderId="0" xfId="0" applyFont="1" applyAlignment="1">
      <alignment vertical="center" wrapText="1"/>
    </xf>
    <xf numFmtId="0" fontId="18" fillId="0" borderId="0" xfId="0" applyFont="1" applyBorder="1" applyAlignment="1">
      <alignment vertical="center" wrapText="1"/>
    </xf>
    <xf numFmtId="0" fontId="22" fillId="0" borderId="0" xfId="0" applyFont="1" applyAlignment="1">
      <alignmen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0" xfId="0" applyFont="1" applyFill="1" applyAlignment="1">
      <alignment vertical="center" wrapText="1"/>
    </xf>
    <xf numFmtId="0" fontId="21" fillId="0" borderId="0" xfId="0" applyFont="1" applyAlignment="1">
      <alignment horizontal="right" vertical="center" wrapText="1"/>
    </xf>
    <xf numFmtId="0" fontId="21" fillId="34" borderId="0" xfId="0" applyFont="1" applyFill="1" applyAlignment="1">
      <alignment vertical="center" wrapText="1"/>
    </xf>
    <xf numFmtId="2" fontId="21" fillId="0" borderId="13" xfId="0" applyNumberFormat="1" applyFont="1" applyBorder="1" applyAlignment="1">
      <alignment horizontal="right" vertical="center" wrapText="1"/>
    </xf>
    <xf numFmtId="0" fontId="21" fillId="0" borderId="0" xfId="0" applyFont="1" applyBorder="1" applyAlignment="1">
      <alignment horizontal="right" vertical="center" wrapText="1"/>
    </xf>
    <xf numFmtId="0" fontId="21" fillId="34" borderId="0" xfId="0" applyFont="1" applyFill="1" applyAlignment="1">
      <alignment horizontal="right" vertical="center" wrapText="1"/>
    </xf>
    <xf numFmtId="0" fontId="21" fillId="34" borderId="0" xfId="0" applyFont="1" applyFill="1" applyBorder="1" applyAlignment="1">
      <alignment horizontal="right" vertical="center" wrapText="1"/>
    </xf>
    <xf numFmtId="0" fontId="21" fillId="0" borderId="0" xfId="0" applyFont="1" applyAlignment="1">
      <alignment horizontal="left" vertical="center" wrapText="1" indent="1"/>
    </xf>
    <xf numFmtId="0" fontId="21" fillId="0" borderId="0" xfId="0" applyFont="1" applyFill="1" applyBorder="1" applyAlignment="1">
      <alignment horizontal="right" vertical="center" wrapText="1"/>
    </xf>
    <xf numFmtId="0" fontId="21" fillId="0" borderId="13" xfId="0" applyFont="1" applyFill="1" applyBorder="1" applyAlignment="1">
      <alignment horizontal="right" vertical="center" wrapText="1"/>
    </xf>
    <xf numFmtId="0" fontId="25" fillId="0" borderId="0" xfId="0" applyFont="1" applyAlignment="1">
      <alignment vertical="center" wrapText="1"/>
    </xf>
    <xf numFmtId="0" fontId="21" fillId="0" borderId="0" xfId="0" applyFont="1" applyAlignment="1">
      <alignment horizontal="left" vertical="center" wrapText="1" indent="2"/>
    </xf>
    <xf numFmtId="0" fontId="21" fillId="34" borderId="0" xfId="0" applyFont="1" applyFill="1" applyAlignment="1">
      <alignment horizontal="left" vertical="center" wrapText="1" indent="2"/>
    </xf>
    <xf numFmtId="9" fontId="21" fillId="34" borderId="0" xfId="0" applyNumberFormat="1" applyFont="1" applyFill="1" applyBorder="1" applyAlignment="1">
      <alignment horizontal="right" vertical="center" wrapText="1"/>
    </xf>
    <xf numFmtId="0" fontId="21" fillId="34" borderId="0" xfId="0" applyFont="1" applyFill="1" applyBorder="1" applyAlignment="1">
      <alignment horizontal="left" vertical="center" wrapText="1" indent="2"/>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9" fontId="21" fillId="0" borderId="13" xfId="0" applyNumberFormat="1" applyFont="1" applyBorder="1" applyAlignment="1">
      <alignment horizontal="right" vertical="center" wrapText="1"/>
    </xf>
    <xf numFmtId="0" fontId="21" fillId="0" borderId="0" xfId="0" applyFont="1" applyAlignment="1">
      <alignment horizontal="left" vertical="center" wrapText="1"/>
    </xf>
    <xf numFmtId="0" fontId="24" fillId="34" borderId="0" xfId="0" applyFont="1" applyFill="1" applyAlignment="1">
      <alignment horizontal="left" vertical="center" wrapText="1"/>
    </xf>
    <xf numFmtId="0" fontId="24" fillId="34" borderId="0" xfId="0" applyFont="1" applyFill="1" applyBorder="1" applyAlignment="1">
      <alignment horizontal="center" vertical="center" wrapText="1"/>
    </xf>
    <xf numFmtId="0" fontId="24" fillId="34" borderId="0" xfId="0" applyFont="1" applyFill="1" applyAlignment="1">
      <alignment vertical="center" wrapText="1"/>
    </xf>
    <xf numFmtId="0" fontId="21" fillId="0" borderId="14" xfId="0" applyFont="1" applyFill="1" applyBorder="1" applyAlignment="1">
      <alignment horizontal="right" vertical="center" wrapText="1"/>
    </xf>
    <xf numFmtId="0" fontId="21" fillId="0" borderId="14" xfId="0" applyFont="1" applyBorder="1" applyAlignment="1">
      <alignment horizontal="right" vertical="center" wrapText="1"/>
    </xf>
    <xf numFmtId="0" fontId="22" fillId="0" borderId="0" xfId="0" applyFont="1" applyAlignment="1">
      <alignment horizontal="right" vertical="center" wrapText="1"/>
    </xf>
    <xf numFmtId="0" fontId="21" fillId="0" borderId="0" xfId="0" applyFont="1" applyAlignment="1">
      <alignment horizontal="center" vertical="center" wrapText="1"/>
    </xf>
    <xf numFmtId="0" fontId="21" fillId="0" borderId="0" xfId="0" applyFont="1" applyBorder="1" applyAlignment="1">
      <alignment vertical="center" wrapText="1"/>
    </xf>
    <xf numFmtId="1" fontId="21" fillId="0" borderId="0" xfId="0" applyNumberFormat="1" applyFont="1" applyAlignment="1">
      <alignment horizontal="left" vertical="center" wrapText="1"/>
    </xf>
    <xf numFmtId="0" fontId="21" fillId="34" borderId="0" xfId="0" applyFont="1" applyFill="1" applyAlignment="1">
      <alignment horizontal="left" vertical="center" wrapText="1" indent="1"/>
    </xf>
    <xf numFmtId="0" fontId="21" fillId="34" borderId="0" xfId="0" applyFont="1" applyFill="1" applyBorder="1" applyAlignment="1">
      <alignment horizontal="center" vertical="center" wrapText="1"/>
    </xf>
    <xf numFmtId="0" fontId="21" fillId="0" borderId="0" xfId="0" applyFont="1" applyFill="1" applyAlignment="1">
      <alignment horizontal="left" vertical="center" wrapText="1"/>
    </xf>
    <xf numFmtId="0" fontId="1" fillId="35" borderId="0" xfId="0" applyFont="1" applyFill="1" applyAlignment="1">
      <alignment horizontal="center"/>
    </xf>
    <xf numFmtId="0" fontId="18" fillId="35" borderId="0" xfId="0" applyFont="1" applyFill="1" applyAlignment="1">
      <alignment vertical="center" wrapText="1"/>
    </xf>
    <xf numFmtId="0" fontId="18" fillId="35" borderId="0" xfId="0" applyFont="1" applyFill="1" applyAlignment="1">
      <alignment horizontal="right" vertical="center" wrapText="1"/>
    </xf>
    <xf numFmtId="0" fontId="21" fillId="0" borderId="0" xfId="0" applyFont="1" applyFill="1" applyAlignment="1">
      <alignment horizontal="left" vertical="center" wrapText="1" indent="1"/>
    </xf>
    <xf numFmtId="0" fontId="21" fillId="0" borderId="0" xfId="0" applyFont="1" applyAlignment="1">
      <alignment/>
    </xf>
    <xf numFmtId="0" fontId="21" fillId="0" borderId="0" xfId="0" applyFont="1" applyAlignment="1">
      <alignment/>
    </xf>
    <xf numFmtId="0" fontId="18" fillId="0" borderId="0" xfId="0" applyFont="1" applyFill="1" applyAlignment="1">
      <alignment horizontal="left" vertical="center" wrapText="1"/>
    </xf>
    <xf numFmtId="0" fontId="1" fillId="35" borderId="0" xfId="0" applyFont="1" applyFill="1" applyAlignment="1">
      <alignment horizontal="left"/>
    </xf>
    <xf numFmtId="0" fontId="18" fillId="35" borderId="0" xfId="0" applyFont="1" applyFill="1" applyAlignment="1">
      <alignment horizontal="left" vertical="center" wrapText="1"/>
    </xf>
    <xf numFmtId="0" fontId="21" fillId="34" borderId="0" xfId="0" applyFont="1" applyFill="1" applyAlignment="1">
      <alignment horizontal="left" vertical="center" wrapText="1"/>
    </xf>
    <xf numFmtId="0" fontId="21" fillId="0" borderId="0" xfId="0" applyFont="1" applyFill="1" applyBorder="1" applyAlignment="1">
      <alignment horizontal="left" vertical="center" wrapText="1"/>
    </xf>
    <xf numFmtId="0" fontId="20" fillId="36" borderId="15" xfId="0" applyFont="1" applyFill="1" applyBorder="1" applyAlignment="1">
      <alignment vertical="center" wrapText="1"/>
    </xf>
    <xf numFmtId="0" fontId="18" fillId="36" borderId="14" xfId="0" applyFont="1" applyFill="1" applyBorder="1" applyAlignment="1">
      <alignment horizontal="right" vertical="center" wrapText="1"/>
    </xf>
    <xf numFmtId="0" fontId="18" fillId="36" borderId="14" xfId="0" applyFont="1" applyFill="1" applyBorder="1" applyAlignment="1">
      <alignment horizontal="left" vertical="center" wrapText="1"/>
    </xf>
    <xf numFmtId="0" fontId="18" fillId="36" borderId="16" xfId="0" applyFont="1" applyFill="1" applyBorder="1" applyAlignment="1">
      <alignment vertical="center" wrapText="1"/>
    </xf>
    <xf numFmtId="0" fontId="21" fillId="0" borderId="0" xfId="0" applyFont="1" applyFill="1" applyAlignment="1">
      <alignment/>
    </xf>
    <xf numFmtId="0" fontId="22" fillId="0" borderId="0" xfId="0" applyFont="1" applyAlignment="1">
      <alignment horizontal="center" vertical="top" wrapText="1"/>
    </xf>
    <xf numFmtId="0" fontId="22" fillId="0" borderId="0" xfId="0" applyFont="1" applyAlignment="1">
      <alignment horizontal="right" vertical="top" wrapText="1"/>
    </xf>
    <xf numFmtId="0" fontId="21" fillId="0" borderId="0" xfId="0" applyFont="1" applyAlignment="1">
      <alignment vertical="top" wrapText="1"/>
    </xf>
    <xf numFmtId="0" fontId="21" fillId="0" borderId="0" xfId="0" applyFont="1" applyAlignment="1">
      <alignment vertical="top"/>
    </xf>
    <xf numFmtId="0" fontId="21" fillId="0" borderId="0" xfId="0" applyFont="1" applyAlignment="1">
      <alignment horizontal="center" vertical="top"/>
    </xf>
    <xf numFmtId="0" fontId="21" fillId="0" borderId="0" xfId="0" applyFont="1" applyAlignment="1" quotePrefix="1">
      <alignment horizontal="right" vertical="top"/>
    </xf>
    <xf numFmtId="0" fontId="21" fillId="0" borderId="0" xfId="0" applyFont="1" applyAlignment="1">
      <alignment horizontal="right"/>
    </xf>
    <xf numFmtId="0" fontId="21" fillId="0" borderId="0" xfId="0" applyFont="1" applyAlignment="1">
      <alignment wrapText="1"/>
    </xf>
    <xf numFmtId="0" fontId="20" fillId="35" borderId="0" xfId="0" applyFont="1" applyFill="1" applyBorder="1" applyAlignment="1">
      <alignment horizontal="left"/>
    </xf>
    <xf numFmtId="0" fontId="21" fillId="35" borderId="0" xfId="0" applyFont="1" applyFill="1" applyAlignment="1">
      <alignment vertical="center" wrapText="1"/>
    </xf>
    <xf numFmtId="0" fontId="21" fillId="35" borderId="0" xfId="0" applyFont="1" applyFill="1" applyAlignment="1">
      <alignment horizontal="right" vertical="center" wrapText="1"/>
    </xf>
    <xf numFmtId="0" fontId="22" fillId="0" borderId="0" xfId="0" applyFont="1" applyAlignment="1">
      <alignment horizontal="center" wrapText="1"/>
    </xf>
    <xf numFmtId="0" fontId="22" fillId="0" borderId="0" xfId="0" applyFont="1" applyAlignment="1">
      <alignment wrapText="1"/>
    </xf>
    <xf numFmtId="0" fontId="21" fillId="0" borderId="0" xfId="0" applyFont="1" applyFill="1" applyAlignment="1">
      <alignment horizontal="left" wrapText="1"/>
    </xf>
    <xf numFmtId="0" fontId="21" fillId="34" borderId="0" xfId="0" applyFont="1" applyFill="1" applyAlignment="1">
      <alignment wrapText="1"/>
    </xf>
    <xf numFmtId="2" fontId="21" fillId="34" borderId="13" xfId="0" applyNumberFormat="1" applyFont="1" applyFill="1" applyBorder="1" applyAlignment="1">
      <alignment horizontal="right" wrapText="1"/>
    </xf>
    <xf numFmtId="0" fontId="21" fillId="34" borderId="0" xfId="0" applyFont="1" applyFill="1" applyAlignment="1">
      <alignment horizontal="left" wrapText="1"/>
    </xf>
    <xf numFmtId="0" fontId="21" fillId="0" borderId="0" xfId="0" applyFont="1" applyBorder="1" applyAlignment="1">
      <alignment horizontal="right" wrapText="1"/>
    </xf>
    <xf numFmtId="0" fontId="21" fillId="34" borderId="0" xfId="0" applyFont="1" applyFill="1" applyAlignment="1">
      <alignment horizontal="left" wrapText="1" indent="1"/>
    </xf>
    <xf numFmtId="0" fontId="21" fillId="0" borderId="0" xfId="0" applyFont="1" applyBorder="1" applyAlignment="1">
      <alignment horizontal="left" vertical="center" wrapText="1"/>
    </xf>
    <xf numFmtId="0" fontId="22" fillId="0" borderId="0" xfId="0" applyFont="1" applyAlignment="1">
      <alignment horizontal="left" vertical="center" wrapText="1"/>
    </xf>
    <xf numFmtId="169" fontId="21" fillId="0" borderId="17" xfId="0" applyNumberFormat="1" applyFont="1" applyFill="1" applyBorder="1" applyAlignment="1">
      <alignment horizontal="center" vertical="center"/>
    </xf>
    <xf numFmtId="172" fontId="21" fillId="0" borderId="0" xfId="0" applyNumberFormat="1" applyFont="1" applyFill="1" applyBorder="1" applyAlignment="1">
      <alignment horizontal="right" vertical="center" wrapText="1"/>
    </xf>
    <xf numFmtId="0" fontId="1" fillId="35" borderId="0" xfId="0" applyFont="1" applyFill="1" applyAlignment="1">
      <alignment horizontal="right"/>
    </xf>
    <xf numFmtId="0" fontId="18" fillId="34" borderId="0" xfId="0" applyFont="1" applyFill="1" applyAlignment="1">
      <alignment horizontal="right" vertical="center" wrapText="1"/>
    </xf>
    <xf numFmtId="0" fontId="21" fillId="34" borderId="0" xfId="0" applyFont="1" applyFill="1" applyAlignment="1">
      <alignment horizontal="right" wrapText="1"/>
    </xf>
    <xf numFmtId="0" fontId="21" fillId="0" borderId="0" xfId="0" applyFont="1" applyFill="1" applyAlignment="1">
      <alignment horizontal="right" vertical="center" wrapText="1"/>
    </xf>
    <xf numFmtId="1" fontId="21" fillId="34" borderId="0" xfId="0" applyNumberFormat="1" applyFont="1" applyFill="1" applyAlignment="1">
      <alignment horizontal="right" vertical="center" wrapText="1"/>
    </xf>
    <xf numFmtId="2" fontId="21" fillId="34" borderId="0" xfId="0" applyNumberFormat="1" applyFont="1" applyFill="1" applyAlignment="1">
      <alignment horizontal="right" vertical="center" wrapText="1"/>
    </xf>
    <xf numFmtId="3" fontId="21" fillId="0" borderId="13" xfId="0" applyNumberFormat="1" applyFont="1" applyFill="1" applyBorder="1" applyAlignment="1">
      <alignment horizontal="right" vertical="center" wrapText="1"/>
    </xf>
    <xf numFmtId="1" fontId="21" fillId="34" borderId="13" xfId="0" applyNumberFormat="1" applyFont="1" applyFill="1" applyBorder="1" applyAlignment="1">
      <alignment horizontal="right" vertical="center" wrapText="1"/>
    </xf>
    <xf numFmtId="0" fontId="30" fillId="0" borderId="12" xfId="0" applyFont="1" applyBorder="1" applyAlignment="1">
      <alignment wrapText="1"/>
    </xf>
    <xf numFmtId="0" fontId="6" fillId="0" borderId="0" xfId="0" applyFont="1" applyAlignment="1">
      <alignment/>
    </xf>
    <xf numFmtId="0" fontId="2" fillId="33" borderId="18" xfId="0" applyFont="1" applyFill="1" applyBorder="1" applyAlignment="1">
      <alignment wrapText="1"/>
    </xf>
    <xf numFmtId="2" fontId="0" fillId="33" borderId="19" xfId="0" applyNumberFormat="1" applyFill="1" applyBorder="1" applyAlignment="1">
      <alignment/>
    </xf>
    <xf numFmtId="0" fontId="0" fillId="33" borderId="20" xfId="0" applyFill="1" applyBorder="1" applyAlignment="1">
      <alignment/>
    </xf>
    <xf numFmtId="0" fontId="0" fillId="33" borderId="21" xfId="0" applyFont="1" applyFill="1" applyBorder="1" applyAlignment="1">
      <alignment horizontal="left" indent="1"/>
    </xf>
    <xf numFmtId="0" fontId="31" fillId="33" borderId="22" xfId="0" applyFont="1" applyFill="1" applyBorder="1" applyAlignment="1">
      <alignment/>
    </xf>
    <xf numFmtId="0" fontId="0" fillId="33" borderId="23" xfId="0" applyFill="1" applyBorder="1" applyAlignment="1">
      <alignment/>
    </xf>
    <xf numFmtId="174" fontId="21" fillId="0" borderId="14" xfId="0" applyNumberFormat="1" applyFont="1" applyFill="1" applyBorder="1" applyAlignment="1">
      <alignment horizontal="right" vertical="center" wrapText="1"/>
    </xf>
    <xf numFmtId="0" fontId="21" fillId="0" borderId="17" xfId="0" applyFont="1" applyBorder="1" applyAlignment="1">
      <alignment horizontal="right" vertical="center" wrapText="1"/>
    </xf>
    <xf numFmtId="0" fontId="21" fillId="0" borderId="17" xfId="0" applyFont="1" applyFill="1" applyBorder="1" applyAlignment="1">
      <alignment horizontal="right" vertical="center" wrapText="1"/>
    </xf>
    <xf numFmtId="3" fontId="21" fillId="33" borderId="13" xfId="0" applyNumberFormat="1" applyFont="1" applyFill="1" applyBorder="1" applyAlignment="1" applyProtection="1">
      <alignment horizontal="right" vertical="center" wrapText="1"/>
      <protection locked="0"/>
    </xf>
    <xf numFmtId="0" fontId="18" fillId="33" borderId="13" xfId="0" applyFont="1" applyFill="1" applyBorder="1" applyAlignment="1" applyProtection="1">
      <alignment horizontal="left" vertical="center" wrapText="1"/>
      <protection locked="0"/>
    </xf>
    <xf numFmtId="0" fontId="18" fillId="33" borderId="13" xfId="0" applyFont="1" applyFill="1" applyBorder="1" applyAlignment="1" applyProtection="1">
      <alignment horizontal="right" vertical="center" wrapText="1"/>
      <protection locked="0"/>
    </xf>
    <xf numFmtId="2" fontId="21" fillId="34" borderId="13" xfId="0" applyNumberFormat="1" applyFont="1" applyFill="1" applyBorder="1" applyAlignment="1" applyProtection="1">
      <alignment horizontal="right" wrapText="1"/>
      <protection locked="0"/>
    </xf>
    <xf numFmtId="164" fontId="21" fillId="33" borderId="14" xfId="0" applyNumberFormat="1" applyFont="1" applyFill="1" applyBorder="1" applyAlignment="1" applyProtection="1">
      <alignment horizontal="right" vertical="center" wrapText="1"/>
      <protection locked="0"/>
    </xf>
    <xf numFmtId="0" fontId="21" fillId="33" borderId="13" xfId="0" applyFont="1" applyFill="1" applyBorder="1" applyAlignment="1" applyProtection="1">
      <alignment horizontal="center" vertical="center" wrapText="1"/>
      <protection locked="0"/>
    </xf>
    <xf numFmtId="0" fontId="21" fillId="33" borderId="14" xfId="0" applyFont="1" applyFill="1" applyBorder="1" applyAlignment="1" applyProtection="1">
      <alignment horizontal="right" vertical="center" wrapText="1"/>
      <protection locked="0"/>
    </xf>
    <xf numFmtId="174" fontId="21" fillId="33" borderId="14" xfId="0" applyNumberFormat="1" applyFont="1" applyFill="1" applyBorder="1" applyAlignment="1" applyProtection="1">
      <alignment horizontal="right" vertical="center" wrapText="1"/>
      <protection locked="0"/>
    </xf>
    <xf numFmtId="172" fontId="21" fillId="33" borderId="13" xfId="0" applyNumberFormat="1" applyFont="1" applyFill="1" applyBorder="1" applyAlignment="1" applyProtection="1">
      <alignment horizontal="right" vertical="center" wrapText="1"/>
      <protection locked="0"/>
    </xf>
    <xf numFmtId="3" fontId="21" fillId="33" borderId="14" xfId="0" applyNumberFormat="1" applyFont="1" applyFill="1" applyBorder="1" applyAlignment="1" applyProtection="1">
      <alignment horizontal="right" vertical="center" wrapText="1"/>
      <protection locked="0"/>
    </xf>
    <xf numFmtId="0" fontId="21" fillId="33" borderId="13" xfId="0" applyFont="1" applyFill="1" applyBorder="1" applyAlignment="1" applyProtection="1">
      <alignment horizontal="right" vertical="center" wrapText="1"/>
      <protection locked="0"/>
    </xf>
    <xf numFmtId="172" fontId="21" fillId="34" borderId="13" xfId="0" applyNumberFormat="1" applyFont="1" applyFill="1" applyBorder="1" applyAlignment="1" applyProtection="1">
      <alignment horizontal="right" vertical="center" wrapText="1"/>
      <protection locked="0"/>
    </xf>
    <xf numFmtId="3" fontId="21" fillId="34" borderId="13" xfId="0" applyNumberFormat="1" applyFont="1" applyFill="1" applyBorder="1" applyAlignment="1" applyProtection="1">
      <alignment horizontal="right" vertical="center" wrapText="1"/>
      <protection locked="0"/>
    </xf>
    <xf numFmtId="2" fontId="21" fillId="33" borderId="13" xfId="0" applyNumberFormat="1" applyFont="1" applyFill="1" applyBorder="1" applyAlignment="1" applyProtection="1">
      <alignment horizontal="right" vertical="center" wrapText="1"/>
      <protection locked="0"/>
    </xf>
    <xf numFmtId="9" fontId="21" fillId="33" borderId="13" xfId="0" applyNumberFormat="1" applyFont="1" applyFill="1" applyBorder="1" applyAlignment="1" applyProtection="1">
      <alignment horizontal="right" vertical="center" wrapText="1"/>
      <protection locked="0"/>
    </xf>
    <xf numFmtId="9" fontId="21" fillId="34" borderId="0" xfId="0" applyNumberFormat="1" applyFont="1" applyFill="1" applyBorder="1" applyAlignment="1" applyProtection="1">
      <alignment horizontal="right" vertical="center" wrapText="1"/>
      <protection locked="0"/>
    </xf>
    <xf numFmtId="2" fontId="21" fillId="33" borderId="14" xfId="0" applyNumberFormat="1" applyFont="1" applyFill="1" applyBorder="1" applyAlignment="1" applyProtection="1">
      <alignment horizontal="center" vertical="center" wrapText="1"/>
      <protection locked="0"/>
    </xf>
    <xf numFmtId="1" fontId="21" fillId="33" borderId="13" xfId="0" applyNumberFormat="1" applyFont="1" applyFill="1" applyBorder="1" applyAlignment="1" applyProtection="1">
      <alignment horizontal="right" vertical="center" wrapText="1"/>
      <protection locked="0"/>
    </xf>
    <xf numFmtId="0" fontId="21" fillId="33" borderId="0" xfId="0" applyFont="1" applyFill="1" applyBorder="1" applyAlignment="1" applyProtection="1">
      <alignment horizontal="center" vertical="center" wrapText="1"/>
      <protection locked="0"/>
    </xf>
    <xf numFmtId="0" fontId="21" fillId="34" borderId="0" xfId="0" applyFont="1" applyFill="1" applyBorder="1" applyAlignment="1" applyProtection="1">
      <alignment horizontal="center" wrapText="1"/>
      <protection locked="0"/>
    </xf>
    <xf numFmtId="0" fontId="21" fillId="33" borderId="14" xfId="0" applyFont="1" applyFill="1" applyBorder="1" applyAlignment="1" applyProtection="1">
      <alignment horizontal="center" vertical="center" wrapText="1"/>
      <protection locked="0"/>
    </xf>
    <xf numFmtId="172" fontId="21" fillId="33" borderId="14" xfId="0" applyNumberFormat="1" applyFont="1" applyFill="1" applyBorder="1" applyAlignment="1" applyProtection="1">
      <alignment horizontal="right" vertical="center" wrapText="1"/>
      <protection locked="0"/>
    </xf>
    <xf numFmtId="0" fontId="0" fillId="0" borderId="0" xfId="0" applyAlignment="1">
      <alignment horizontal="left" vertical="top" wrapText="1"/>
    </xf>
    <xf numFmtId="0" fontId="0" fillId="0" borderId="0" xfId="0" applyAlignment="1">
      <alignment horizontal="left"/>
    </xf>
    <xf numFmtId="0" fontId="7" fillId="0" borderId="0" xfId="0" applyFont="1" applyAlignment="1">
      <alignment horizontal="center" wrapText="1"/>
    </xf>
    <xf numFmtId="0" fontId="0" fillId="0" borderId="0" xfId="0" applyAlignment="1">
      <alignment horizontal="center"/>
    </xf>
    <xf numFmtId="0" fontId="2" fillId="0" borderId="24" xfId="0" applyFont="1" applyBorder="1" applyAlignment="1">
      <alignment horizont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37" borderId="18" xfId="0" applyFill="1" applyBorder="1" applyAlignment="1">
      <alignment horizontal="left" vertical="center" wrapText="1"/>
    </xf>
    <xf numFmtId="0" fontId="0" fillId="37" borderId="19" xfId="0" applyFill="1" applyBorder="1" applyAlignment="1">
      <alignment horizontal="left" vertical="center" wrapText="1"/>
    </xf>
    <xf numFmtId="0" fontId="0" fillId="37" borderId="20" xfId="0" applyFill="1" applyBorder="1" applyAlignment="1">
      <alignment horizontal="left" vertical="center" wrapText="1"/>
    </xf>
    <xf numFmtId="0" fontId="0" fillId="37" borderId="27" xfId="0" applyFill="1" applyBorder="1" applyAlignment="1">
      <alignment horizontal="left" vertical="center" wrapText="1"/>
    </xf>
    <xf numFmtId="0" fontId="0" fillId="37" borderId="0" xfId="0" applyFill="1" applyBorder="1" applyAlignment="1">
      <alignment horizontal="left" vertical="center" wrapText="1"/>
    </xf>
    <xf numFmtId="0" fontId="0" fillId="37" borderId="28" xfId="0" applyFill="1" applyBorder="1" applyAlignment="1">
      <alignment horizontal="left" vertical="center" wrapText="1"/>
    </xf>
    <xf numFmtId="0" fontId="0" fillId="37" borderId="21" xfId="0" applyFill="1" applyBorder="1" applyAlignment="1">
      <alignment horizontal="left" vertical="center" wrapText="1"/>
    </xf>
    <xf numFmtId="0" fontId="0" fillId="37" borderId="22" xfId="0" applyFill="1" applyBorder="1" applyAlignment="1">
      <alignment horizontal="left" vertical="center" wrapText="1"/>
    </xf>
    <xf numFmtId="0" fontId="0" fillId="37" borderId="23" xfId="0" applyFill="1" applyBorder="1" applyAlignment="1">
      <alignment horizontal="left" vertical="center" wrapText="1"/>
    </xf>
    <xf numFmtId="0" fontId="21" fillId="0" borderId="0" xfId="0" applyFont="1" applyAlignment="1">
      <alignment horizontal="left" vertical="center" wrapText="1"/>
    </xf>
    <xf numFmtId="0" fontId="0" fillId="0" borderId="0" xfId="0" applyAlignment="1">
      <alignment vertical="center" wrapText="1"/>
    </xf>
    <xf numFmtId="0" fontId="27" fillId="35" borderId="0" xfId="0" applyFont="1" applyFill="1" applyAlignment="1">
      <alignment horizontal="center"/>
    </xf>
    <xf numFmtId="0" fontId="26" fillId="35" borderId="0" xfId="0" applyFont="1" applyFill="1" applyAlignment="1">
      <alignment horizontal="center" vertical="center"/>
    </xf>
    <xf numFmtId="0" fontId="18" fillId="33" borderId="13" xfId="0" applyFont="1" applyFill="1" applyBorder="1" applyAlignment="1" applyProtection="1">
      <alignment horizontal="left" vertical="center" wrapText="1"/>
      <protection locked="0"/>
    </xf>
    <xf numFmtId="0" fontId="17" fillId="35" borderId="0" xfId="0" applyFont="1" applyFill="1" applyAlignment="1">
      <alignment horizontal="left" vertical="center" wrapText="1"/>
    </xf>
    <xf numFmtId="0" fontId="20" fillId="36" borderId="15" xfId="0" applyFont="1" applyFill="1" applyBorder="1" applyAlignment="1">
      <alignment horizontal="left" vertical="center" wrapText="1"/>
    </xf>
    <xf numFmtId="0" fontId="20" fillId="36" borderId="14" xfId="0" applyFont="1" applyFill="1" applyBorder="1" applyAlignment="1">
      <alignment horizontal="left" vertical="center" wrapText="1"/>
    </xf>
    <xf numFmtId="0" fontId="20" fillId="36" borderId="16" xfId="0" applyFont="1" applyFill="1" applyBorder="1" applyAlignment="1">
      <alignment horizontal="left" vertical="center" wrapText="1"/>
    </xf>
    <xf numFmtId="0" fontId="19" fillId="35" borderId="0" xfId="0" applyFont="1" applyFill="1" applyAlignment="1">
      <alignment horizontal="center" vertical="center" wrapText="1"/>
    </xf>
    <xf numFmtId="0" fontId="1" fillId="35" borderId="0" xfId="0" applyFont="1" applyFill="1" applyAlignment="1">
      <alignment horizontal="center"/>
    </xf>
    <xf numFmtId="175" fontId="18" fillId="33" borderId="14" xfId="0" applyNumberFormat="1" applyFont="1" applyFill="1" applyBorder="1" applyAlignment="1" applyProtection="1">
      <alignment horizontal="left" vertical="center" wrapText="1"/>
      <protection locked="0"/>
    </xf>
    <xf numFmtId="0" fontId="21" fillId="35" borderId="0" xfId="0" applyFont="1" applyFill="1" applyAlignment="1">
      <alignment horizontal="left" vertical="center" wrapText="1"/>
    </xf>
    <xf numFmtId="0" fontId="29" fillId="35" borderId="0" xfId="0" applyFont="1" applyFill="1" applyAlignment="1">
      <alignment horizontal="left" vertical="center" wrapText="1"/>
    </xf>
    <xf numFmtId="0" fontId="20" fillId="36" borderId="15" xfId="0" applyFont="1" applyFill="1" applyBorder="1" applyAlignment="1">
      <alignment horizontal="left"/>
    </xf>
    <xf numFmtId="0" fontId="20" fillId="36" borderId="14" xfId="0" applyFont="1" applyFill="1" applyBorder="1" applyAlignment="1">
      <alignment horizontal="left"/>
    </xf>
    <xf numFmtId="0" fontId="20" fillId="36" borderId="16"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85725</xdr:rowOff>
    </xdr:from>
    <xdr:to>
      <xdr:col>0</xdr:col>
      <xdr:colOff>1152525</xdr:colOff>
      <xdr:row>5</xdr:row>
      <xdr:rowOff>200025</xdr:rowOff>
    </xdr:to>
    <xdr:pic>
      <xdr:nvPicPr>
        <xdr:cNvPr id="1" name="Picture 57"/>
        <xdr:cNvPicPr preferRelativeResize="1">
          <a:picLocks noChangeAspect="1"/>
        </xdr:cNvPicPr>
      </xdr:nvPicPr>
      <xdr:blipFill>
        <a:blip r:embed="rId1"/>
        <a:stretch>
          <a:fillRect/>
        </a:stretch>
      </xdr:blipFill>
      <xdr:spPr>
        <a:xfrm>
          <a:off x="76200" y="485775"/>
          <a:ext cx="1076325" cy="828675"/>
        </a:xfrm>
        <a:prstGeom prst="rect">
          <a:avLst/>
        </a:prstGeom>
        <a:noFill/>
        <a:ln w="9525" cmpd="sng">
          <a:noFill/>
        </a:ln>
      </xdr:spPr>
    </xdr:pic>
    <xdr:clientData/>
  </xdr:twoCellAnchor>
  <xdr:twoCellAnchor>
    <xdr:from>
      <xdr:col>4</xdr:col>
      <xdr:colOff>2314575</xdr:colOff>
      <xdr:row>2</xdr:row>
      <xdr:rowOff>57150</xdr:rowOff>
    </xdr:from>
    <xdr:to>
      <xdr:col>4</xdr:col>
      <xdr:colOff>3228975</xdr:colOff>
      <xdr:row>5</xdr:row>
      <xdr:rowOff>171450</xdr:rowOff>
    </xdr:to>
    <xdr:pic>
      <xdr:nvPicPr>
        <xdr:cNvPr id="2" name="Picture 58"/>
        <xdr:cNvPicPr preferRelativeResize="1">
          <a:picLocks noChangeAspect="1"/>
        </xdr:cNvPicPr>
      </xdr:nvPicPr>
      <xdr:blipFill>
        <a:blip r:embed="rId2"/>
        <a:stretch>
          <a:fillRect/>
        </a:stretch>
      </xdr:blipFill>
      <xdr:spPr>
        <a:xfrm>
          <a:off x="7924800" y="457200"/>
          <a:ext cx="9144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1"/>
  <sheetViews>
    <sheetView zoomScalePageLayoutView="0" workbookViewId="0" topLeftCell="A1">
      <selection activeCell="U23" sqref="U23"/>
    </sheetView>
  </sheetViews>
  <sheetFormatPr defaultColWidth="9.140625" defaultRowHeight="12.75"/>
  <cols>
    <col min="1" max="1" width="29.421875" style="0" bestFit="1" customWidth="1"/>
    <col min="2" max="2" width="7.28125" style="0" bestFit="1" customWidth="1"/>
    <col min="3" max="3" width="4.57421875" style="0" bestFit="1" customWidth="1"/>
    <col min="4" max="7" width="3.8515625" style="0" customWidth="1"/>
    <col min="8" max="10" width="3.421875" style="0" customWidth="1"/>
    <col min="11" max="17" width="3.8515625" style="0" customWidth="1"/>
    <col min="18" max="19" width="4.140625" style="0" customWidth="1"/>
  </cols>
  <sheetData>
    <row r="1" spans="1:19" ht="40.5" customHeight="1">
      <c r="A1" s="141" t="s">
        <v>52</v>
      </c>
      <c r="B1" s="142"/>
      <c r="C1" s="142"/>
      <c r="D1" s="142"/>
      <c r="E1" s="142"/>
      <c r="F1" s="142"/>
      <c r="G1" s="142"/>
      <c r="H1" s="142"/>
      <c r="I1" s="142"/>
      <c r="J1" s="142"/>
      <c r="K1" s="142"/>
      <c r="L1" s="142"/>
      <c r="M1" s="142"/>
      <c r="N1" s="142"/>
      <c r="O1" s="142"/>
      <c r="P1" s="142"/>
      <c r="Q1" s="142"/>
      <c r="R1" s="142"/>
      <c r="S1" s="142"/>
    </row>
    <row r="2" spans="1:19" ht="12.75">
      <c r="A2" s="143"/>
      <c r="B2" s="143"/>
      <c r="C2" s="143"/>
      <c r="D2" s="143"/>
      <c r="E2" s="143"/>
      <c r="F2" s="143"/>
      <c r="G2" s="143"/>
      <c r="H2" s="143"/>
      <c r="I2" s="143"/>
      <c r="J2" s="143"/>
      <c r="K2" s="143"/>
      <c r="L2" s="143"/>
      <c r="M2" s="143"/>
      <c r="N2" s="143"/>
      <c r="O2" s="143"/>
      <c r="P2" s="143"/>
      <c r="Q2" s="143"/>
      <c r="R2" s="143"/>
      <c r="S2" s="143"/>
    </row>
    <row r="3" spans="1:19" ht="12.75">
      <c r="A3" s="144" t="s">
        <v>53</v>
      </c>
      <c r="B3" s="145"/>
      <c r="C3" s="145"/>
      <c r="D3" s="145"/>
      <c r="E3" s="145"/>
      <c r="F3" s="145"/>
      <c r="G3" s="145"/>
      <c r="H3" s="145"/>
      <c r="I3" s="145"/>
      <c r="J3" s="145"/>
      <c r="K3" s="145"/>
      <c r="L3" s="145"/>
      <c r="M3" s="145"/>
      <c r="N3" s="145"/>
      <c r="O3" s="145"/>
      <c r="P3" s="145"/>
      <c r="Q3" s="145"/>
      <c r="R3" s="145"/>
      <c r="S3" s="145"/>
    </row>
    <row r="4" spans="1:19" ht="12.75">
      <c r="A4" s="2" t="s">
        <v>54</v>
      </c>
      <c r="B4" s="2">
        <v>5</v>
      </c>
      <c r="C4" s="3">
        <v>10</v>
      </c>
      <c r="D4" s="3">
        <v>15</v>
      </c>
      <c r="E4" s="3">
        <v>30</v>
      </c>
      <c r="F4" s="2">
        <v>60</v>
      </c>
      <c r="G4" s="2">
        <v>120</v>
      </c>
      <c r="H4" s="2">
        <v>3</v>
      </c>
      <c r="I4" s="2">
        <v>6</v>
      </c>
      <c r="J4" s="2">
        <v>12</v>
      </c>
      <c r="K4" s="2">
        <v>24</v>
      </c>
      <c r="L4" s="2">
        <v>48</v>
      </c>
      <c r="M4" s="2">
        <v>4</v>
      </c>
      <c r="N4" s="2">
        <v>7</v>
      </c>
      <c r="O4" s="2">
        <v>10</v>
      </c>
      <c r="P4" s="2">
        <v>20</v>
      </c>
      <c r="Q4" s="2">
        <v>30</v>
      </c>
      <c r="R4" s="2">
        <v>45</v>
      </c>
      <c r="S4" s="2">
        <v>60</v>
      </c>
    </row>
    <row r="5" spans="1:19" ht="12.75">
      <c r="A5" s="4" t="s">
        <v>55</v>
      </c>
      <c r="B5" s="4" t="s">
        <v>42</v>
      </c>
      <c r="C5" s="4" t="s">
        <v>42</v>
      </c>
      <c r="D5" s="4" t="s">
        <v>42</v>
      </c>
      <c r="E5" s="4" t="s">
        <v>42</v>
      </c>
      <c r="F5" s="4" t="s">
        <v>42</v>
      </c>
      <c r="G5" s="4" t="s">
        <v>42</v>
      </c>
      <c r="H5" s="4" t="s">
        <v>27</v>
      </c>
      <c r="I5" s="4" t="s">
        <v>27</v>
      </c>
      <c r="J5" s="4" t="s">
        <v>27</v>
      </c>
      <c r="K5" s="4" t="s">
        <v>27</v>
      </c>
      <c r="L5" s="4" t="s">
        <v>27</v>
      </c>
      <c r="M5" s="4" t="s">
        <v>56</v>
      </c>
      <c r="N5" s="4" t="s">
        <v>56</v>
      </c>
      <c r="O5" s="4" t="s">
        <v>56</v>
      </c>
      <c r="P5" s="4" t="s">
        <v>56</v>
      </c>
      <c r="Q5" s="4" t="s">
        <v>56</v>
      </c>
      <c r="R5" s="4" t="s">
        <v>56</v>
      </c>
      <c r="S5" s="4" t="s">
        <v>56</v>
      </c>
    </row>
    <row r="6" spans="1:19" ht="12.75">
      <c r="A6" s="5">
        <v>1</v>
      </c>
      <c r="B6" s="6">
        <v>0.36</v>
      </c>
      <c r="C6" s="6">
        <v>0.58</v>
      </c>
      <c r="D6" s="7">
        <v>0.72</v>
      </c>
      <c r="E6" s="6">
        <v>0.99</v>
      </c>
      <c r="F6" s="6">
        <v>1.23</v>
      </c>
      <c r="G6" s="6">
        <v>1.44</v>
      </c>
      <c r="H6" s="6">
        <v>1.55</v>
      </c>
      <c r="I6" s="8">
        <v>1.95</v>
      </c>
      <c r="J6" s="8">
        <v>2.46</v>
      </c>
      <c r="K6" s="106">
        <v>2.98</v>
      </c>
      <c r="L6" s="8">
        <v>3.58</v>
      </c>
      <c r="M6" s="8">
        <v>4.04</v>
      </c>
      <c r="N6" s="8">
        <v>4.68</v>
      </c>
      <c r="O6" s="8">
        <v>5.37</v>
      </c>
      <c r="P6" s="8">
        <v>7.16</v>
      </c>
      <c r="Q6" s="8">
        <v>8.87</v>
      </c>
      <c r="R6" s="8">
        <v>11.2</v>
      </c>
      <c r="S6" s="8">
        <v>13.32</v>
      </c>
    </row>
    <row r="7" spans="1:19" ht="12.75">
      <c r="A7" s="5">
        <v>2</v>
      </c>
      <c r="B7" s="6">
        <v>0.43</v>
      </c>
      <c r="C7" s="6">
        <v>0.69</v>
      </c>
      <c r="D7" s="6">
        <v>0.86</v>
      </c>
      <c r="E7" s="6">
        <v>1.19</v>
      </c>
      <c r="F7" s="6">
        <v>1.49</v>
      </c>
      <c r="G7" s="6">
        <v>1.75</v>
      </c>
      <c r="H7" s="6">
        <v>1.88</v>
      </c>
      <c r="I7" s="8">
        <v>2.35</v>
      </c>
      <c r="J7" s="8">
        <v>2.97</v>
      </c>
      <c r="K7" s="8">
        <v>3.62</v>
      </c>
      <c r="L7" s="8">
        <v>4.32</v>
      </c>
      <c r="M7" s="8">
        <v>4.87</v>
      </c>
      <c r="N7" s="8">
        <v>5.6</v>
      </c>
      <c r="O7" s="8">
        <v>6.4</v>
      </c>
      <c r="P7" s="8">
        <v>8.48</v>
      </c>
      <c r="Q7" s="8">
        <v>10.43</v>
      </c>
      <c r="R7" s="8">
        <v>13.09</v>
      </c>
      <c r="S7" s="8">
        <v>15.53</v>
      </c>
    </row>
    <row r="8" spans="1:19" ht="12.75">
      <c r="A8" s="5">
        <v>5</v>
      </c>
      <c r="B8" s="6">
        <v>0.51</v>
      </c>
      <c r="C8" s="6">
        <v>0.81</v>
      </c>
      <c r="D8" s="6">
        <v>1.03</v>
      </c>
      <c r="E8" s="6">
        <v>1.46</v>
      </c>
      <c r="F8" s="6">
        <v>1.88</v>
      </c>
      <c r="G8" s="6">
        <v>2.22</v>
      </c>
      <c r="H8" s="6">
        <v>2.38</v>
      </c>
      <c r="I8" s="8">
        <v>2.95</v>
      </c>
      <c r="J8" s="8">
        <v>3.69</v>
      </c>
      <c r="K8" s="8">
        <v>4.59</v>
      </c>
      <c r="L8" s="8">
        <v>5.44</v>
      </c>
      <c r="M8" s="8">
        <v>6.05</v>
      </c>
      <c r="N8" s="8">
        <v>6.83</v>
      </c>
      <c r="O8" s="8">
        <v>7.7</v>
      </c>
      <c r="P8" s="8">
        <v>10.01</v>
      </c>
      <c r="Q8" s="8">
        <v>12.04</v>
      </c>
      <c r="R8" s="8">
        <v>14.82</v>
      </c>
      <c r="S8" s="8">
        <v>17.45</v>
      </c>
    </row>
    <row r="9" spans="1:19" ht="12.75">
      <c r="A9" s="5">
        <v>10</v>
      </c>
      <c r="B9" s="6">
        <v>0.57</v>
      </c>
      <c r="C9" s="6">
        <v>0.91</v>
      </c>
      <c r="D9" s="9">
        <v>1.16</v>
      </c>
      <c r="E9" s="6">
        <v>1.67</v>
      </c>
      <c r="F9" s="6">
        <v>2.18</v>
      </c>
      <c r="G9" s="6">
        <v>2.6</v>
      </c>
      <c r="H9" s="6">
        <v>2.79</v>
      </c>
      <c r="I9" s="8">
        <v>3.44</v>
      </c>
      <c r="J9" s="8">
        <v>4.26</v>
      </c>
      <c r="K9" s="10">
        <v>5.36</v>
      </c>
      <c r="L9" s="8">
        <v>6.31</v>
      </c>
      <c r="M9" s="8">
        <v>6.97</v>
      </c>
      <c r="N9" s="8">
        <v>7.78</v>
      </c>
      <c r="O9" s="8">
        <v>8.68</v>
      </c>
      <c r="P9" s="8">
        <v>11.2</v>
      </c>
      <c r="Q9" s="8">
        <v>13.23</v>
      </c>
      <c r="R9" s="8">
        <v>16.11</v>
      </c>
      <c r="S9" s="8">
        <v>18.89</v>
      </c>
    </row>
    <row r="10" spans="1:19" ht="12.75">
      <c r="A10" s="5">
        <v>25</v>
      </c>
      <c r="B10" s="6">
        <v>0.65</v>
      </c>
      <c r="C10" s="6">
        <v>1.04</v>
      </c>
      <c r="D10" s="6">
        <v>1.32</v>
      </c>
      <c r="E10" s="6">
        <v>1.95</v>
      </c>
      <c r="F10" s="6">
        <v>2.6</v>
      </c>
      <c r="G10" s="6">
        <v>3.15</v>
      </c>
      <c r="H10" s="6">
        <v>3.4</v>
      </c>
      <c r="I10" s="8">
        <v>4.15</v>
      </c>
      <c r="J10" s="8">
        <v>5.06</v>
      </c>
      <c r="K10" s="8">
        <v>6.42</v>
      </c>
      <c r="L10" s="8">
        <v>7.51</v>
      </c>
      <c r="M10" s="8">
        <v>8.23</v>
      </c>
      <c r="N10" s="8">
        <v>9.06</v>
      </c>
      <c r="O10" s="8">
        <v>9.97</v>
      </c>
      <c r="P10" s="8">
        <v>12.79</v>
      </c>
      <c r="Q10" s="8">
        <v>14.75</v>
      </c>
      <c r="R10" s="8">
        <v>17.75</v>
      </c>
      <c r="S10" s="8">
        <v>20.72</v>
      </c>
    </row>
    <row r="11" spans="1:19" ht="12.75">
      <c r="A11" s="5">
        <v>50</v>
      </c>
      <c r="B11" s="6">
        <v>0.71</v>
      </c>
      <c r="C11" s="6">
        <v>1.14</v>
      </c>
      <c r="D11" s="6">
        <v>1.44</v>
      </c>
      <c r="E11" s="6">
        <v>2.17</v>
      </c>
      <c r="F11" s="6">
        <v>2.94</v>
      </c>
      <c r="G11" s="6">
        <v>3.61</v>
      </c>
      <c r="H11" s="6">
        <v>3.9</v>
      </c>
      <c r="I11" s="8">
        <v>4.75</v>
      </c>
      <c r="J11" s="8">
        <v>5.71</v>
      </c>
      <c r="K11" s="8">
        <v>7.28</v>
      </c>
      <c r="L11" s="8">
        <v>8.47</v>
      </c>
      <c r="M11" s="8">
        <v>9.23</v>
      </c>
      <c r="N11" s="8">
        <v>10.05</v>
      </c>
      <c r="O11" s="8">
        <v>10.97</v>
      </c>
      <c r="P11" s="8">
        <v>14.02</v>
      </c>
      <c r="Q11" s="8">
        <v>15.89</v>
      </c>
      <c r="R11" s="8">
        <v>18.97</v>
      </c>
      <c r="S11" s="8">
        <v>22.08</v>
      </c>
    </row>
    <row r="12" spans="1:19" ht="12.75">
      <c r="A12" s="5">
        <v>100</v>
      </c>
      <c r="B12" s="6">
        <v>0.78</v>
      </c>
      <c r="C12" s="6">
        <v>1.24</v>
      </c>
      <c r="D12" s="6">
        <v>1.56</v>
      </c>
      <c r="E12" s="6">
        <v>2.4</v>
      </c>
      <c r="F12" s="6">
        <v>3.3</v>
      </c>
      <c r="G12" s="6">
        <v>4.1</v>
      </c>
      <c r="H12" s="6">
        <v>4.45</v>
      </c>
      <c r="I12" s="8">
        <v>5.39</v>
      </c>
      <c r="J12" s="8">
        <v>6.38</v>
      </c>
      <c r="K12" s="8">
        <v>8.16</v>
      </c>
      <c r="L12" s="8">
        <v>9.46</v>
      </c>
      <c r="M12" s="8">
        <v>10.24</v>
      </c>
      <c r="N12" s="8">
        <v>11.05</v>
      </c>
      <c r="O12" s="8">
        <v>11.97</v>
      </c>
      <c r="P12" s="8">
        <v>15.25</v>
      </c>
      <c r="Q12" s="8">
        <v>17.01</v>
      </c>
      <c r="R12" s="8">
        <v>20.13</v>
      </c>
      <c r="S12" s="8">
        <v>23.37</v>
      </c>
    </row>
    <row r="13" spans="1:19" ht="12.75">
      <c r="A13" s="5">
        <v>200</v>
      </c>
      <c r="B13" s="6">
        <v>0.84</v>
      </c>
      <c r="C13" s="6">
        <v>1.34</v>
      </c>
      <c r="D13" s="6">
        <v>1.69</v>
      </c>
      <c r="E13" s="6">
        <v>2.63</v>
      </c>
      <c r="F13" s="6">
        <v>3.68</v>
      </c>
      <c r="G13" s="6">
        <v>4.62</v>
      </c>
      <c r="H13" s="6">
        <v>5.06</v>
      </c>
      <c r="I13" s="8">
        <v>6.1</v>
      </c>
      <c r="J13" s="8">
        <v>7.1</v>
      </c>
      <c r="K13" s="8">
        <v>9.09</v>
      </c>
      <c r="L13" s="8">
        <v>10.48</v>
      </c>
      <c r="M13" s="8">
        <v>11.29</v>
      </c>
      <c r="N13" s="8">
        <v>12.07</v>
      </c>
      <c r="O13" s="8">
        <v>12.96</v>
      </c>
      <c r="P13" s="8">
        <v>16.49</v>
      </c>
      <c r="Q13" s="8">
        <v>18.09</v>
      </c>
      <c r="R13" s="8">
        <v>21.26</v>
      </c>
      <c r="S13" s="8">
        <v>24.61</v>
      </c>
    </row>
    <row r="14" spans="1:19" ht="12.75">
      <c r="A14" s="5">
        <v>500</v>
      </c>
      <c r="B14" s="8">
        <v>0.93</v>
      </c>
      <c r="C14" s="8">
        <v>1.47</v>
      </c>
      <c r="D14" s="8">
        <v>1.85</v>
      </c>
      <c r="E14" s="8">
        <v>2.94</v>
      </c>
      <c r="F14" s="8">
        <v>4.22</v>
      </c>
      <c r="G14" s="8">
        <v>5.4</v>
      </c>
      <c r="H14" s="8">
        <v>5.95</v>
      </c>
      <c r="I14" s="8">
        <v>7.12</v>
      </c>
      <c r="J14" s="8">
        <v>8.11</v>
      </c>
      <c r="K14" s="8">
        <v>10.36</v>
      </c>
      <c r="L14" s="8">
        <v>11.88</v>
      </c>
      <c r="M14" s="8">
        <v>12.71</v>
      </c>
      <c r="N14" s="8">
        <v>13.43</v>
      </c>
      <c r="O14" s="8">
        <v>14.29</v>
      </c>
      <c r="P14" s="8">
        <v>18.14</v>
      </c>
      <c r="Q14" s="8">
        <v>19.48</v>
      </c>
      <c r="R14" s="8">
        <v>22.69</v>
      </c>
      <c r="S14" s="8">
        <v>26.18</v>
      </c>
    </row>
    <row r="15" spans="1:19" ht="12.75">
      <c r="A15" s="5">
        <v>1000</v>
      </c>
      <c r="B15" s="8">
        <v>1</v>
      </c>
      <c r="C15" s="8">
        <v>1.57</v>
      </c>
      <c r="D15" s="8">
        <v>1.97</v>
      </c>
      <c r="E15" s="8">
        <v>3.2</v>
      </c>
      <c r="F15" s="8">
        <v>4.67</v>
      </c>
      <c r="G15" s="8">
        <v>6.05</v>
      </c>
      <c r="H15" s="8">
        <v>6.7</v>
      </c>
      <c r="I15" s="8">
        <v>7.99</v>
      </c>
      <c r="J15" s="8">
        <v>8.94</v>
      </c>
      <c r="K15" s="8">
        <v>11.36</v>
      </c>
      <c r="L15" s="8">
        <v>12.99</v>
      </c>
      <c r="M15" s="8">
        <v>13.84</v>
      </c>
      <c r="N15" s="8">
        <v>14.49</v>
      </c>
      <c r="O15" s="8">
        <v>15.34</v>
      </c>
      <c r="P15" s="8">
        <v>19.4</v>
      </c>
      <c r="Q15" s="8">
        <v>20.51</v>
      </c>
      <c r="R15" s="8">
        <v>23.74</v>
      </c>
      <c r="S15" s="8">
        <v>27.33</v>
      </c>
    </row>
    <row r="16" ht="13.5" thickBot="1"/>
    <row r="17" spans="1:19" ht="25.5">
      <c r="A17" s="16" t="s">
        <v>133</v>
      </c>
      <c r="B17" s="1">
        <f>B18/24</f>
        <v>0.22333333333333336</v>
      </c>
      <c r="C17" t="s">
        <v>4</v>
      </c>
      <c r="E17" s="146" t="s">
        <v>134</v>
      </c>
      <c r="F17" s="147"/>
      <c r="G17" s="147"/>
      <c r="H17" s="147"/>
      <c r="I17" s="147"/>
      <c r="J17" s="147"/>
      <c r="K17" s="147"/>
      <c r="L17" s="147"/>
      <c r="M17" s="147"/>
      <c r="N17" s="147"/>
      <c r="O17" s="147"/>
      <c r="P17" s="147"/>
      <c r="Q17" s="147"/>
      <c r="R17" s="147"/>
      <c r="S17" s="148"/>
    </row>
    <row r="18" spans="1:19" ht="15.75">
      <c r="A18" s="17" t="s">
        <v>135</v>
      </c>
      <c r="B18" s="107">
        <f>K9</f>
        <v>5.36</v>
      </c>
      <c r="C18" t="s">
        <v>6</v>
      </c>
      <c r="E18" s="149"/>
      <c r="F18" s="150"/>
      <c r="G18" s="150"/>
      <c r="H18" s="150"/>
      <c r="I18" s="150"/>
      <c r="J18" s="150"/>
      <c r="K18" s="150"/>
      <c r="L18" s="150"/>
      <c r="M18" s="150"/>
      <c r="N18" s="150"/>
      <c r="O18" s="150"/>
      <c r="P18" s="150"/>
      <c r="Q18" s="150"/>
      <c r="R18" s="150"/>
      <c r="S18" s="151"/>
    </row>
    <row r="19" spans="1:19" ht="13.5" thickBot="1">
      <c r="A19" s="17"/>
      <c r="E19" s="149"/>
      <c r="F19" s="150"/>
      <c r="G19" s="150"/>
      <c r="H19" s="150"/>
      <c r="I19" s="150"/>
      <c r="J19" s="150"/>
      <c r="K19" s="150"/>
      <c r="L19" s="150"/>
      <c r="M19" s="150"/>
      <c r="N19" s="150"/>
      <c r="O19" s="150"/>
      <c r="P19" s="150"/>
      <c r="Q19" s="150"/>
      <c r="R19" s="150"/>
      <c r="S19" s="151"/>
    </row>
    <row r="20" spans="1:19" ht="25.5">
      <c r="A20" s="108" t="s">
        <v>136</v>
      </c>
      <c r="B20" s="109">
        <f>B21/24</f>
        <v>0.12416666666666666</v>
      </c>
      <c r="C20" s="110" t="s">
        <v>4</v>
      </c>
      <c r="E20" s="149"/>
      <c r="F20" s="150"/>
      <c r="G20" s="150"/>
      <c r="H20" s="150"/>
      <c r="I20" s="150"/>
      <c r="J20" s="150"/>
      <c r="K20" s="150"/>
      <c r="L20" s="150"/>
      <c r="M20" s="150"/>
      <c r="N20" s="150"/>
      <c r="O20" s="150"/>
      <c r="P20" s="150"/>
      <c r="Q20" s="150"/>
      <c r="R20" s="150"/>
      <c r="S20" s="151"/>
    </row>
    <row r="21" spans="1:19" ht="16.5" thickBot="1">
      <c r="A21" s="111" t="s">
        <v>137</v>
      </c>
      <c r="B21" s="112">
        <f>K6</f>
        <v>2.98</v>
      </c>
      <c r="C21" s="113" t="s">
        <v>6</v>
      </c>
      <c r="E21" s="149"/>
      <c r="F21" s="150"/>
      <c r="G21" s="150"/>
      <c r="H21" s="150"/>
      <c r="I21" s="150"/>
      <c r="J21" s="150"/>
      <c r="K21" s="150"/>
      <c r="L21" s="150"/>
      <c r="M21" s="150"/>
      <c r="N21" s="150"/>
      <c r="O21" s="150"/>
      <c r="P21" s="150"/>
      <c r="Q21" s="150"/>
      <c r="R21" s="150"/>
      <c r="S21" s="151"/>
    </row>
    <row r="22" spans="1:19" ht="12.75">
      <c r="A22" s="17"/>
      <c r="E22" s="149"/>
      <c r="F22" s="150"/>
      <c r="G22" s="150"/>
      <c r="H22" s="150"/>
      <c r="I22" s="150"/>
      <c r="J22" s="150"/>
      <c r="K22" s="150"/>
      <c r="L22" s="150"/>
      <c r="M22" s="150"/>
      <c r="N22" s="150"/>
      <c r="O22" s="150"/>
      <c r="P22" s="150"/>
      <c r="Q22" s="150"/>
      <c r="R22" s="150"/>
      <c r="S22" s="151"/>
    </row>
    <row r="23" spans="1:19" ht="28.5" customHeight="1">
      <c r="A23" s="16" t="s">
        <v>64</v>
      </c>
      <c r="B23" s="1">
        <f>B24/B29*60</f>
        <v>4.66134118734995</v>
      </c>
      <c r="C23" t="s">
        <v>4</v>
      </c>
      <c r="E23" s="149"/>
      <c r="F23" s="150"/>
      <c r="G23" s="150"/>
      <c r="H23" s="150"/>
      <c r="I23" s="150"/>
      <c r="J23" s="150"/>
      <c r="K23" s="150"/>
      <c r="L23" s="150"/>
      <c r="M23" s="150"/>
      <c r="N23" s="150"/>
      <c r="O23" s="150"/>
      <c r="P23" s="150"/>
      <c r="Q23" s="150"/>
      <c r="R23" s="150"/>
      <c r="S23" s="151"/>
    </row>
    <row r="24" spans="1:19" ht="15.75">
      <c r="A24" s="17" t="s">
        <v>65</v>
      </c>
      <c r="B24" s="18">
        <f>D9</f>
        <v>1.16</v>
      </c>
      <c r="C24" t="s">
        <v>6</v>
      </c>
      <c r="E24" s="149"/>
      <c r="F24" s="150"/>
      <c r="G24" s="150"/>
      <c r="H24" s="150"/>
      <c r="I24" s="150"/>
      <c r="J24" s="150"/>
      <c r="K24" s="150"/>
      <c r="L24" s="150"/>
      <c r="M24" s="150"/>
      <c r="N24" s="150"/>
      <c r="O24" s="150"/>
      <c r="P24" s="150"/>
      <c r="Q24" s="150"/>
      <c r="R24" s="150"/>
      <c r="S24" s="151"/>
    </row>
    <row r="25" spans="1:19" ht="12.75">
      <c r="A25" s="17"/>
      <c r="E25" s="149"/>
      <c r="F25" s="150"/>
      <c r="G25" s="150"/>
      <c r="H25" s="150"/>
      <c r="I25" s="150"/>
      <c r="J25" s="150"/>
      <c r="K25" s="150"/>
      <c r="L25" s="150"/>
      <c r="M25" s="150"/>
      <c r="N25" s="150"/>
      <c r="O25" s="150"/>
      <c r="P25" s="150"/>
      <c r="Q25" s="150"/>
      <c r="R25" s="150"/>
      <c r="S25" s="151"/>
    </row>
    <row r="26" spans="1:19" ht="28.5">
      <c r="A26" s="16" t="s">
        <v>66</v>
      </c>
      <c r="B26" s="1">
        <f>B23/B30*60</f>
        <v>0.279680471240997</v>
      </c>
      <c r="C26" t="s">
        <v>4</v>
      </c>
      <c r="E26" s="149"/>
      <c r="F26" s="150"/>
      <c r="G26" s="150"/>
      <c r="H26" s="150"/>
      <c r="I26" s="150"/>
      <c r="J26" s="150"/>
      <c r="K26" s="150"/>
      <c r="L26" s="150"/>
      <c r="M26" s="150"/>
      <c r="N26" s="150"/>
      <c r="O26" s="150"/>
      <c r="P26" s="150"/>
      <c r="Q26" s="150"/>
      <c r="R26" s="150"/>
      <c r="S26" s="151"/>
    </row>
    <row r="27" spans="1:19" ht="16.5" thickBot="1">
      <c r="A27" s="17" t="s">
        <v>67</v>
      </c>
      <c r="B27" s="19">
        <f>D6</f>
        <v>0.72</v>
      </c>
      <c r="C27" t="s">
        <v>6</v>
      </c>
      <c r="E27" s="152"/>
      <c r="F27" s="153"/>
      <c r="G27" s="153"/>
      <c r="H27" s="153"/>
      <c r="I27" s="153"/>
      <c r="J27" s="153"/>
      <c r="K27" s="153"/>
      <c r="L27" s="153"/>
      <c r="M27" s="153"/>
      <c r="N27" s="153"/>
      <c r="O27" s="153"/>
      <c r="P27" s="153"/>
      <c r="Q27" s="153"/>
      <c r="R27" s="153"/>
      <c r="S27" s="154"/>
    </row>
    <row r="29" spans="1:19" ht="28.5">
      <c r="A29" s="11" t="s">
        <v>57</v>
      </c>
      <c r="B29" s="12">
        <f>(((B30^3)/B31)^0.385)/128</f>
        <v>14.931324956191151</v>
      </c>
      <c r="C29" s="13" t="s">
        <v>42</v>
      </c>
      <c r="D29" s="139" t="s">
        <v>58</v>
      </c>
      <c r="E29" s="139"/>
      <c r="F29" s="139"/>
      <c r="G29" s="139"/>
      <c r="H29" s="139"/>
      <c r="I29" s="139"/>
      <c r="J29" s="139"/>
      <c r="K29" s="139"/>
      <c r="L29" s="139"/>
      <c r="M29" s="139"/>
      <c r="N29" s="139"/>
      <c r="O29" s="139"/>
      <c r="P29" s="139"/>
      <c r="Q29" s="139"/>
      <c r="R29" s="139"/>
      <c r="S29" s="139"/>
    </row>
    <row r="30" spans="1:19" ht="12.75">
      <c r="A30" s="14" t="s">
        <v>59</v>
      </c>
      <c r="B30" s="15">
        <v>1000</v>
      </c>
      <c r="C30" s="15" t="s">
        <v>60</v>
      </c>
      <c r="D30" s="140" t="s">
        <v>61</v>
      </c>
      <c r="E30" s="140"/>
      <c r="F30" s="140"/>
      <c r="G30" s="140"/>
      <c r="H30" s="140"/>
      <c r="I30" s="140"/>
      <c r="J30" s="140"/>
      <c r="K30" s="140"/>
      <c r="L30" s="140"/>
      <c r="M30" s="140"/>
      <c r="N30" s="140"/>
      <c r="O30" s="140"/>
      <c r="P30" s="140"/>
      <c r="Q30" s="140"/>
      <c r="R30" s="140"/>
      <c r="S30" s="140"/>
    </row>
    <row r="31" spans="1:19" ht="12.75">
      <c r="A31" s="14" t="s">
        <v>62</v>
      </c>
      <c r="B31" s="15">
        <v>3</v>
      </c>
      <c r="C31" s="15" t="s">
        <v>0</v>
      </c>
      <c r="D31" s="140" t="s">
        <v>63</v>
      </c>
      <c r="E31" s="140"/>
      <c r="F31" s="140"/>
      <c r="G31" s="140"/>
      <c r="H31" s="140"/>
      <c r="I31" s="140"/>
      <c r="J31" s="140"/>
      <c r="K31" s="140"/>
      <c r="L31" s="140"/>
      <c r="M31" s="140"/>
      <c r="N31" s="140"/>
      <c r="O31" s="140"/>
      <c r="P31" s="140"/>
      <c r="Q31" s="140"/>
      <c r="R31" s="140"/>
      <c r="S31" s="140"/>
    </row>
  </sheetData>
  <sheetProtection/>
  <mergeCells count="7">
    <mergeCell ref="D29:S29"/>
    <mergeCell ref="D30:S30"/>
    <mergeCell ref="D31:S31"/>
    <mergeCell ref="A1:S1"/>
    <mergeCell ref="A2:S2"/>
    <mergeCell ref="A3:S3"/>
    <mergeCell ref="E17:S2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52"/>
  <sheetViews>
    <sheetView tabSelected="1" zoomScale="90" zoomScaleNormal="90" workbookViewId="0" topLeftCell="A1">
      <selection activeCell="A7" sqref="A7:E7"/>
    </sheetView>
  </sheetViews>
  <sheetFormatPr defaultColWidth="9.140625" defaultRowHeight="12.75"/>
  <cols>
    <col min="1" max="1" width="58.7109375" style="20" customWidth="1"/>
    <col min="2" max="2" width="15.7109375" style="22" customWidth="1"/>
    <col min="3" max="3" width="9.7109375" style="65" customWidth="1"/>
    <col min="4" max="4" width="10.57421875" style="99" hidden="1" customWidth="1"/>
    <col min="5" max="5" width="58.7109375" style="20" customWidth="1"/>
    <col min="6" max="6" width="42.7109375" style="20" customWidth="1"/>
    <col min="7" max="16384" width="9.140625" style="20" customWidth="1"/>
  </cols>
  <sheetData>
    <row r="1" spans="1:5" ht="15.75">
      <c r="A1" s="160" t="s">
        <v>69</v>
      </c>
      <c r="B1" s="160"/>
      <c r="C1" s="160"/>
      <c r="D1" s="160"/>
      <c r="E1" s="160"/>
    </row>
    <row r="2" spans="1:5" ht="15.75">
      <c r="A2" s="21" t="s">
        <v>70</v>
      </c>
      <c r="B2" s="61"/>
      <c r="C2" s="67"/>
      <c r="D2" s="61"/>
      <c r="E2" s="60"/>
    </row>
    <row r="3" spans="1:5" ht="18.75">
      <c r="A3" s="165"/>
      <c r="B3" s="165"/>
      <c r="C3" s="165"/>
      <c r="D3" s="165"/>
      <c r="E3" s="165"/>
    </row>
    <row r="4" spans="1:5" ht="18.75">
      <c r="A4" s="165"/>
      <c r="B4" s="165"/>
      <c r="C4" s="165"/>
      <c r="D4" s="165"/>
      <c r="E4" s="165"/>
    </row>
    <row r="5" spans="1:5" ht="18.75">
      <c r="A5" s="165"/>
      <c r="B5" s="165"/>
      <c r="C5" s="165"/>
      <c r="D5" s="165"/>
      <c r="E5" s="165"/>
    </row>
    <row r="6" spans="1:5" ht="18.75">
      <c r="A6" s="59"/>
      <c r="B6" s="59"/>
      <c r="C6" s="66"/>
      <c r="D6" s="98"/>
      <c r="E6" s="59"/>
    </row>
    <row r="7" spans="1:5" ht="18">
      <c r="A7" s="157" t="s">
        <v>75</v>
      </c>
      <c r="B7" s="157"/>
      <c r="C7" s="157"/>
      <c r="D7" s="157"/>
      <c r="E7" s="157"/>
    </row>
    <row r="8" spans="1:5" ht="18">
      <c r="A8" s="157" t="s">
        <v>76</v>
      </c>
      <c r="B8" s="157"/>
      <c r="C8" s="157"/>
      <c r="D8" s="157"/>
      <c r="E8" s="157"/>
    </row>
    <row r="9" spans="1:5" ht="27.75" customHeight="1">
      <c r="A9" s="158" t="s">
        <v>88</v>
      </c>
      <c r="B9" s="158"/>
      <c r="C9" s="158"/>
      <c r="D9" s="158"/>
      <c r="E9" s="158"/>
    </row>
    <row r="10" spans="1:5" ht="18" customHeight="1">
      <c r="A10" s="164" t="s">
        <v>128</v>
      </c>
      <c r="B10" s="164"/>
      <c r="C10" s="164"/>
      <c r="D10" s="164"/>
      <c r="E10" s="164"/>
    </row>
    <row r="11" spans="1:5" ht="18" customHeight="1">
      <c r="A11" s="164" t="s">
        <v>130</v>
      </c>
      <c r="B11" s="164"/>
      <c r="C11" s="164"/>
      <c r="D11" s="164"/>
      <c r="E11" s="164"/>
    </row>
    <row r="12" spans="1:5" ht="15.75">
      <c r="A12" s="60"/>
      <c r="B12" s="61"/>
      <c r="C12" s="67"/>
      <c r="D12" s="61"/>
      <c r="E12" s="60"/>
    </row>
    <row r="13" spans="1:5" ht="18" customHeight="1">
      <c r="A13" s="70" t="s">
        <v>5</v>
      </c>
      <c r="B13" s="71"/>
      <c r="C13" s="72"/>
      <c r="D13" s="71"/>
      <c r="E13" s="73"/>
    </row>
    <row r="14" spans="1:8" ht="18" customHeight="1">
      <c r="A14" s="23" t="s">
        <v>1</v>
      </c>
      <c r="B14" s="159"/>
      <c r="C14" s="159"/>
      <c r="D14" s="159"/>
      <c r="E14" s="159"/>
      <c r="F14" s="24"/>
      <c r="G14" s="24"/>
      <c r="H14" s="24"/>
    </row>
    <row r="15" spans="1:8" ht="18" customHeight="1">
      <c r="A15" s="23" t="s">
        <v>78</v>
      </c>
      <c r="B15" s="159"/>
      <c r="C15" s="159"/>
      <c r="D15" s="159"/>
      <c r="E15" s="159"/>
      <c r="F15" s="24"/>
      <c r="G15" s="24"/>
      <c r="H15" s="24"/>
    </row>
    <row r="16" spans="1:8" ht="18" customHeight="1">
      <c r="A16" s="23" t="s">
        <v>77</v>
      </c>
      <c r="B16" s="118"/>
      <c r="C16" s="118"/>
      <c r="D16" s="119"/>
      <c r="E16" s="118"/>
      <c r="F16" s="24"/>
      <c r="G16" s="24"/>
      <c r="H16" s="24"/>
    </row>
    <row r="17" spans="1:8" ht="18" customHeight="1">
      <c r="A17" s="23" t="s">
        <v>8</v>
      </c>
      <c r="B17" s="166"/>
      <c r="C17" s="166"/>
      <c r="D17" s="166"/>
      <c r="E17" s="166"/>
      <c r="F17" s="24"/>
      <c r="G17" s="24"/>
      <c r="H17" s="24"/>
    </row>
    <row r="18" spans="1:8" ht="18" customHeight="1">
      <c r="A18" s="23" t="s">
        <v>2</v>
      </c>
      <c r="B18" s="159"/>
      <c r="C18" s="159"/>
      <c r="D18" s="159"/>
      <c r="E18" s="159"/>
      <c r="F18" s="24"/>
      <c r="G18" s="24"/>
      <c r="H18" s="24"/>
    </row>
    <row r="19" spans="6:8" ht="18" customHeight="1">
      <c r="F19" s="24"/>
      <c r="G19" s="24"/>
      <c r="H19" s="24"/>
    </row>
    <row r="20" spans="1:8" ht="18" customHeight="1">
      <c r="A20" s="161" t="s">
        <v>103</v>
      </c>
      <c r="B20" s="162"/>
      <c r="C20" s="162"/>
      <c r="D20" s="162"/>
      <c r="E20" s="163"/>
      <c r="F20" s="24"/>
      <c r="G20" s="24"/>
      <c r="H20" s="24"/>
    </row>
    <row r="21" spans="1:4" s="23" customFormat="1" ht="18" customHeight="1">
      <c r="A21" s="25" t="s">
        <v>16</v>
      </c>
      <c r="B21" s="29"/>
      <c r="C21" s="58"/>
      <c r="D21" s="33"/>
    </row>
    <row r="22" spans="1:4" s="23" customFormat="1" ht="18" customHeight="1">
      <c r="A22" s="23" t="s">
        <v>3</v>
      </c>
      <c r="B22" s="117"/>
      <c r="C22" s="58" t="s">
        <v>71</v>
      </c>
      <c r="D22" s="33"/>
    </row>
    <row r="23" spans="1:4" s="89" customFormat="1" ht="17.25" hidden="1">
      <c r="A23" s="89" t="s">
        <v>3</v>
      </c>
      <c r="B23" s="120"/>
      <c r="C23" s="91" t="s">
        <v>12</v>
      </c>
      <c r="D23" s="100"/>
    </row>
    <row r="24" spans="1:4" s="23" customFormat="1" ht="18" customHeight="1">
      <c r="A24" s="23" t="s">
        <v>13</v>
      </c>
      <c r="B24" s="117"/>
      <c r="C24" s="58" t="s">
        <v>71</v>
      </c>
      <c r="D24" s="33"/>
    </row>
    <row r="25" spans="1:4" s="89" customFormat="1" ht="17.25" hidden="1">
      <c r="A25" s="89" t="s">
        <v>13</v>
      </c>
      <c r="B25" s="90">
        <f>B24/43560.17</f>
        <v>0</v>
      </c>
      <c r="C25" s="91" t="s">
        <v>12</v>
      </c>
      <c r="D25" s="100"/>
    </row>
    <row r="26" spans="1:4" s="23" customFormat="1" ht="18" customHeight="1">
      <c r="A26" s="23" t="s">
        <v>112</v>
      </c>
      <c r="B26" s="96">
        <f>IF(B24="","",(B24/B22))</f>
      </c>
      <c r="C26" s="58" t="s">
        <v>15</v>
      </c>
      <c r="D26" s="33"/>
    </row>
    <row r="27" spans="1:4" s="23" customFormat="1" ht="18" customHeight="1">
      <c r="A27" s="23" t="s">
        <v>89</v>
      </c>
      <c r="B27" s="121"/>
      <c r="C27" s="58" t="s">
        <v>14</v>
      </c>
      <c r="D27" s="33"/>
    </row>
    <row r="28" spans="1:4" s="23" customFormat="1" ht="6.75" customHeight="1">
      <c r="A28" s="25"/>
      <c r="B28" s="32"/>
      <c r="C28" s="58"/>
      <c r="D28" s="33"/>
    </row>
    <row r="29" spans="1:4" s="82" customFormat="1" ht="18.75" customHeight="1">
      <c r="A29" s="87" t="s">
        <v>45</v>
      </c>
      <c r="B29" s="92"/>
      <c r="C29" s="88"/>
      <c r="D29" s="100"/>
    </row>
    <row r="30" spans="1:4" s="23" customFormat="1" ht="18" customHeight="1">
      <c r="A30" s="23" t="s">
        <v>117</v>
      </c>
      <c r="B30" s="122"/>
      <c r="C30" s="58" t="s">
        <v>101</v>
      </c>
      <c r="D30" s="33"/>
    </row>
    <row r="31" spans="1:4" s="23" customFormat="1" ht="18" customHeight="1">
      <c r="A31" s="23" t="s">
        <v>98</v>
      </c>
      <c r="B31" s="123"/>
      <c r="C31" s="58" t="s">
        <v>6</v>
      </c>
      <c r="D31" s="33"/>
    </row>
    <row r="32" spans="1:4" s="23" customFormat="1" ht="18" customHeight="1">
      <c r="A32" s="23" t="s">
        <v>99</v>
      </c>
      <c r="B32" s="123"/>
      <c r="C32" s="58" t="s">
        <v>4</v>
      </c>
      <c r="D32" s="33"/>
    </row>
    <row r="33" spans="1:4" s="23" customFormat="1" ht="18" customHeight="1">
      <c r="A33" s="23" t="s">
        <v>118</v>
      </c>
      <c r="B33" s="124"/>
      <c r="C33" s="94" t="s">
        <v>74</v>
      </c>
      <c r="D33" s="33"/>
    </row>
    <row r="34" spans="1:4" s="23" customFormat="1" ht="18" customHeight="1">
      <c r="A34" s="23" t="s">
        <v>119</v>
      </c>
      <c r="B34" s="124"/>
      <c r="C34" s="94" t="s">
        <v>74</v>
      </c>
      <c r="D34" s="33"/>
    </row>
    <row r="35" spans="1:4" s="23" customFormat="1" ht="18" customHeight="1">
      <c r="A35" s="23" t="s">
        <v>100</v>
      </c>
      <c r="B35" s="114">
        <f>IF(B34="","",(B34-B33))</f>
      </c>
      <c r="C35" s="94" t="s">
        <v>74</v>
      </c>
      <c r="D35" s="33"/>
    </row>
    <row r="36" spans="1:4" s="23" customFormat="1" ht="4.5" customHeight="1">
      <c r="A36" s="35"/>
      <c r="B36" s="36"/>
      <c r="C36" s="58"/>
      <c r="D36" s="33"/>
    </row>
    <row r="37" spans="1:4" s="23" customFormat="1" ht="18" customHeight="1">
      <c r="A37" s="25" t="s">
        <v>138</v>
      </c>
      <c r="B37" s="32"/>
      <c r="C37" s="58"/>
      <c r="D37" s="33"/>
    </row>
    <row r="38" spans="1:4" s="23" customFormat="1" ht="18" customHeight="1">
      <c r="A38" s="23" t="s">
        <v>96</v>
      </c>
      <c r="B38" s="125"/>
      <c r="C38" s="58" t="s">
        <v>72</v>
      </c>
      <c r="D38" s="33"/>
    </row>
    <row r="39" spans="1:5" s="23" customFormat="1" ht="18" customHeight="1">
      <c r="A39" s="23" t="s">
        <v>97</v>
      </c>
      <c r="B39" s="138"/>
      <c r="C39" s="58" t="s">
        <v>72</v>
      </c>
      <c r="D39" s="33"/>
      <c r="E39" s="54">
        <f>IF(B39="","",IF(B39&lt;B38,"Increase volume provided.","OK"))</f>
      </c>
    </row>
    <row r="40" spans="2:4" s="23" customFormat="1" ht="4.5" customHeight="1">
      <c r="B40" s="97"/>
      <c r="C40" s="58"/>
      <c r="D40" s="33"/>
    </row>
    <row r="41" spans="1:4" s="28" customFormat="1" ht="18" customHeight="1">
      <c r="A41" s="25" t="s">
        <v>139</v>
      </c>
      <c r="B41" s="36"/>
      <c r="C41" s="58"/>
      <c r="D41" s="101"/>
    </row>
    <row r="42" spans="1:4" s="28" customFormat="1" ht="18" customHeight="1">
      <c r="A42" s="23" t="s">
        <v>140</v>
      </c>
      <c r="B42" s="117"/>
      <c r="C42" s="58" t="s">
        <v>72</v>
      </c>
      <c r="D42" s="101"/>
    </row>
    <row r="43" spans="1:4" s="28" customFormat="1" ht="18" customHeight="1">
      <c r="A43" s="58" t="s">
        <v>94</v>
      </c>
      <c r="B43" s="117"/>
      <c r="C43" s="58" t="s">
        <v>72</v>
      </c>
      <c r="D43" s="101"/>
    </row>
    <row r="44" spans="1:4" s="28" customFormat="1" ht="18" customHeight="1">
      <c r="A44" s="58" t="s">
        <v>95</v>
      </c>
      <c r="B44" s="117"/>
      <c r="C44" s="58" t="s">
        <v>72</v>
      </c>
      <c r="D44" s="101"/>
    </row>
    <row r="45" spans="1:4" s="28" customFormat="1" ht="18" customHeight="1">
      <c r="A45" s="23" t="s">
        <v>96</v>
      </c>
      <c r="B45" s="104">
        <f>IF(B42&gt;B44-B43,B42,B44-B43)</f>
        <v>0</v>
      </c>
      <c r="C45" s="46" t="s">
        <v>72</v>
      </c>
      <c r="D45" s="101"/>
    </row>
    <row r="46" spans="1:5" s="28" customFormat="1" ht="18" customHeight="1">
      <c r="A46" s="23" t="s">
        <v>97</v>
      </c>
      <c r="B46" s="126"/>
      <c r="C46" s="46" t="s">
        <v>72</v>
      </c>
      <c r="D46" s="101"/>
      <c r="E46" s="54">
        <f>IF(B46="","",IF(B46&lt;B45,"Increase volume provided.","OK"))</f>
      </c>
    </row>
    <row r="47" spans="2:4" s="23" customFormat="1" ht="4.5" customHeight="1">
      <c r="B47" s="97"/>
      <c r="C47" s="58"/>
      <c r="D47" s="33"/>
    </row>
    <row r="48" spans="1:4" s="23" customFormat="1" ht="18" customHeight="1">
      <c r="A48" s="25" t="s">
        <v>131</v>
      </c>
      <c r="B48" s="97"/>
      <c r="C48" s="58"/>
      <c r="D48" s="33"/>
    </row>
    <row r="49" spans="1:5" s="23" customFormat="1" ht="18" customHeight="1">
      <c r="A49" s="23" t="s">
        <v>18</v>
      </c>
      <c r="B49" s="127"/>
      <c r="C49" s="58" t="s">
        <v>19</v>
      </c>
      <c r="D49" s="33" t="str">
        <f>IF(B49=9,"1","0")</f>
        <v>0</v>
      </c>
      <c r="E49" s="23">
        <f>IF(B49="","",IF((D49+D50+D51)&gt;0,"OK","Insufficient ponding depth."))</f>
      </c>
    </row>
    <row r="50" spans="2:4" s="30" customFormat="1" ht="18.75" customHeight="1" hidden="1">
      <c r="B50" s="34"/>
      <c r="C50" s="68"/>
      <c r="D50" s="33" t="str">
        <f>IF(AND(9&lt;B49,B49&lt;12),"1","0")</f>
        <v>0</v>
      </c>
    </row>
    <row r="51" spans="2:4" s="30" customFormat="1" ht="18.75" customHeight="1" hidden="1">
      <c r="B51" s="34"/>
      <c r="C51" s="68"/>
      <c r="D51" s="33" t="str">
        <f>IF(B49=12,"1","0")</f>
        <v>0</v>
      </c>
    </row>
    <row r="52" spans="1:4" s="23" customFormat="1" ht="18" customHeight="1">
      <c r="A52" s="23" t="s">
        <v>18</v>
      </c>
      <c r="B52" s="31">
        <f>B49/12</f>
        <v>0</v>
      </c>
      <c r="C52" s="58" t="s">
        <v>0</v>
      </c>
      <c r="D52" s="33"/>
    </row>
    <row r="53" spans="1:5" s="23" customFormat="1" ht="18" customHeight="1">
      <c r="A53" s="23" t="s">
        <v>41</v>
      </c>
      <c r="B53" s="125"/>
      <c r="C53" s="58" t="s">
        <v>71</v>
      </c>
      <c r="D53" s="102" t="e">
        <f>B38/B52</f>
        <v>#DIV/0!</v>
      </c>
      <c r="E53" s="23">
        <f>IF(B53="","",IF(B53&gt;=(D53*D54),"OK","Insufficient surface area."))</f>
      </c>
    </row>
    <row r="54" spans="2:4" s="30" customFormat="1" ht="18.75" customHeight="1" hidden="1">
      <c r="B54" s="128"/>
      <c r="C54" s="68"/>
      <c r="D54" s="102" t="str">
        <f>IF(B38="","0",IF(B49="","","1"))</f>
        <v>0</v>
      </c>
    </row>
    <row r="55" spans="1:5" s="23" customFormat="1" ht="18" customHeight="1">
      <c r="A55" s="35" t="s">
        <v>20</v>
      </c>
      <c r="B55" s="117"/>
      <c r="C55" s="58" t="s">
        <v>0</v>
      </c>
      <c r="D55" s="33" t="str">
        <f>IF(B55&gt;=10,"2","1")</f>
        <v>1</v>
      </c>
      <c r="E55" s="28">
        <f>IF((D55+D56)=4,"",IF((D55+D56)=5,"Insufficient length",IF((D55+D56)=6,"OK",IF(B55="","Enter data"))))</f>
      </c>
    </row>
    <row r="56" spans="1:4" s="30" customFormat="1" ht="18.75" customHeight="1" hidden="1">
      <c r="A56" s="56"/>
      <c r="B56" s="129"/>
      <c r="C56" s="68"/>
      <c r="D56" s="33" t="str">
        <f>IF(B55="","3","4")</f>
        <v>3</v>
      </c>
    </row>
    <row r="57" spans="1:5" s="23" customFormat="1" ht="18" customHeight="1">
      <c r="A57" s="35" t="s">
        <v>21</v>
      </c>
      <c r="B57" s="117"/>
      <c r="C57" s="58" t="s">
        <v>0</v>
      </c>
      <c r="D57" s="33" t="str">
        <f>IF(B57&gt;=10,"2","1")</f>
        <v>1</v>
      </c>
      <c r="E57" s="28">
        <f>IF((D57+D58)=4,"",IF((D57+D58)=5,"Insufficient length",IF((D57+D58)=6,"OK",IF(B57="","Enter data"))))</f>
      </c>
    </row>
    <row r="58" spans="1:4" s="30" customFormat="1" ht="18.75" customHeight="1" hidden="1">
      <c r="A58" s="56"/>
      <c r="B58" s="129"/>
      <c r="C58" s="68"/>
      <c r="D58" s="33" t="str">
        <f>IF(B57="","3","4")</f>
        <v>3</v>
      </c>
    </row>
    <row r="59" spans="1:5" s="23" customFormat="1" ht="18" customHeight="1">
      <c r="A59" s="35" t="s">
        <v>22</v>
      </c>
      <c r="B59" s="123"/>
      <c r="C59" s="58" t="s">
        <v>0</v>
      </c>
      <c r="D59" s="33" t="str">
        <f>IF(B59&gt;=10,"2","1")</f>
        <v>1</v>
      </c>
      <c r="E59" s="28">
        <f>IF((D59+D60)=4,"",IF((D59+D60)=5,"Insufficient length",IF((D59+D60)=6,"OK",IF(B59="","Enter data"))))</f>
      </c>
    </row>
    <row r="60" spans="1:4" s="30" customFormat="1" ht="17.25" hidden="1">
      <c r="A60" s="56"/>
      <c r="B60" s="34"/>
      <c r="C60" s="68"/>
      <c r="D60" s="33" t="str">
        <f>IF(B59="","3","4")</f>
        <v>3</v>
      </c>
    </row>
    <row r="61" spans="1:4" s="28" customFormat="1" ht="4.5" customHeight="1">
      <c r="A61" s="62"/>
      <c r="B61" s="36"/>
      <c r="C61" s="58"/>
      <c r="D61" s="101"/>
    </row>
    <row r="62" spans="1:4" s="23" customFormat="1" ht="18" customHeight="1">
      <c r="A62" s="25" t="s">
        <v>144</v>
      </c>
      <c r="B62" s="32"/>
      <c r="C62" s="58"/>
      <c r="D62" s="33"/>
    </row>
    <row r="63" spans="1:5" s="23" customFormat="1" ht="18" customHeight="1">
      <c r="A63" s="23" t="s">
        <v>28</v>
      </c>
      <c r="B63" s="127"/>
      <c r="C63" s="58" t="s">
        <v>27</v>
      </c>
      <c r="D63" s="33"/>
      <c r="E63" s="28">
        <f>IF(B63="","",IF(AND(B63&lt;=12,B63&gt;0),"OK","Insufficient ponded volume drawdown time."))</f>
      </c>
    </row>
    <row r="64" spans="1:5" s="23" customFormat="1" ht="18" customHeight="1">
      <c r="A64" s="23" t="s">
        <v>29</v>
      </c>
      <c r="B64" s="127"/>
      <c r="C64" s="58" t="s">
        <v>27</v>
      </c>
      <c r="D64" s="33"/>
      <c r="E64" s="58">
        <f>IF(B64="","",IF(AND(B65&lt;=48,B65&gt;0),"OK","Insufficient 24-inch drawdown time."))</f>
      </c>
    </row>
    <row r="65" spans="1:5" s="23" customFormat="1" ht="18" customHeight="1">
      <c r="A65" s="46" t="s">
        <v>30</v>
      </c>
      <c r="B65" s="37">
        <f>SUM(B63:B64)</f>
        <v>0</v>
      </c>
      <c r="C65" s="58" t="s">
        <v>27</v>
      </c>
      <c r="D65" s="33"/>
      <c r="E65" s="58"/>
    </row>
    <row r="66" spans="1:4" s="23" customFormat="1" ht="18" customHeight="1">
      <c r="A66" s="38" t="s">
        <v>23</v>
      </c>
      <c r="B66" s="115"/>
      <c r="C66" s="58"/>
      <c r="D66" s="33"/>
    </row>
    <row r="67" spans="1:5" s="23" customFormat="1" ht="18" customHeight="1">
      <c r="A67" s="35" t="s">
        <v>43</v>
      </c>
      <c r="B67" s="130"/>
      <c r="C67" s="58" t="s">
        <v>4</v>
      </c>
      <c r="D67" s="33"/>
      <c r="E67" s="23">
        <f>IF(B67="","",(IF(B67&gt;=0.52,"OK","Insufficient. Increase infiltration rate or include underdrains.")))</f>
      </c>
    </row>
    <row r="68" spans="1:4" s="23" customFormat="1" ht="18" customHeight="1">
      <c r="A68" s="38" t="s">
        <v>24</v>
      </c>
      <c r="B68" s="116"/>
      <c r="C68" s="58"/>
      <c r="D68" s="33" t="str">
        <f>IF(B69=0.52,"1","0")</f>
        <v>0</v>
      </c>
    </row>
    <row r="69" spans="1:5" s="23" customFormat="1" ht="18" customHeight="1">
      <c r="A69" s="35" t="s">
        <v>43</v>
      </c>
      <c r="B69" s="130"/>
      <c r="C69" s="58" t="s">
        <v>4</v>
      </c>
      <c r="D69" s="33" t="str">
        <f>IF(AND(0.5&lt;B69,B69&lt;6),"1","0")</f>
        <v>0</v>
      </c>
      <c r="E69" s="23">
        <f>IF(B69="","",IF((D68+D69+D70)&gt;0,"OK","Insufficient media infiltration rate."))</f>
      </c>
    </row>
    <row r="70" spans="1:4" s="23" customFormat="1" ht="18" customHeight="1">
      <c r="A70" s="35" t="s">
        <v>26</v>
      </c>
      <c r="B70" s="36"/>
      <c r="C70" s="58"/>
      <c r="D70" s="33" t="str">
        <f>IF(B69=6,"1","0")</f>
        <v>0</v>
      </c>
    </row>
    <row r="71" spans="1:5" s="23" customFormat="1" ht="18" customHeight="1">
      <c r="A71" s="39" t="s">
        <v>154</v>
      </c>
      <c r="B71" s="131"/>
      <c r="C71" s="58"/>
      <c r="D71" s="33" t="str">
        <f>IF(B71=0.85,"1","0")</f>
        <v>0</v>
      </c>
      <c r="E71" s="23">
        <f>IF(B71="","",IF((D71+D72+D73)&gt;0,"OK","Sand should be ~85-88%"))</f>
      </c>
    </row>
    <row r="72" spans="1:4" s="30" customFormat="1" ht="17.25" hidden="1">
      <c r="A72" s="40"/>
      <c r="B72" s="132"/>
      <c r="C72" s="68"/>
      <c r="D72" s="33" t="str">
        <f>IF(AND(0.85&lt;B71,B71&lt;0.88),"1","0")</f>
        <v>0</v>
      </c>
    </row>
    <row r="73" spans="1:4" s="30" customFormat="1" ht="17.25" hidden="1">
      <c r="A73" s="40"/>
      <c r="B73" s="132"/>
      <c r="C73" s="68"/>
      <c r="D73" s="33" t="str">
        <f>IF(B71=0.88,"1","0")</f>
        <v>0</v>
      </c>
    </row>
    <row r="74" spans="1:5" s="23" customFormat="1" ht="18" customHeight="1">
      <c r="A74" s="39" t="s">
        <v>155</v>
      </c>
      <c r="B74" s="131"/>
      <c r="C74" s="58"/>
      <c r="D74" s="33" t="str">
        <f>IF(B74=0.08,"1","0")</f>
        <v>0</v>
      </c>
      <c r="E74" s="23">
        <f>IF(B74="","",IF((D74+D75+D76)&gt;0,"OK","Fines should be ~8-12%"))</f>
      </c>
    </row>
    <row r="75" spans="1:5" s="43" customFormat="1" ht="17.25" hidden="1">
      <c r="A75" s="42"/>
      <c r="B75" s="132"/>
      <c r="C75" s="44"/>
      <c r="D75" s="33" t="str">
        <f>IF(AND(0.08&lt;B74,B74&lt;0.12),"1","0")</f>
        <v>0</v>
      </c>
      <c r="E75" s="44"/>
    </row>
    <row r="76" spans="1:5" s="43" customFormat="1" ht="17.25" hidden="1">
      <c r="A76" s="42"/>
      <c r="B76" s="132"/>
      <c r="C76" s="44"/>
      <c r="D76" s="33" t="str">
        <f>IF(B74=0.12,"1","0")</f>
        <v>0</v>
      </c>
      <c r="E76" s="44"/>
    </row>
    <row r="77" spans="1:5" s="23" customFormat="1" ht="18" customHeight="1">
      <c r="A77" s="39" t="s">
        <v>156</v>
      </c>
      <c r="B77" s="131"/>
      <c r="C77" s="58"/>
      <c r="D77" s="33" t="str">
        <f>IF(B77=0.03,"1","0")</f>
        <v>0</v>
      </c>
      <c r="E77" s="23">
        <f>IF(B77="","",IF((D77+D78+D79)&gt;0,"OK","Organic should be ~3-5%"))</f>
      </c>
    </row>
    <row r="78" spans="1:5" s="43" customFormat="1" ht="17.25" hidden="1">
      <c r="A78" s="42"/>
      <c r="B78" s="41"/>
      <c r="C78" s="44"/>
      <c r="D78" s="33" t="str">
        <f>IF(AND(0.03&lt;B77,B77&lt;0.05),"1","0")</f>
        <v>0</v>
      </c>
      <c r="E78" s="44"/>
    </row>
    <row r="79" spans="1:5" s="43" customFormat="1" ht="17.25" hidden="1">
      <c r="A79" s="42"/>
      <c r="B79" s="41"/>
      <c r="C79" s="44"/>
      <c r="D79" s="33" t="str">
        <f>IF(B77=0.05,"1","0")</f>
        <v>0</v>
      </c>
      <c r="E79" s="44"/>
    </row>
    <row r="80" spans="1:5" s="23" customFormat="1" ht="18" customHeight="1">
      <c r="A80" s="29" t="s">
        <v>25</v>
      </c>
      <c r="B80" s="45">
        <f>SUM(B71:B77)</f>
        <v>0</v>
      </c>
      <c r="C80" s="58"/>
      <c r="D80" s="33" t="str">
        <f>IF(B80=1,"1","0")</f>
        <v>0</v>
      </c>
      <c r="E80" s="46">
        <f>IF(B80=0,"",IF(D80="1","","Insufficient soil. Does not total 100%."))</f>
      </c>
    </row>
    <row r="81" spans="1:5" s="23" customFormat="1" ht="18" customHeight="1">
      <c r="A81" s="46" t="s">
        <v>141</v>
      </c>
      <c r="B81" s="123"/>
      <c r="C81" s="58" t="s">
        <v>17</v>
      </c>
      <c r="D81" s="33" t="str">
        <f>IF(B81=10,"1","0")</f>
        <v>0</v>
      </c>
      <c r="E81" s="46">
        <f>IF(B81="","",IF((D81+D83+D82)&gt;0,"OK","Insufficient P-Index."))</f>
      </c>
    </row>
    <row r="82" spans="1:5" s="49" customFormat="1" ht="17.25" hidden="1">
      <c r="A82" s="47"/>
      <c r="B82" s="48"/>
      <c r="C82" s="47"/>
      <c r="D82" s="33" t="str">
        <f>IF(B81=30,"1","0")</f>
        <v>0</v>
      </c>
      <c r="E82" s="68"/>
    </row>
    <row r="83" spans="1:5" s="23" customFormat="1" ht="5.25" customHeight="1">
      <c r="A83" s="46"/>
      <c r="B83" s="26"/>
      <c r="C83" s="58"/>
      <c r="D83" s="33" t="str">
        <f>IF(AND(10&lt;B81,B81&lt;30),"1","0")</f>
        <v>0</v>
      </c>
      <c r="E83" s="46"/>
    </row>
    <row r="84" spans="1:4" s="23" customFormat="1" ht="18" customHeight="1">
      <c r="A84" s="25" t="s">
        <v>31</v>
      </c>
      <c r="B84" s="32"/>
      <c r="C84" s="58"/>
      <c r="D84" s="33"/>
    </row>
    <row r="85" spans="1:5" s="23" customFormat="1" ht="18" customHeight="1">
      <c r="A85" s="23" t="s">
        <v>32</v>
      </c>
      <c r="B85" s="130"/>
      <c r="C85" s="58" t="s">
        <v>7</v>
      </c>
      <c r="D85" s="103">
        <f>B90+B52</f>
        <v>0</v>
      </c>
      <c r="E85" s="46"/>
    </row>
    <row r="86" spans="1:4" s="23" customFormat="1" ht="34.5">
      <c r="A86" s="23" t="s">
        <v>79</v>
      </c>
      <c r="B86" s="32"/>
      <c r="C86" s="58"/>
      <c r="D86" s="33"/>
    </row>
    <row r="87" spans="1:5" s="23" customFormat="1" ht="18" customHeight="1">
      <c r="A87" s="35" t="s">
        <v>90</v>
      </c>
      <c r="B87" s="135"/>
      <c r="C87" s="58" t="s">
        <v>101</v>
      </c>
      <c r="D87" s="33" t="str">
        <f>IF(B93&gt;=2,"1","2")</f>
        <v>2</v>
      </c>
      <c r="E87" s="28">
        <f>IF((D87+D88)=4,"OK",IF((D87+D88)=5,"Insufficient media depth",IF((D87+D88)=6,"",IF((D87+D88)=7,""))))</f>
      </c>
    </row>
    <row r="88" spans="1:4" s="89" customFormat="1" ht="17.25" hidden="1">
      <c r="A88" s="93"/>
      <c r="B88" s="136"/>
      <c r="C88" s="91"/>
      <c r="D88" s="100" t="str">
        <f>IF(B87="Y","3","5")</f>
        <v>5</v>
      </c>
    </row>
    <row r="89" spans="1:5" s="23" customFormat="1" ht="18" customHeight="1">
      <c r="A89" s="35" t="s">
        <v>91</v>
      </c>
      <c r="B89" s="137"/>
      <c r="C89" s="58" t="s">
        <v>101</v>
      </c>
      <c r="D89" s="33" t="str">
        <f>IF(B93&gt;=3,"1","2")</f>
        <v>2</v>
      </c>
      <c r="E89" s="28">
        <f>IF((D89+D103)=4,"OK media depth",IF((D89+D103)=5,"Insufficient media depth",IF((D89+D103)=6,"",IF((D89+D103)=7,""))))</f>
      </c>
    </row>
    <row r="90" spans="1:5" s="23" customFormat="1" ht="18" customHeight="1">
      <c r="A90" s="23" t="s">
        <v>147</v>
      </c>
      <c r="B90" s="123"/>
      <c r="C90" s="58" t="s">
        <v>7</v>
      </c>
      <c r="D90" s="33"/>
      <c r="E90" s="46"/>
    </row>
    <row r="91" spans="1:5" s="23" customFormat="1" ht="18" customHeight="1">
      <c r="A91" s="23" t="s">
        <v>36</v>
      </c>
      <c r="B91" s="127"/>
      <c r="C91" s="58" t="s">
        <v>19</v>
      </c>
      <c r="D91" s="33"/>
      <c r="E91" s="23">
        <f>IF(B91="","",IF(AND(2&lt;=B91,B91&lt;=4),"OK","Insufficient mulch depth, unless installing grassed cell."))</f>
      </c>
    </row>
    <row r="92" spans="1:5" s="23" customFormat="1" ht="18" customHeight="1">
      <c r="A92" s="23" t="s">
        <v>145</v>
      </c>
      <c r="B92" s="123"/>
      <c r="C92" s="58" t="s">
        <v>7</v>
      </c>
      <c r="D92" s="33"/>
      <c r="E92" s="46"/>
    </row>
    <row r="93" spans="1:5" s="23" customFormat="1" ht="18" customHeight="1">
      <c r="A93" s="23" t="s">
        <v>143</v>
      </c>
      <c r="B93" s="37">
        <f>B90-B92</f>
        <v>0</v>
      </c>
      <c r="C93" s="58" t="s">
        <v>0</v>
      </c>
      <c r="D93" s="33"/>
      <c r="E93" s="46"/>
    </row>
    <row r="94" spans="1:4" s="23" customFormat="1" ht="18" customHeight="1">
      <c r="A94" s="23" t="s">
        <v>146</v>
      </c>
      <c r="B94" s="127"/>
      <c r="C94" s="58" t="s">
        <v>0</v>
      </c>
      <c r="D94" s="33"/>
    </row>
    <row r="95" spans="1:5" s="23" customFormat="1" ht="54.75" customHeight="1">
      <c r="A95" s="23" t="s">
        <v>46</v>
      </c>
      <c r="B95" s="133"/>
      <c r="C95" s="58" t="s">
        <v>101</v>
      </c>
      <c r="D95" s="33" t="str">
        <f>IF(B69&gt;B67,"1","0")</f>
        <v>0</v>
      </c>
      <c r="E95" s="28">
        <f>IF(AND(D95="1",B95="N"),"The permeability of the planting media is greater than the permeability of the in-situ soil.  Must have method for draining cell.","")</f>
      </c>
    </row>
    <row r="96" spans="1:5" s="23" customFormat="1" ht="18" customHeight="1">
      <c r="A96" s="35" t="s">
        <v>47</v>
      </c>
      <c r="B96" s="134"/>
      <c r="C96" s="58" t="s">
        <v>48</v>
      </c>
      <c r="D96" s="33">
        <f>ROUNDUP((B53/1000),0)</f>
        <v>0</v>
      </c>
      <c r="E96" s="28">
        <f>IF(B96="","",IF(AND(B96&gt;=D96,B96&gt;=1),"OK","Insufficient number of clean out pipes provided."))</f>
      </c>
    </row>
    <row r="97" spans="1:5" s="23" customFormat="1" ht="51.75">
      <c r="A97" s="35" t="s">
        <v>68</v>
      </c>
      <c r="B97" s="134"/>
      <c r="C97" s="58"/>
      <c r="D97" s="33">
        <f>IF(AND(B$97&lt;2,B$97&gt;=0),1,0)</f>
        <v>1</v>
      </c>
      <c r="E97" s="23">
        <f>IF(B97="","",(IF((D97+D98)&gt;=1,"Insufficient factor of safety.","OK")))</f>
      </c>
    </row>
    <row r="98" spans="1:4" s="30" customFormat="1" ht="17.25" hidden="1">
      <c r="A98" s="56"/>
      <c r="B98" s="105"/>
      <c r="C98" s="68"/>
      <c r="D98" s="33">
        <f>IF(B$97&gt;10,1,0)</f>
        <v>0</v>
      </c>
    </row>
    <row r="99" spans="1:5" s="23" customFormat="1" ht="51.75">
      <c r="A99" s="23" t="s">
        <v>93</v>
      </c>
      <c r="B99" s="50" t="str">
        <f>IF(B95="Y","1","0")</f>
        <v>0</v>
      </c>
      <c r="C99" s="58" t="s">
        <v>0</v>
      </c>
      <c r="D99" s="33"/>
      <c r="E99" s="28"/>
    </row>
    <row r="100" spans="1:5" s="23" customFormat="1" ht="18" customHeight="1">
      <c r="A100" s="23" t="s">
        <v>92</v>
      </c>
      <c r="B100" s="23">
        <f>B92-B99-B94</f>
        <v>0</v>
      </c>
      <c r="C100" s="46" t="s">
        <v>7</v>
      </c>
      <c r="D100" s="33"/>
      <c r="E100" s="28"/>
    </row>
    <row r="101" spans="1:4" s="23" customFormat="1" ht="18" customHeight="1">
      <c r="A101" s="23" t="s">
        <v>33</v>
      </c>
      <c r="B101" s="127"/>
      <c r="C101" s="58" t="s">
        <v>7</v>
      </c>
      <c r="D101" s="33"/>
    </row>
    <row r="102" spans="1:5" s="23" customFormat="1" ht="18" customHeight="1">
      <c r="A102" s="23" t="s">
        <v>34</v>
      </c>
      <c r="B102" s="51">
        <f>B100-B101</f>
        <v>0</v>
      </c>
      <c r="C102" s="58" t="s">
        <v>0</v>
      </c>
      <c r="D102" s="33"/>
      <c r="E102" s="28">
        <f>IF(B95="","",IF(B102&gt;=2,"OK","Insufficient distance to SHWT."))</f>
      </c>
    </row>
    <row r="103" spans="1:4" s="30" customFormat="1" ht="17.25" hidden="1">
      <c r="A103" s="56"/>
      <c r="B103" s="57"/>
      <c r="C103" s="68"/>
      <c r="D103" s="33" t="str">
        <f>IF(B89="Y","3","5")</f>
        <v>5</v>
      </c>
    </row>
    <row r="104" spans="2:4" s="23" customFormat="1" ht="5.25" customHeight="1">
      <c r="B104" s="32"/>
      <c r="C104" s="58"/>
      <c r="D104" s="33"/>
    </row>
    <row r="105" spans="1:4" s="23" customFormat="1" ht="18" customHeight="1">
      <c r="A105" s="95" t="s">
        <v>149</v>
      </c>
      <c r="B105" s="32"/>
      <c r="C105" s="58"/>
      <c r="D105" s="33"/>
    </row>
    <row r="106" spans="1:4" s="23" customFormat="1" ht="16.5" customHeight="1">
      <c r="A106" s="35" t="s">
        <v>150</v>
      </c>
      <c r="B106" s="135" t="s">
        <v>152</v>
      </c>
      <c r="C106" s="58" t="s">
        <v>101</v>
      </c>
      <c r="D106" s="33"/>
    </row>
    <row r="107" spans="1:4" s="23" customFormat="1" ht="18" customHeight="1">
      <c r="A107" s="35" t="s">
        <v>151</v>
      </c>
      <c r="B107" s="127"/>
      <c r="C107" s="58" t="s">
        <v>7</v>
      </c>
      <c r="D107" s="33"/>
    </row>
    <row r="108" spans="1:5" s="23" customFormat="1" ht="18" customHeight="1">
      <c r="A108" s="35" t="s">
        <v>153</v>
      </c>
      <c r="B108" s="32">
        <f>B90-B107</f>
        <v>0</v>
      </c>
      <c r="C108" s="58" t="s">
        <v>0</v>
      </c>
      <c r="D108" s="33"/>
      <c r="E108" s="23">
        <f>IF(B107="","",IF(B108&gt;=1,"OK","Must increase separation of elbow outlet from surface"))</f>
      </c>
    </row>
    <row r="109" spans="1:8" s="23" customFormat="1" ht="18" customHeight="1">
      <c r="A109" s="95" t="s">
        <v>116</v>
      </c>
      <c r="B109" s="36"/>
      <c r="C109" s="58"/>
      <c r="D109" s="33"/>
      <c r="E109" s="46"/>
      <c r="F109" s="54"/>
      <c r="G109" s="54"/>
      <c r="H109" s="54"/>
    </row>
    <row r="110" spans="1:8" s="23" customFormat="1" ht="18" customHeight="1">
      <c r="A110" s="35" t="s">
        <v>49</v>
      </c>
      <c r="B110" s="127">
        <f>IF(B87="Y","0","")</f>
      </c>
      <c r="C110" s="58"/>
      <c r="D110" s="33"/>
      <c r="E110" s="55"/>
      <c r="F110" s="54"/>
      <c r="G110" s="54"/>
      <c r="H110" s="54"/>
    </row>
    <row r="111" spans="1:8" s="23" customFormat="1" ht="18" customHeight="1">
      <c r="A111" s="35" t="s">
        <v>50</v>
      </c>
      <c r="B111" s="127">
        <f>IF(B88="Y","0","")</f>
      </c>
      <c r="C111" s="58"/>
      <c r="D111" s="33"/>
      <c r="E111" s="55"/>
      <c r="F111" s="54"/>
      <c r="G111" s="54"/>
      <c r="H111" s="54"/>
    </row>
    <row r="112" spans="1:8" s="23" customFormat="1" ht="18" customHeight="1">
      <c r="A112" s="35" t="s">
        <v>51</v>
      </c>
      <c r="B112" s="127">
        <f>IF(B89="Y","0","")</f>
      </c>
      <c r="C112" s="58"/>
      <c r="D112" s="33"/>
      <c r="E112" s="23">
        <f>IF(B112="","",IF(B112+B111+B110&gt;=3,"OK","Recommend more species."))</f>
      </c>
      <c r="F112" s="54"/>
      <c r="G112" s="54"/>
      <c r="H112" s="54"/>
    </row>
    <row r="113" spans="1:8" s="23" customFormat="1" ht="6" customHeight="1">
      <c r="A113" s="35"/>
      <c r="B113" s="36"/>
      <c r="C113" s="58"/>
      <c r="D113" s="33"/>
      <c r="E113" s="55"/>
      <c r="F113" s="54"/>
      <c r="G113" s="54"/>
      <c r="H113" s="54"/>
    </row>
    <row r="114" spans="1:4" s="23" customFormat="1" ht="17.25">
      <c r="A114" s="25" t="s">
        <v>35</v>
      </c>
      <c r="B114" s="32"/>
      <c r="C114" s="58"/>
      <c r="D114" s="33"/>
    </row>
    <row r="115" spans="1:5" s="23" customFormat="1" ht="34.5">
      <c r="A115" s="23" t="s">
        <v>87</v>
      </c>
      <c r="B115" s="122"/>
      <c r="C115" s="58" t="s">
        <v>101</v>
      </c>
      <c r="D115" s="33"/>
      <c r="E115" s="23">
        <f>IF(B115="","",IF(B115="Y","OK",IF(B115="N","Excess volume must bypass cell.","Enter Data")))</f>
      </c>
    </row>
    <row r="116" spans="1:5" s="23" customFormat="1" ht="51.75">
      <c r="A116" s="23" t="s">
        <v>84</v>
      </c>
      <c r="B116" s="122"/>
      <c r="C116" s="58" t="s">
        <v>101</v>
      </c>
      <c r="D116" s="33"/>
      <c r="E116" s="23">
        <f>IF(B116="","",IF(B116="Y","OK",IF(B116="N","Excess volume must pass through filter.","Enter Data")))</f>
      </c>
    </row>
    <row r="117" spans="1:4" s="23" customFormat="1" ht="18" customHeight="1">
      <c r="A117" s="35" t="s">
        <v>86</v>
      </c>
      <c r="B117" s="127"/>
      <c r="C117" s="58" t="s">
        <v>60</v>
      </c>
      <c r="D117" s="33"/>
    </row>
    <row r="118" spans="1:5" s="23" customFormat="1" ht="35.25" customHeight="1">
      <c r="A118" s="35" t="s">
        <v>85</v>
      </c>
      <c r="B118" s="122"/>
      <c r="C118" s="58" t="s">
        <v>101</v>
      </c>
      <c r="D118" s="33"/>
      <c r="E118" s="23">
        <f>IF(B118="","",IF(B118="Y","Submit a level spreader supplement.",IF(B118="N","Show how flow is evenly distributed.","Enter Data")))</f>
      </c>
    </row>
    <row r="119" spans="1:5" s="23" customFormat="1" ht="36" customHeight="1">
      <c r="A119" s="46" t="s">
        <v>114</v>
      </c>
      <c r="B119" s="122"/>
      <c r="C119" s="58" t="s">
        <v>101</v>
      </c>
      <c r="D119" s="33"/>
      <c r="E119" s="23">
        <f>IF(B119="","",IF(B119="Y","OK",IF(B119="N","BMP must be sufficient distance from surface waters.","Enter Data")))</f>
      </c>
    </row>
    <row r="120" spans="1:5" s="23" customFormat="1" ht="18" customHeight="1">
      <c r="A120" s="46" t="s">
        <v>115</v>
      </c>
      <c r="B120" s="122"/>
      <c r="C120" s="58" t="s">
        <v>101</v>
      </c>
      <c r="D120" s="33"/>
      <c r="E120" s="23">
        <f>IF(B120="","",IF(B120="Y","OK",IF(B120="N","BMP must be sufficient distance from wells.","Enter Data")))</f>
      </c>
    </row>
    <row r="121" spans="1:5" s="23" customFormat="1" ht="18" customHeight="1">
      <c r="A121" s="23" t="s">
        <v>80</v>
      </c>
      <c r="B121" s="122"/>
      <c r="C121" s="58" t="s">
        <v>101</v>
      </c>
      <c r="D121" s="33"/>
      <c r="E121" s="23">
        <f>IF(B121="","",IF(B121="Y","OK","Insufficient vegetated side slopes."))</f>
      </c>
    </row>
    <row r="122" spans="1:5" s="23" customFormat="1" ht="51.75">
      <c r="A122" s="23" t="s">
        <v>148</v>
      </c>
      <c r="B122" s="122"/>
      <c r="C122" s="58" t="s">
        <v>101</v>
      </c>
      <c r="D122" s="33"/>
      <c r="E122" s="23">
        <f>IF(B122="","",IF(B122="Y","OK","Insufficient ROW location."))</f>
      </c>
    </row>
    <row r="123" spans="1:5" s="23" customFormat="1" ht="34.5" customHeight="1">
      <c r="A123" s="23" t="s">
        <v>37</v>
      </c>
      <c r="B123" s="127"/>
      <c r="C123" s="58" t="s">
        <v>38</v>
      </c>
      <c r="D123" s="33"/>
      <c r="E123" s="23">
        <f>IF(B123="","",IF(AND(B123&lt;=1,B123&gt;0),"OK","Insufficient inlet velocity unless energy dissipating devices are being used."))</f>
      </c>
    </row>
    <row r="124" spans="1:5" s="23" customFormat="1" ht="34.5">
      <c r="A124" s="23" t="s">
        <v>81</v>
      </c>
      <c r="B124" s="122"/>
      <c r="C124" s="58" t="s">
        <v>101</v>
      </c>
      <c r="D124" s="33"/>
      <c r="E124" s="23">
        <f>IF(B124="","",IF(B124="N","OK",IF(B124="Y","Insufficient. BMP shall be located in stabilized area.","Enter Data")))</f>
      </c>
    </row>
    <row r="125" spans="1:5" s="23" customFormat="1" ht="34.5">
      <c r="A125" s="23" t="s">
        <v>82</v>
      </c>
      <c r="B125" s="122"/>
      <c r="C125" s="58" t="s">
        <v>101</v>
      </c>
      <c r="D125" s="33"/>
      <c r="E125" s="23">
        <f>IF(B125="","",IF(B125="N","OK","Insufficient slopes for design."))</f>
      </c>
    </row>
    <row r="126" spans="1:5" s="23" customFormat="1" ht="18" customHeight="1">
      <c r="A126" s="23" t="s">
        <v>83</v>
      </c>
      <c r="B126" s="137"/>
      <c r="C126" s="58" t="s">
        <v>101</v>
      </c>
      <c r="D126" s="33"/>
      <c r="E126" s="23">
        <f>IF(B126="","",IF(B126="Y","OK","Insufficient stabilization."))</f>
      </c>
    </row>
    <row r="127" spans="1:8" s="23" customFormat="1" ht="51.75">
      <c r="A127" s="23" t="s">
        <v>44</v>
      </c>
      <c r="B127" s="52"/>
      <c r="C127" s="58"/>
      <c r="D127" s="33"/>
      <c r="E127" s="53"/>
      <c r="F127" s="54"/>
      <c r="G127" s="54"/>
      <c r="H127" s="54"/>
    </row>
    <row r="128" spans="1:8" s="23" customFormat="1" ht="39">
      <c r="A128" s="35" t="s">
        <v>73</v>
      </c>
      <c r="B128" s="127"/>
      <c r="C128" s="58"/>
      <c r="D128" s="33">
        <f>IF(B128="x",1,0)</f>
        <v>0</v>
      </c>
      <c r="E128" s="155">
        <f>IF((D128+D129+D130+B131)=0,"",IF(SUM(D128:D131)&gt;0,"OK","Insufficient pretreatment used."))</f>
      </c>
      <c r="F128" s="54"/>
      <c r="G128" s="54"/>
      <c r="H128" s="54"/>
    </row>
    <row r="129" spans="1:8" s="23" customFormat="1" ht="18" customHeight="1">
      <c r="A129" s="35" t="s">
        <v>39</v>
      </c>
      <c r="B129" s="123"/>
      <c r="C129" s="58"/>
      <c r="D129" s="33">
        <f>IF(B129="x",1,0)</f>
        <v>0</v>
      </c>
      <c r="E129" s="155"/>
      <c r="F129" s="54"/>
      <c r="G129" s="54"/>
      <c r="H129" s="54"/>
    </row>
    <row r="130" spans="1:8" s="23" customFormat="1" ht="18" customHeight="1">
      <c r="A130" s="35" t="s">
        <v>40</v>
      </c>
      <c r="B130" s="127"/>
      <c r="C130" s="58"/>
      <c r="D130" s="33">
        <f>IF(B130="x",1,0)</f>
        <v>0</v>
      </c>
      <c r="E130" s="155"/>
      <c r="F130" s="54"/>
      <c r="G130" s="54"/>
      <c r="H130" s="54"/>
    </row>
    <row r="131" spans="1:5" s="23" customFormat="1" ht="18" customHeight="1">
      <c r="A131" s="23" t="s">
        <v>142</v>
      </c>
      <c r="B131" s="127"/>
      <c r="C131" s="46"/>
      <c r="D131" s="29"/>
      <c r="E131" s="156"/>
    </row>
    <row r="132" spans="3:4" s="23" customFormat="1" ht="17.25">
      <c r="C132" s="46"/>
      <c r="D132" s="29"/>
    </row>
    <row r="133" spans="3:4" s="23" customFormat="1" ht="17.25">
      <c r="C133" s="46"/>
      <c r="D133" s="29"/>
    </row>
    <row r="134" spans="3:4" s="23" customFormat="1" ht="17.25">
      <c r="C134" s="46"/>
      <c r="D134" s="29"/>
    </row>
    <row r="135" spans="3:4" s="23" customFormat="1" ht="17.25">
      <c r="C135" s="46"/>
      <c r="D135" s="29"/>
    </row>
    <row r="136" spans="3:4" s="23" customFormat="1" ht="17.25">
      <c r="C136" s="46"/>
      <c r="D136" s="29"/>
    </row>
    <row r="137" spans="3:4" s="27" customFormat="1" ht="17.25">
      <c r="C137" s="69"/>
      <c r="D137" s="36"/>
    </row>
    <row r="138" spans="3:4" s="23" customFormat="1" ht="18.75" customHeight="1">
      <c r="C138" s="46"/>
      <c r="D138" s="29"/>
    </row>
    <row r="139" spans="3:4" s="23" customFormat="1" ht="17.25">
      <c r="C139" s="46"/>
      <c r="D139" s="29"/>
    </row>
    <row r="140" spans="3:4" s="23" customFormat="1" ht="17.25">
      <c r="C140" s="46"/>
      <c r="D140" s="29"/>
    </row>
    <row r="141" spans="3:4" s="23" customFormat="1" ht="17.25">
      <c r="C141" s="46"/>
      <c r="D141" s="29"/>
    </row>
    <row r="142" spans="3:4" s="27" customFormat="1" ht="17.25">
      <c r="C142" s="69"/>
      <c r="D142" s="36"/>
    </row>
    <row r="143" spans="3:4" s="27" customFormat="1" ht="17.25">
      <c r="C143" s="69"/>
      <c r="D143" s="36"/>
    </row>
    <row r="144" spans="3:4" s="27" customFormat="1" ht="17.25">
      <c r="C144" s="69"/>
      <c r="D144" s="36"/>
    </row>
    <row r="145" spans="3:4" s="23" customFormat="1" ht="17.25">
      <c r="C145" s="46"/>
      <c r="D145" s="29"/>
    </row>
    <row r="146" spans="3:4" s="23" customFormat="1" ht="17.25">
      <c r="C146" s="46"/>
      <c r="D146" s="29"/>
    </row>
    <row r="147" spans="3:4" s="23" customFormat="1" ht="17.25">
      <c r="C147" s="46"/>
      <c r="D147" s="29"/>
    </row>
    <row r="148" spans="2:4" s="23" customFormat="1" ht="17.25">
      <c r="B148" s="29"/>
      <c r="C148" s="58"/>
      <c r="D148" s="33"/>
    </row>
    <row r="149" spans="2:4" s="23" customFormat="1" ht="17.25">
      <c r="B149" s="29"/>
      <c r="C149" s="58"/>
      <c r="D149" s="33"/>
    </row>
    <row r="150" spans="2:4" s="23" customFormat="1" ht="17.25">
      <c r="B150" s="29"/>
      <c r="C150" s="58"/>
      <c r="D150" s="33"/>
    </row>
    <row r="151" spans="2:4" s="23" customFormat="1" ht="17.25">
      <c r="B151" s="29"/>
      <c r="C151" s="58"/>
      <c r="D151" s="33"/>
    </row>
    <row r="152" spans="2:4" s="23" customFormat="1" ht="17.25">
      <c r="B152" s="29"/>
      <c r="C152" s="58"/>
      <c r="D152" s="33"/>
    </row>
  </sheetData>
  <sheetProtection password="C626" sheet="1" objects="1" scenarios="1"/>
  <mergeCells count="15">
    <mergeCell ref="A5:E5"/>
    <mergeCell ref="B17:E17"/>
    <mergeCell ref="B14:E14"/>
    <mergeCell ref="B15:E15"/>
    <mergeCell ref="A7:E7"/>
    <mergeCell ref="E128:E131"/>
    <mergeCell ref="A8:E8"/>
    <mergeCell ref="A9:E9"/>
    <mergeCell ref="B18:E18"/>
    <mergeCell ref="A1:E1"/>
    <mergeCell ref="A20:E20"/>
    <mergeCell ref="A10:E10"/>
    <mergeCell ref="A11:E11"/>
    <mergeCell ref="A3:E3"/>
    <mergeCell ref="A4:E4"/>
  </mergeCells>
  <printOptions horizontalCentered="1"/>
  <pageMargins left="0.29" right="0.23" top="0.47" bottom="0.42" header="0.2" footer="0.2"/>
  <pageSetup fitToHeight="9" horizontalDpi="600" verticalDpi="600" orientation="portrait" scale="67" r:id="rId4"/>
  <headerFooter alignWithMargins="0">
    <oddHeader>&amp;RPermit Number:__________________
&amp;"Arial,Italic"(to be provided by DWQ)</oddHeader>
    <oddFooter xml:space="preserve">&amp;LForm SW401-Bioretention-Rev.8
June 25, 2010&amp;RParts I and II. Design Summary, Page &amp;P of &amp;N </oddFooter>
  </headerFooter>
  <rowBreaks count="1" manualBreakCount="1">
    <brk id="82" max="4"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14"/>
  <sheetViews>
    <sheetView zoomScalePageLayoutView="0" workbookViewId="0" topLeftCell="A10">
      <selection activeCell="C11" sqref="C11"/>
    </sheetView>
  </sheetViews>
  <sheetFormatPr defaultColWidth="9.140625" defaultRowHeight="12.75"/>
  <cols>
    <col min="1" max="1" width="12.7109375" style="64" customWidth="1"/>
    <col min="2" max="2" width="12.7109375" style="63" customWidth="1"/>
    <col min="3" max="3" width="5.7109375" style="81" customWidth="1"/>
    <col min="4" max="4" width="90.7109375" style="82" customWidth="1"/>
    <col min="5" max="16384" width="9.140625" style="63" customWidth="1"/>
  </cols>
  <sheetData>
    <row r="1" spans="1:4" ht="18.75">
      <c r="A1" s="169" t="s">
        <v>9</v>
      </c>
      <c r="B1" s="170"/>
      <c r="C1" s="170"/>
      <c r="D1" s="171"/>
    </row>
    <row r="2" spans="1:4" s="74" customFormat="1" ht="18.75">
      <c r="A2" s="83"/>
      <c r="B2" s="83"/>
      <c r="C2" s="83"/>
      <c r="D2" s="83"/>
    </row>
    <row r="3" spans="1:4" ht="85.5" customHeight="1">
      <c r="A3" s="167" t="s">
        <v>113</v>
      </c>
      <c r="B3" s="168"/>
      <c r="C3" s="168"/>
      <c r="D3" s="168"/>
    </row>
    <row r="4" spans="1:4" ht="17.25">
      <c r="A4" s="84"/>
      <c r="B4" s="84"/>
      <c r="C4" s="85"/>
      <c r="D4" s="84"/>
    </row>
    <row r="5" spans="1:4" s="78" customFormat="1" ht="34.5">
      <c r="A5" s="86" t="s">
        <v>10</v>
      </c>
      <c r="B5" s="75" t="s">
        <v>11</v>
      </c>
      <c r="C5" s="76"/>
      <c r="D5" s="77"/>
    </row>
    <row r="6" spans="1:4" ht="213" customHeight="1">
      <c r="A6" s="79" t="s">
        <v>121</v>
      </c>
      <c r="B6" s="79" t="s">
        <v>121</v>
      </c>
      <c r="C6" s="80" t="s">
        <v>104</v>
      </c>
      <c r="D6" s="77" t="s">
        <v>127</v>
      </c>
    </row>
    <row r="7" spans="1:4" ht="207" customHeight="1">
      <c r="A7" s="79" t="s">
        <v>121</v>
      </c>
      <c r="B7" s="79" t="s">
        <v>121</v>
      </c>
      <c r="C7" s="80" t="s">
        <v>105</v>
      </c>
      <c r="D7" s="77" t="s">
        <v>132</v>
      </c>
    </row>
    <row r="8" spans="1:4" ht="109.5" customHeight="1">
      <c r="A8" s="79" t="s">
        <v>121</v>
      </c>
      <c r="B8" s="79" t="s">
        <v>121</v>
      </c>
      <c r="C8" s="80" t="s">
        <v>106</v>
      </c>
      <c r="D8" s="77" t="s">
        <v>102</v>
      </c>
    </row>
    <row r="9" spans="1:4" ht="135.75" customHeight="1">
      <c r="A9" s="79" t="s">
        <v>121</v>
      </c>
      <c r="B9" s="79" t="s">
        <v>121</v>
      </c>
      <c r="C9" s="80" t="s">
        <v>107</v>
      </c>
      <c r="D9" s="77" t="s">
        <v>126</v>
      </c>
    </row>
    <row r="10" spans="1:4" ht="128.25" customHeight="1">
      <c r="A10" s="79" t="s">
        <v>121</v>
      </c>
      <c r="B10" s="79" t="s">
        <v>121</v>
      </c>
      <c r="C10" s="80" t="s">
        <v>108</v>
      </c>
      <c r="D10" s="77" t="s">
        <v>120</v>
      </c>
    </row>
    <row r="11" spans="1:4" ht="42" customHeight="1">
      <c r="A11" s="79" t="s">
        <v>121</v>
      </c>
      <c r="B11" s="79" t="s">
        <v>121</v>
      </c>
      <c r="C11" s="80" t="s">
        <v>109</v>
      </c>
      <c r="D11" s="77" t="s">
        <v>122</v>
      </c>
    </row>
    <row r="12" spans="1:4" ht="42.75" customHeight="1">
      <c r="A12" s="79" t="s">
        <v>121</v>
      </c>
      <c r="B12" s="79" t="s">
        <v>121</v>
      </c>
      <c r="C12" s="80" t="s">
        <v>111</v>
      </c>
      <c r="D12" s="77" t="s">
        <v>123</v>
      </c>
    </row>
    <row r="13" spans="1:4" ht="33" customHeight="1">
      <c r="A13" s="79" t="s">
        <v>121</v>
      </c>
      <c r="B13" s="79" t="s">
        <v>121</v>
      </c>
      <c r="C13" s="80" t="s">
        <v>110</v>
      </c>
      <c r="D13" s="77" t="s">
        <v>129</v>
      </c>
    </row>
    <row r="14" spans="1:4" ht="33" customHeight="1">
      <c r="A14" s="79" t="s">
        <v>121</v>
      </c>
      <c r="B14" s="79" t="s">
        <v>121</v>
      </c>
      <c r="C14" s="80" t="s">
        <v>125</v>
      </c>
      <c r="D14" s="77" t="s">
        <v>124</v>
      </c>
    </row>
    <row r="15" ht="33" customHeight="1"/>
  </sheetData>
  <sheetProtection password="C626" sheet="1" objects="1" scenarios="1"/>
  <mergeCells count="2">
    <mergeCell ref="A3:D3"/>
    <mergeCell ref="A1:D1"/>
  </mergeCells>
  <printOptions horizontalCentered="1"/>
  <pageMargins left="0.26" right="0.33" top="0.5" bottom="0.47" header="0.25" footer="0.23"/>
  <pageSetup fitToHeight="1" fitToWidth="1" horizontalDpi="600" verticalDpi="600" orientation="portrait" scale="64" r:id="rId1"/>
  <headerFooter alignWithMargins="0">
    <oddHeader>&amp;C&amp;11
&amp;RPermit No:________________
&amp;"Arial,Italic"(to be assigned by DWQ)</oddHeader>
    <oddFooter>&amp;LForm SW401-Bioretention-Rev.7&amp;RPart III,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DENR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annette_lucas</dc:creator>
  <cp:keywords/>
  <dc:description/>
  <cp:lastModifiedBy>Brian Lowther</cp:lastModifiedBy>
  <cp:lastPrinted>2010-06-25T13:38:30Z</cp:lastPrinted>
  <dcterms:created xsi:type="dcterms:W3CDTF">2007-03-29T17:39:34Z</dcterms:created>
  <dcterms:modified xsi:type="dcterms:W3CDTF">2010-06-25T13:48:20Z</dcterms:modified>
  <cp:category/>
  <cp:version/>
  <cp:contentType/>
  <cp:contentStatus/>
</cp:coreProperties>
</file>