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J:\Communications Division\Drupal_Website\state_employees\statewide_accounting\statewide_financial_reporting\GASB\"/>
    </mc:Choice>
  </mc:AlternateContent>
  <xr:revisionPtr revIDLastSave="0" documentId="8_{994EC634-3BA8-4CDB-B693-32B66236F9E1}" xr6:coauthVersionLast="45" xr6:coauthVersionMax="45" xr10:uidLastSave="{00000000-0000-0000-0000-000000000000}"/>
  <workbookProtection workbookAlgorithmName="SHA-512" workbookHashValue="jKzcvpNC8uECrE+vMcNaBDIAwB9C2qwN0KPHEMjTWWcw0u5TSfGzFq8oSvWMjMc1Fe/86Ad3d9NfYGzJdOVrSQ==" workbookSaltValue="IFXfcdvUZ5kamBiUIeWEGw==" workbookSpinCount="100000" lockStructure="1"/>
  <bookViews>
    <workbookView xWindow="-28920" yWindow="-120" windowWidth="29040" windowHeight="15840" tabRatio="824" xr2:uid="{00000000-000D-0000-FFFF-FFFF00000000}"/>
  </bookViews>
  <sheets>
    <sheet name="Info" sheetId="5" r:id="rId1"/>
    <sheet name="Detail" sheetId="1" r:id="rId2"/>
    <sheet name="Summary" sheetId="2" r:id="rId3"/>
    <sheet name="Disclosures" sheetId="3" r:id="rId4"/>
    <sheet name="Data" sheetId="4" state="hidden" r:id="rId5"/>
    <sheet name="ER Contributions" sheetId="6" state="hidden" r:id="rId6"/>
    <sheet name="75 - Summary Exhibit" sheetId="9" state="hidden" r:id="rId7"/>
    <sheet name="75- Deferred Amortization" sheetId="10" state="hidden" r:id="rId8"/>
  </sheets>
  <definedNames>
    <definedName name="_xlnm.Print_Area" localSheetId="6">'75 - Summary Exhibit'!$A$1:$N$3</definedName>
    <definedName name="_xlnm.Print_Area" localSheetId="1">Detail!$A$1:$G$62</definedName>
    <definedName name="_xlnm.Print_Area" localSheetId="3">Disclosures!$A$6:$J$75</definedName>
    <definedName name="_xlnm.Print_Area" localSheetId="2">Summary!$A$1:$I$22</definedName>
    <definedName name="_xlnm.Print_Titles" localSheetId="7">'75- Deferred Amortization'!$2:$3</definedName>
    <definedName name="_xlnm.Print_Titles" localSheetId="3">Disclosures!$1:$4</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3" i="10" l="1"/>
  <c r="E313" i="10"/>
  <c r="F313" i="10"/>
  <c r="G313" i="10"/>
  <c r="H313" i="10"/>
  <c r="C313" i="10"/>
  <c r="N311" i="9" l="1"/>
  <c r="D312" i="9"/>
  <c r="E312" i="9"/>
  <c r="F312" i="9"/>
  <c r="G312" i="9"/>
  <c r="H312" i="9"/>
  <c r="I312" i="9"/>
  <c r="J312" i="9"/>
  <c r="K312" i="9"/>
  <c r="L312" i="9"/>
  <c r="M312" i="9"/>
  <c r="C312" i="9"/>
  <c r="I5" i="4" l="1"/>
  <c r="N65" i="9" l="1"/>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95" i="9"/>
  <c r="N96" i="9"/>
  <c r="N97" i="9"/>
  <c r="N98" i="9"/>
  <c r="N99" i="9"/>
  <c r="N100" i="9"/>
  <c r="N101" i="9"/>
  <c r="N102" i="9"/>
  <c r="N103" i="9"/>
  <c r="N104" i="9"/>
  <c r="N105" i="9"/>
  <c r="N106" i="9"/>
  <c r="N107" i="9"/>
  <c r="N108" i="9"/>
  <c r="N109" i="9"/>
  <c r="N110" i="9"/>
  <c r="N111" i="9"/>
  <c r="N112" i="9"/>
  <c r="N113" i="9"/>
  <c r="N114" i="9"/>
  <c r="N115" i="9"/>
  <c r="N116" i="9"/>
  <c r="N117" i="9"/>
  <c r="N118" i="9"/>
  <c r="N119" i="9"/>
  <c r="N120" i="9"/>
  <c r="N121" i="9"/>
  <c r="N122" i="9"/>
  <c r="N123" i="9"/>
  <c r="N124" i="9"/>
  <c r="N125" i="9"/>
  <c r="N126" i="9"/>
  <c r="N127" i="9"/>
  <c r="N128" i="9"/>
  <c r="N129" i="9"/>
  <c r="N130" i="9"/>
  <c r="N131" i="9"/>
  <c r="N132" i="9"/>
  <c r="N133" i="9"/>
  <c r="N134" i="9"/>
  <c r="N135" i="9"/>
  <c r="N136" i="9"/>
  <c r="N137" i="9"/>
  <c r="N138" i="9"/>
  <c r="N139" i="9"/>
  <c r="N140" i="9"/>
  <c r="N141" i="9"/>
  <c r="N142" i="9"/>
  <c r="N143" i="9"/>
  <c r="N144" i="9"/>
  <c r="N145" i="9"/>
  <c r="N146" i="9"/>
  <c r="N147" i="9"/>
  <c r="N148" i="9"/>
  <c r="N149" i="9"/>
  <c r="N150" i="9"/>
  <c r="N151" i="9"/>
  <c r="N152" i="9"/>
  <c r="N153" i="9"/>
  <c r="N154" i="9"/>
  <c r="N155" i="9"/>
  <c r="N156" i="9"/>
  <c r="N157" i="9"/>
  <c r="N158" i="9"/>
  <c r="N159" i="9"/>
  <c r="N160" i="9"/>
  <c r="N161" i="9"/>
  <c r="N162" i="9"/>
  <c r="N163" i="9"/>
  <c r="N164" i="9"/>
  <c r="N165" i="9"/>
  <c r="N166" i="9"/>
  <c r="N167" i="9"/>
  <c r="N168" i="9"/>
  <c r="N169" i="9"/>
  <c r="N170" i="9"/>
  <c r="N171" i="9"/>
  <c r="N172" i="9"/>
  <c r="N173" i="9"/>
  <c r="N174" i="9"/>
  <c r="N175" i="9"/>
  <c r="N176" i="9"/>
  <c r="N177" i="9"/>
  <c r="N178" i="9"/>
  <c r="N179" i="9"/>
  <c r="N180" i="9"/>
  <c r="N181"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10" i="9"/>
  <c r="N211" i="9"/>
  <c r="N212" i="9"/>
  <c r="N213" i="9"/>
  <c r="N214" i="9"/>
  <c r="N215" i="9"/>
  <c r="N216" i="9"/>
  <c r="N217" i="9"/>
  <c r="N218" i="9"/>
  <c r="N219" i="9"/>
  <c r="N220" i="9"/>
  <c r="N221" i="9"/>
  <c r="N222" i="9"/>
  <c r="N223" i="9"/>
  <c r="N224" i="9"/>
  <c r="N225" i="9"/>
  <c r="N226" i="9"/>
  <c r="N227" i="9"/>
  <c r="N228" i="9"/>
  <c r="N229" i="9"/>
  <c r="N230" i="9"/>
  <c r="N231" i="9"/>
  <c r="N232" i="9"/>
  <c r="N233" i="9"/>
  <c r="N234" i="9"/>
  <c r="N235" i="9"/>
  <c r="N236" i="9"/>
  <c r="N237" i="9"/>
  <c r="N238" i="9"/>
  <c r="N239" i="9"/>
  <c r="N240" i="9"/>
  <c r="N241" i="9"/>
  <c r="N242" i="9"/>
  <c r="N243" i="9"/>
  <c r="N244" i="9"/>
  <c r="N245" i="9"/>
  <c r="N246" i="9"/>
  <c r="N247" i="9"/>
  <c r="N248" i="9"/>
  <c r="N249" i="9"/>
  <c r="N250" i="9"/>
  <c r="N251" i="9"/>
  <c r="N252" i="9"/>
  <c r="N253" i="9"/>
  <c r="N254" i="9"/>
  <c r="N255" i="9"/>
  <c r="N256" i="9"/>
  <c r="N257" i="9"/>
  <c r="N258" i="9"/>
  <c r="N259" i="9"/>
  <c r="N260" i="9"/>
  <c r="N261" i="9"/>
  <c r="N262" i="9"/>
  <c r="N263" i="9"/>
  <c r="N264" i="9"/>
  <c r="N265" i="9"/>
  <c r="N266" i="9"/>
  <c r="N267" i="9"/>
  <c r="N268" i="9"/>
  <c r="N269" i="9"/>
  <c r="N270" i="9"/>
  <c r="N271" i="9"/>
  <c r="N272" i="9"/>
  <c r="N273" i="9"/>
  <c r="N274" i="9"/>
  <c r="N275" i="9"/>
  <c r="N276" i="9"/>
  <c r="N277" i="9"/>
  <c r="N278" i="9"/>
  <c r="N279" i="9"/>
  <c r="N280" i="9"/>
  <c r="N281" i="9"/>
  <c r="N282" i="9"/>
  <c r="N283" i="9"/>
  <c r="N284" i="9"/>
  <c r="N285" i="9"/>
  <c r="N286" i="9"/>
  <c r="N287" i="9"/>
  <c r="N288" i="9"/>
  <c r="N289" i="9"/>
  <c r="N290" i="9"/>
  <c r="N291" i="9"/>
  <c r="N292" i="9"/>
  <c r="N293" i="9"/>
  <c r="N294" i="9"/>
  <c r="N295" i="9"/>
  <c r="N296" i="9"/>
  <c r="N297" i="9"/>
  <c r="N298" i="9"/>
  <c r="N299" i="9"/>
  <c r="N300" i="9"/>
  <c r="N301" i="9"/>
  <c r="N302" i="9"/>
  <c r="N303" i="9"/>
  <c r="N304" i="9"/>
  <c r="N305" i="9"/>
  <c r="N306" i="9"/>
  <c r="N307" i="9"/>
  <c r="N308" i="9"/>
  <c r="N309" i="9"/>
  <c r="N310" i="9"/>
  <c r="N64" i="9"/>
  <c r="N59" i="9"/>
  <c r="N60" i="9"/>
  <c r="N61" i="9"/>
  <c r="N62" i="9"/>
  <c r="N63" i="9"/>
  <c r="N58" i="9"/>
  <c r="N53" i="9"/>
  <c r="N54" i="9"/>
  <c r="N55" i="9"/>
  <c r="N56" i="9"/>
  <c r="N57" i="9"/>
  <c r="N52" i="9"/>
  <c r="N47" i="9"/>
  <c r="N48" i="9"/>
  <c r="N49" i="9"/>
  <c r="N50" i="9"/>
  <c r="N51" i="9"/>
  <c r="N46" i="9"/>
  <c r="N41" i="9"/>
  <c r="N42" i="9"/>
  <c r="N43" i="9"/>
  <c r="N44" i="9"/>
  <c r="N45" i="9"/>
  <c r="N40" i="9"/>
  <c r="N35" i="9"/>
  <c r="N36" i="9"/>
  <c r="N37" i="9"/>
  <c r="N38" i="9"/>
  <c r="N39" i="9"/>
  <c r="N34" i="9"/>
  <c r="N29" i="9"/>
  <c r="N30" i="9"/>
  <c r="N31" i="9"/>
  <c r="N32" i="9"/>
  <c r="N33" i="9"/>
  <c r="N28" i="9"/>
  <c r="N23" i="9"/>
  <c r="N24" i="9"/>
  <c r="N25" i="9"/>
  <c r="N26" i="9"/>
  <c r="N27" i="9"/>
  <c r="N22" i="9"/>
  <c r="N17" i="9"/>
  <c r="N18" i="9"/>
  <c r="N19" i="9"/>
  <c r="N20" i="9"/>
  <c r="N21" i="9"/>
  <c r="N16" i="9"/>
  <c r="N11" i="9"/>
  <c r="N12" i="9"/>
  <c r="N13" i="9"/>
  <c r="N14" i="9"/>
  <c r="N15" i="9"/>
  <c r="N10" i="9"/>
  <c r="N5" i="9"/>
  <c r="N6" i="9"/>
  <c r="N7" i="9"/>
  <c r="N8" i="9"/>
  <c r="N9" i="9"/>
  <c r="N4" i="9"/>
  <c r="N312" i="9" l="1"/>
  <c r="D309" i="6"/>
  <c r="C309" i="6" l="1"/>
  <c r="U5" i="4" l="1"/>
  <c r="T5" i="4"/>
  <c r="S5" i="4"/>
  <c r="R5" i="4"/>
  <c r="Q5" i="4"/>
  <c r="O5" i="4"/>
  <c r="N5" i="4"/>
  <c r="M5" i="4"/>
  <c r="J5" i="4"/>
  <c r="H5" i="4"/>
  <c r="AQ5" i="4" s="1"/>
  <c r="G5" i="4"/>
  <c r="AT5" i="4" s="1"/>
  <c r="E5" i="4"/>
  <c r="AS5" i="4" l="1"/>
  <c r="AN5" i="4"/>
  <c r="AP5" i="4"/>
  <c r="C5" i="4"/>
  <c r="H57" i="1" l="1"/>
  <c r="Q81" i="4" l="1"/>
  <c r="R81" i="4"/>
  <c r="S81" i="4"/>
  <c r="T81" i="4"/>
  <c r="U81" i="4"/>
  <c r="Q82" i="4"/>
  <c r="R82" i="4"/>
  <c r="S82" i="4"/>
  <c r="T82" i="4"/>
  <c r="U82" i="4"/>
  <c r="Q83" i="4"/>
  <c r="R83" i="4"/>
  <c r="S83" i="4"/>
  <c r="T83" i="4"/>
  <c r="U83" i="4"/>
  <c r="Q84" i="4"/>
  <c r="R84" i="4"/>
  <c r="S84" i="4"/>
  <c r="T84" i="4"/>
  <c r="U84" i="4"/>
  <c r="Q85" i="4"/>
  <c r="R85" i="4"/>
  <c r="S85" i="4"/>
  <c r="T85" i="4"/>
  <c r="U85" i="4"/>
  <c r="O81" i="4"/>
  <c r="O82" i="4"/>
  <c r="O83" i="4"/>
  <c r="O84" i="4"/>
  <c r="O85" i="4"/>
  <c r="C81" i="4"/>
  <c r="D81" i="4"/>
  <c r="E81" i="4"/>
  <c r="F81" i="4"/>
  <c r="G81" i="4"/>
  <c r="AT81" i="4" s="1"/>
  <c r="H81" i="4"/>
  <c r="AQ81" i="4" s="1"/>
  <c r="I81" i="4"/>
  <c r="J81" i="4"/>
  <c r="AP81" i="4" s="1"/>
  <c r="K81" i="4"/>
  <c r="AU81" i="4" s="1"/>
  <c r="L81" i="4"/>
  <c r="AR81" i="4" s="1"/>
  <c r="M81" i="4"/>
  <c r="N81" i="4"/>
  <c r="P81" i="4" s="1"/>
  <c r="C82" i="4"/>
  <c r="D82" i="4"/>
  <c r="E82" i="4"/>
  <c r="AS82" i="4" s="1"/>
  <c r="F82" i="4"/>
  <c r="G82" i="4"/>
  <c r="AT82" i="4" s="1"/>
  <c r="H82" i="4"/>
  <c r="AQ82" i="4" s="1"/>
  <c r="I82" i="4"/>
  <c r="J82" i="4"/>
  <c r="AP82" i="4" s="1"/>
  <c r="K82" i="4"/>
  <c r="AU82" i="4" s="1"/>
  <c r="L82" i="4"/>
  <c r="AR82" i="4" s="1"/>
  <c r="M82" i="4"/>
  <c r="N82" i="4"/>
  <c r="C83" i="4"/>
  <c r="D83" i="4"/>
  <c r="E83" i="4"/>
  <c r="AS83" i="4" s="1"/>
  <c r="F83" i="4"/>
  <c r="G83" i="4"/>
  <c r="AT83" i="4" s="1"/>
  <c r="H83" i="4"/>
  <c r="AQ83" i="4" s="1"/>
  <c r="I83" i="4"/>
  <c r="J83" i="4"/>
  <c r="AP83" i="4" s="1"/>
  <c r="K83" i="4"/>
  <c r="AU83" i="4" s="1"/>
  <c r="L83" i="4"/>
  <c r="AR83" i="4" s="1"/>
  <c r="M83" i="4"/>
  <c r="N83" i="4"/>
  <c r="C84" i="4"/>
  <c r="D84" i="4"/>
  <c r="E84" i="4"/>
  <c r="AS84" i="4" s="1"/>
  <c r="F84" i="4"/>
  <c r="G84" i="4"/>
  <c r="AT84" i="4" s="1"/>
  <c r="H84" i="4"/>
  <c r="AQ84" i="4" s="1"/>
  <c r="I84" i="4"/>
  <c r="J84" i="4"/>
  <c r="AP84" i="4" s="1"/>
  <c r="K84" i="4"/>
  <c r="AU84" i="4" s="1"/>
  <c r="L84" i="4"/>
  <c r="AR84" i="4" s="1"/>
  <c r="M84" i="4"/>
  <c r="N84" i="4"/>
  <c r="C85" i="4"/>
  <c r="D85" i="4"/>
  <c r="E85" i="4"/>
  <c r="AS85" i="4" s="1"/>
  <c r="F85" i="4"/>
  <c r="G85" i="4"/>
  <c r="AT85" i="4" s="1"/>
  <c r="H85" i="4"/>
  <c r="AQ85" i="4" s="1"/>
  <c r="I85" i="4"/>
  <c r="J85" i="4"/>
  <c r="AP85" i="4" s="1"/>
  <c r="K85" i="4"/>
  <c r="AU85" i="4" s="1"/>
  <c r="L85" i="4"/>
  <c r="AR85" i="4" s="1"/>
  <c r="M85" i="4"/>
  <c r="N85" i="4"/>
  <c r="V81" i="4" l="1"/>
  <c r="P85" i="4"/>
  <c r="V85" i="4" s="1"/>
  <c r="AS81" i="4"/>
  <c r="AO85" i="4"/>
  <c r="AO83" i="4"/>
  <c r="AO81" i="4"/>
  <c r="AO84" i="4"/>
  <c r="AO82" i="4"/>
  <c r="P84" i="4"/>
  <c r="V84" i="4" s="1"/>
  <c r="P83" i="4"/>
  <c r="V83" i="4" s="1"/>
  <c r="P82" i="4"/>
  <c r="V82" i="4" s="1"/>
  <c r="W85" i="4"/>
  <c r="W84" i="4"/>
  <c r="W82" i="4"/>
  <c r="W83" i="4"/>
  <c r="W81" i="4"/>
  <c r="D25" i="3" l="1"/>
  <c r="B10" i="5" l="1"/>
  <c r="C51" i="1" l="1"/>
  <c r="C42" i="1"/>
  <c r="C50" i="1"/>
  <c r="C13" i="2"/>
  <c r="C47" i="1"/>
  <c r="C32" i="1"/>
  <c r="C36" i="1"/>
  <c r="C45" i="1"/>
  <c r="C39" i="1"/>
  <c r="C34" i="1"/>
  <c r="C14" i="2"/>
  <c r="C15" i="2"/>
  <c r="C28" i="1"/>
  <c r="C27" i="1"/>
  <c r="C25" i="1"/>
  <c r="C26" i="1"/>
  <c r="Q57" i="4"/>
  <c r="R57" i="4"/>
  <c r="S57" i="4"/>
  <c r="T57" i="4"/>
  <c r="U57" i="4"/>
  <c r="Q58" i="4"/>
  <c r="R58" i="4"/>
  <c r="S58" i="4"/>
  <c r="T58" i="4"/>
  <c r="U58" i="4"/>
  <c r="Q59" i="4"/>
  <c r="R59" i="4"/>
  <c r="S59" i="4"/>
  <c r="T59" i="4"/>
  <c r="U59" i="4"/>
  <c r="Q60" i="4"/>
  <c r="R60" i="4"/>
  <c r="S60" i="4"/>
  <c r="T60" i="4"/>
  <c r="U60" i="4"/>
  <c r="Q61" i="4"/>
  <c r="R61" i="4"/>
  <c r="S61" i="4"/>
  <c r="T61" i="4"/>
  <c r="U61" i="4"/>
  <c r="Q62" i="4"/>
  <c r="R62" i="4"/>
  <c r="S62" i="4"/>
  <c r="T62" i="4"/>
  <c r="U62" i="4"/>
  <c r="Q63" i="4"/>
  <c r="R63" i="4"/>
  <c r="S63" i="4"/>
  <c r="T63" i="4"/>
  <c r="U63" i="4"/>
  <c r="Q64" i="4"/>
  <c r="R64" i="4"/>
  <c r="S64" i="4"/>
  <c r="T64" i="4"/>
  <c r="U64" i="4"/>
  <c r="Q65" i="4"/>
  <c r="R65" i="4"/>
  <c r="S65" i="4"/>
  <c r="T65" i="4"/>
  <c r="U65" i="4"/>
  <c r="Q66" i="4"/>
  <c r="R66" i="4"/>
  <c r="S66" i="4"/>
  <c r="T66" i="4"/>
  <c r="U66" i="4"/>
  <c r="Q67" i="4"/>
  <c r="R67" i="4"/>
  <c r="S67" i="4"/>
  <c r="T67" i="4"/>
  <c r="U67" i="4"/>
  <c r="Q68" i="4"/>
  <c r="R68" i="4"/>
  <c r="S68" i="4"/>
  <c r="T68" i="4"/>
  <c r="U68" i="4"/>
  <c r="Q69" i="4"/>
  <c r="R69" i="4"/>
  <c r="S69" i="4"/>
  <c r="T69" i="4"/>
  <c r="U69" i="4"/>
  <c r="Q70" i="4"/>
  <c r="R70" i="4"/>
  <c r="S70" i="4"/>
  <c r="T70" i="4"/>
  <c r="U70" i="4"/>
  <c r="Q71" i="4"/>
  <c r="R71" i="4"/>
  <c r="S71" i="4"/>
  <c r="T71" i="4"/>
  <c r="U71" i="4"/>
  <c r="Q72" i="4"/>
  <c r="R72" i="4"/>
  <c r="S72" i="4"/>
  <c r="T72" i="4"/>
  <c r="U72" i="4"/>
  <c r="Q73" i="4"/>
  <c r="R73" i="4"/>
  <c r="S73" i="4"/>
  <c r="T73" i="4"/>
  <c r="U73" i="4"/>
  <c r="Q74" i="4"/>
  <c r="R74" i="4"/>
  <c r="S74" i="4"/>
  <c r="T74" i="4"/>
  <c r="U74" i="4"/>
  <c r="Q75" i="4"/>
  <c r="R75" i="4"/>
  <c r="S75" i="4"/>
  <c r="T75" i="4"/>
  <c r="U75" i="4"/>
  <c r="Q76" i="4"/>
  <c r="R76" i="4"/>
  <c r="S76" i="4"/>
  <c r="T76" i="4"/>
  <c r="U76" i="4"/>
  <c r="Q77" i="4"/>
  <c r="R77" i="4"/>
  <c r="S77" i="4"/>
  <c r="T77" i="4"/>
  <c r="U77" i="4"/>
  <c r="Q78" i="4"/>
  <c r="R78" i="4"/>
  <c r="S78" i="4"/>
  <c r="T78" i="4"/>
  <c r="U78" i="4"/>
  <c r="Q79" i="4"/>
  <c r="R79" i="4"/>
  <c r="S79" i="4"/>
  <c r="T79" i="4"/>
  <c r="U79" i="4"/>
  <c r="Q80" i="4"/>
  <c r="R80" i="4"/>
  <c r="S80" i="4"/>
  <c r="T80" i="4"/>
  <c r="U80" i="4"/>
  <c r="Q31" i="4"/>
  <c r="R31" i="4"/>
  <c r="S31" i="4"/>
  <c r="T31" i="4"/>
  <c r="U31" i="4"/>
  <c r="Q32" i="4"/>
  <c r="R32" i="4"/>
  <c r="S32" i="4"/>
  <c r="T32" i="4"/>
  <c r="U32" i="4"/>
  <c r="Q33" i="4"/>
  <c r="R33" i="4"/>
  <c r="S33" i="4"/>
  <c r="T33" i="4"/>
  <c r="U33" i="4"/>
  <c r="Q34" i="4"/>
  <c r="R34" i="4"/>
  <c r="S34" i="4"/>
  <c r="T34" i="4"/>
  <c r="U34" i="4"/>
  <c r="Q35" i="4"/>
  <c r="R35" i="4"/>
  <c r="S35" i="4"/>
  <c r="T35" i="4"/>
  <c r="U35" i="4"/>
  <c r="Q36" i="4"/>
  <c r="R36" i="4"/>
  <c r="S36" i="4"/>
  <c r="T36" i="4"/>
  <c r="U36" i="4"/>
  <c r="Q37" i="4"/>
  <c r="R37" i="4"/>
  <c r="S37" i="4"/>
  <c r="T37" i="4"/>
  <c r="U37" i="4"/>
  <c r="Q38" i="4"/>
  <c r="R38" i="4"/>
  <c r="S38" i="4"/>
  <c r="T38" i="4"/>
  <c r="U38" i="4"/>
  <c r="Q39" i="4"/>
  <c r="R39" i="4"/>
  <c r="S39" i="4"/>
  <c r="T39" i="4"/>
  <c r="U39" i="4"/>
  <c r="Q40" i="4"/>
  <c r="R40" i="4"/>
  <c r="S40" i="4"/>
  <c r="T40" i="4"/>
  <c r="U40" i="4"/>
  <c r="Q41" i="4"/>
  <c r="R41" i="4"/>
  <c r="S41" i="4"/>
  <c r="T41" i="4"/>
  <c r="U41" i="4"/>
  <c r="Q42" i="4"/>
  <c r="R42" i="4"/>
  <c r="S42" i="4"/>
  <c r="T42" i="4"/>
  <c r="U42" i="4"/>
  <c r="Q43" i="4"/>
  <c r="R43" i="4"/>
  <c r="S43" i="4"/>
  <c r="T43" i="4"/>
  <c r="U43" i="4"/>
  <c r="Q44" i="4"/>
  <c r="R44" i="4"/>
  <c r="S44" i="4"/>
  <c r="T44" i="4"/>
  <c r="U44" i="4"/>
  <c r="Q45" i="4"/>
  <c r="R45" i="4"/>
  <c r="S45" i="4"/>
  <c r="T45" i="4"/>
  <c r="U45" i="4"/>
  <c r="Q46" i="4"/>
  <c r="R46" i="4"/>
  <c r="S46" i="4"/>
  <c r="T46" i="4"/>
  <c r="U46" i="4"/>
  <c r="Q47" i="4"/>
  <c r="R47" i="4"/>
  <c r="S47" i="4"/>
  <c r="T47" i="4"/>
  <c r="U47" i="4"/>
  <c r="Q48" i="4"/>
  <c r="R48" i="4"/>
  <c r="S48" i="4"/>
  <c r="T48" i="4"/>
  <c r="U48" i="4"/>
  <c r="Q49" i="4"/>
  <c r="R49" i="4"/>
  <c r="S49" i="4"/>
  <c r="T49" i="4"/>
  <c r="U49" i="4"/>
  <c r="Q50" i="4"/>
  <c r="R50" i="4"/>
  <c r="S50" i="4"/>
  <c r="T50" i="4"/>
  <c r="U50" i="4"/>
  <c r="Q51" i="4"/>
  <c r="R51" i="4"/>
  <c r="S51" i="4"/>
  <c r="T51" i="4"/>
  <c r="U51" i="4"/>
  <c r="Q52" i="4"/>
  <c r="R52" i="4"/>
  <c r="S52" i="4"/>
  <c r="T52" i="4"/>
  <c r="U52" i="4"/>
  <c r="Q53" i="4"/>
  <c r="R53" i="4"/>
  <c r="S53" i="4"/>
  <c r="T53" i="4"/>
  <c r="U53" i="4"/>
  <c r="Q54" i="4"/>
  <c r="R54" i="4"/>
  <c r="S54" i="4"/>
  <c r="T54" i="4"/>
  <c r="U54" i="4"/>
  <c r="Q55" i="4"/>
  <c r="R55" i="4"/>
  <c r="S55" i="4"/>
  <c r="T55" i="4"/>
  <c r="U55" i="4"/>
  <c r="Q56" i="4"/>
  <c r="R56" i="4"/>
  <c r="S56" i="4"/>
  <c r="T56" i="4"/>
  <c r="U56" i="4"/>
  <c r="Q6" i="4"/>
  <c r="R6" i="4"/>
  <c r="S6" i="4"/>
  <c r="T6" i="4"/>
  <c r="U6" i="4"/>
  <c r="Q7" i="4"/>
  <c r="R7" i="4"/>
  <c r="S7" i="4"/>
  <c r="T7" i="4"/>
  <c r="U7" i="4"/>
  <c r="Q8" i="4"/>
  <c r="R8" i="4"/>
  <c r="S8" i="4"/>
  <c r="T8" i="4"/>
  <c r="U8" i="4"/>
  <c r="Q9" i="4"/>
  <c r="R9" i="4"/>
  <c r="S9" i="4"/>
  <c r="T9" i="4"/>
  <c r="U9" i="4"/>
  <c r="Q10" i="4"/>
  <c r="R10" i="4"/>
  <c r="S10" i="4"/>
  <c r="T10" i="4"/>
  <c r="U10" i="4"/>
  <c r="Q11" i="4"/>
  <c r="R11" i="4"/>
  <c r="S11" i="4"/>
  <c r="T11" i="4"/>
  <c r="U11" i="4"/>
  <c r="Q12" i="4"/>
  <c r="R12" i="4"/>
  <c r="S12" i="4"/>
  <c r="T12" i="4"/>
  <c r="U12" i="4"/>
  <c r="Q13" i="4"/>
  <c r="R13" i="4"/>
  <c r="S13" i="4"/>
  <c r="T13" i="4"/>
  <c r="U13" i="4"/>
  <c r="Q14" i="4"/>
  <c r="R14" i="4"/>
  <c r="S14" i="4"/>
  <c r="T14" i="4"/>
  <c r="U14" i="4"/>
  <c r="Q15" i="4"/>
  <c r="R15" i="4"/>
  <c r="S15" i="4"/>
  <c r="T15" i="4"/>
  <c r="U15" i="4"/>
  <c r="Q16" i="4"/>
  <c r="R16" i="4"/>
  <c r="S16" i="4"/>
  <c r="T16" i="4"/>
  <c r="U16" i="4"/>
  <c r="Q17" i="4"/>
  <c r="R17" i="4"/>
  <c r="S17" i="4"/>
  <c r="T17" i="4"/>
  <c r="U17" i="4"/>
  <c r="Q18" i="4"/>
  <c r="R18" i="4"/>
  <c r="S18" i="4"/>
  <c r="T18" i="4"/>
  <c r="U18" i="4"/>
  <c r="Q19" i="4"/>
  <c r="R19" i="4"/>
  <c r="S19" i="4"/>
  <c r="T19" i="4"/>
  <c r="U19" i="4"/>
  <c r="Q20" i="4"/>
  <c r="R20" i="4"/>
  <c r="S20" i="4"/>
  <c r="T20" i="4"/>
  <c r="U20" i="4"/>
  <c r="Q21" i="4"/>
  <c r="R21" i="4"/>
  <c r="S21" i="4"/>
  <c r="T21" i="4"/>
  <c r="U21" i="4"/>
  <c r="Q22" i="4"/>
  <c r="R22" i="4"/>
  <c r="S22" i="4"/>
  <c r="T22" i="4"/>
  <c r="U22" i="4"/>
  <c r="Q23" i="4"/>
  <c r="R23" i="4"/>
  <c r="S23" i="4"/>
  <c r="T23" i="4"/>
  <c r="U23" i="4"/>
  <c r="Q24" i="4"/>
  <c r="R24" i="4"/>
  <c r="S24" i="4"/>
  <c r="T24" i="4"/>
  <c r="U24" i="4"/>
  <c r="Q25" i="4"/>
  <c r="R25" i="4"/>
  <c r="S25" i="4"/>
  <c r="T25" i="4"/>
  <c r="U25" i="4"/>
  <c r="Q26" i="4"/>
  <c r="R26" i="4"/>
  <c r="S26" i="4"/>
  <c r="T26" i="4"/>
  <c r="U26" i="4"/>
  <c r="Q27" i="4"/>
  <c r="R27" i="4"/>
  <c r="S27" i="4"/>
  <c r="T27" i="4"/>
  <c r="U27" i="4"/>
  <c r="Q28" i="4"/>
  <c r="R28" i="4"/>
  <c r="S28" i="4"/>
  <c r="T28" i="4"/>
  <c r="U28" i="4"/>
  <c r="Q29" i="4"/>
  <c r="R29" i="4"/>
  <c r="S29" i="4"/>
  <c r="T29" i="4"/>
  <c r="U29" i="4"/>
  <c r="Q30" i="4"/>
  <c r="R30" i="4"/>
  <c r="S30" i="4"/>
  <c r="T30" i="4"/>
  <c r="U30" i="4"/>
  <c r="C74" i="4"/>
  <c r="D74" i="4"/>
  <c r="E74" i="4"/>
  <c r="F74" i="4"/>
  <c r="G74" i="4"/>
  <c r="AT74" i="4" s="1"/>
  <c r="H74" i="4"/>
  <c r="AQ74" i="4" s="1"/>
  <c r="I74" i="4"/>
  <c r="AM74" i="4" s="1"/>
  <c r="J74" i="4"/>
  <c r="AP74" i="4" s="1"/>
  <c r="K74" i="4"/>
  <c r="AU74" i="4" s="1"/>
  <c r="L74" i="4"/>
  <c r="AR74" i="4" s="1"/>
  <c r="M74" i="4"/>
  <c r="AN74" i="4" s="1"/>
  <c r="N74" i="4"/>
  <c r="O74" i="4"/>
  <c r="C75" i="4"/>
  <c r="D75" i="4"/>
  <c r="E75" i="4"/>
  <c r="F75" i="4"/>
  <c r="G75" i="4"/>
  <c r="AT75" i="4" s="1"/>
  <c r="H75" i="4"/>
  <c r="AQ75" i="4" s="1"/>
  <c r="I75" i="4"/>
  <c r="AM75" i="4" s="1"/>
  <c r="J75" i="4"/>
  <c r="AP75" i="4" s="1"/>
  <c r="K75" i="4"/>
  <c r="AU75" i="4" s="1"/>
  <c r="L75" i="4"/>
  <c r="AR75" i="4" s="1"/>
  <c r="M75" i="4"/>
  <c r="AN75" i="4" s="1"/>
  <c r="N75" i="4"/>
  <c r="O75" i="4"/>
  <c r="C76" i="4"/>
  <c r="D76" i="4"/>
  <c r="E76" i="4"/>
  <c r="F76" i="4"/>
  <c r="G76" i="4"/>
  <c r="AT76" i="4" s="1"/>
  <c r="H76" i="4"/>
  <c r="AQ76" i="4" s="1"/>
  <c r="I76" i="4"/>
  <c r="AM76" i="4" s="1"/>
  <c r="J76" i="4"/>
  <c r="AP76" i="4" s="1"/>
  <c r="K76" i="4"/>
  <c r="AU76" i="4" s="1"/>
  <c r="L76" i="4"/>
  <c r="AR76" i="4" s="1"/>
  <c r="M76" i="4"/>
  <c r="AN76" i="4" s="1"/>
  <c r="N76" i="4"/>
  <c r="O76" i="4"/>
  <c r="C77" i="4"/>
  <c r="D77" i="4"/>
  <c r="E77" i="4"/>
  <c r="F77" i="4"/>
  <c r="G77" i="4"/>
  <c r="AT77" i="4" s="1"/>
  <c r="H77" i="4"/>
  <c r="AQ77" i="4" s="1"/>
  <c r="I77" i="4"/>
  <c r="AM77" i="4" s="1"/>
  <c r="J77" i="4"/>
  <c r="AP77" i="4" s="1"/>
  <c r="K77" i="4"/>
  <c r="AU77" i="4" s="1"/>
  <c r="L77" i="4"/>
  <c r="AR77" i="4" s="1"/>
  <c r="M77" i="4"/>
  <c r="AN77" i="4" s="1"/>
  <c r="N77" i="4"/>
  <c r="O77" i="4"/>
  <c r="C78" i="4"/>
  <c r="D78" i="4"/>
  <c r="E78" i="4"/>
  <c r="F78" i="4"/>
  <c r="G78" i="4"/>
  <c r="AT78" i="4" s="1"/>
  <c r="H78" i="4"/>
  <c r="AQ78" i="4" s="1"/>
  <c r="I78" i="4"/>
  <c r="AM78" i="4" s="1"/>
  <c r="J78" i="4"/>
  <c r="AP78" i="4" s="1"/>
  <c r="K78" i="4"/>
  <c r="AU78" i="4" s="1"/>
  <c r="L78" i="4"/>
  <c r="AR78" i="4" s="1"/>
  <c r="M78" i="4"/>
  <c r="AN78" i="4" s="1"/>
  <c r="N78" i="4"/>
  <c r="O78" i="4"/>
  <c r="C79" i="4"/>
  <c r="D79" i="4"/>
  <c r="E79" i="4"/>
  <c r="F79" i="4"/>
  <c r="G79" i="4"/>
  <c r="AT79" i="4" s="1"/>
  <c r="H79" i="4"/>
  <c r="AQ79" i="4" s="1"/>
  <c r="I79" i="4"/>
  <c r="AM79" i="4" s="1"/>
  <c r="J79" i="4"/>
  <c r="AP79" i="4" s="1"/>
  <c r="K79" i="4"/>
  <c r="AU79" i="4" s="1"/>
  <c r="L79" i="4"/>
  <c r="AR79" i="4" s="1"/>
  <c r="M79" i="4"/>
  <c r="AN79" i="4" s="1"/>
  <c r="N79" i="4"/>
  <c r="O79" i="4"/>
  <c r="C80" i="4"/>
  <c r="D80" i="4"/>
  <c r="E80" i="4"/>
  <c r="F80" i="4"/>
  <c r="G80" i="4"/>
  <c r="AT80" i="4" s="1"/>
  <c r="H80" i="4"/>
  <c r="AQ80" i="4" s="1"/>
  <c r="I80" i="4"/>
  <c r="AM80" i="4" s="1"/>
  <c r="J80" i="4"/>
  <c r="AP80" i="4" s="1"/>
  <c r="K80" i="4"/>
  <c r="AU80" i="4" s="1"/>
  <c r="L80" i="4"/>
  <c r="AR80" i="4" s="1"/>
  <c r="M80" i="4"/>
  <c r="AN80" i="4" s="1"/>
  <c r="N80" i="4"/>
  <c r="O80" i="4"/>
  <c r="C53" i="4"/>
  <c r="D53" i="4"/>
  <c r="E53" i="4"/>
  <c r="F53" i="4"/>
  <c r="G53" i="4"/>
  <c r="AT53" i="4" s="1"/>
  <c r="H53" i="4"/>
  <c r="AQ53" i="4" s="1"/>
  <c r="I53" i="4"/>
  <c r="AM53" i="4" s="1"/>
  <c r="J53" i="4"/>
  <c r="AP53" i="4" s="1"/>
  <c r="K53" i="4"/>
  <c r="AU53" i="4" s="1"/>
  <c r="L53" i="4"/>
  <c r="AR53" i="4" s="1"/>
  <c r="M53" i="4"/>
  <c r="AN53" i="4" s="1"/>
  <c r="N53" i="4"/>
  <c r="O53" i="4"/>
  <c r="C54" i="4"/>
  <c r="D54" i="4"/>
  <c r="E54" i="4"/>
  <c r="F54" i="4"/>
  <c r="G54" i="4"/>
  <c r="AT54" i="4" s="1"/>
  <c r="H54" i="4"/>
  <c r="AQ54" i="4" s="1"/>
  <c r="I54" i="4"/>
  <c r="AM54" i="4" s="1"/>
  <c r="J54" i="4"/>
  <c r="AP54" i="4" s="1"/>
  <c r="K54" i="4"/>
  <c r="AU54" i="4" s="1"/>
  <c r="L54" i="4"/>
  <c r="AR54" i="4" s="1"/>
  <c r="M54" i="4"/>
  <c r="AN54" i="4" s="1"/>
  <c r="N54" i="4"/>
  <c r="O54" i="4"/>
  <c r="C55" i="4"/>
  <c r="D55" i="4"/>
  <c r="E55" i="4"/>
  <c r="F55" i="4"/>
  <c r="G55" i="4"/>
  <c r="AT55" i="4" s="1"/>
  <c r="H55" i="4"/>
  <c r="AQ55" i="4" s="1"/>
  <c r="I55" i="4"/>
  <c r="AM55" i="4" s="1"/>
  <c r="J55" i="4"/>
  <c r="AP55" i="4" s="1"/>
  <c r="K55" i="4"/>
  <c r="AU55" i="4" s="1"/>
  <c r="L55" i="4"/>
  <c r="AR55" i="4" s="1"/>
  <c r="M55" i="4"/>
  <c r="AN55" i="4" s="1"/>
  <c r="N55" i="4"/>
  <c r="O55" i="4"/>
  <c r="C56" i="4"/>
  <c r="D56" i="4"/>
  <c r="E56" i="4"/>
  <c r="F56" i="4"/>
  <c r="G56" i="4"/>
  <c r="AT56" i="4" s="1"/>
  <c r="H56" i="4"/>
  <c r="AQ56" i="4" s="1"/>
  <c r="I56" i="4"/>
  <c r="AM56" i="4" s="1"/>
  <c r="J56" i="4"/>
  <c r="AP56" i="4" s="1"/>
  <c r="K56" i="4"/>
  <c r="AU56" i="4" s="1"/>
  <c r="L56" i="4"/>
  <c r="AR56" i="4" s="1"/>
  <c r="M56" i="4"/>
  <c r="AN56" i="4" s="1"/>
  <c r="N56" i="4"/>
  <c r="O56" i="4"/>
  <c r="C57" i="4"/>
  <c r="D57" i="4"/>
  <c r="E57" i="4"/>
  <c r="F57" i="4"/>
  <c r="G57" i="4"/>
  <c r="AT57" i="4" s="1"/>
  <c r="H57" i="4"/>
  <c r="AQ57" i="4" s="1"/>
  <c r="I57" i="4"/>
  <c r="AM57" i="4" s="1"/>
  <c r="J57" i="4"/>
  <c r="AP57" i="4" s="1"/>
  <c r="K57" i="4"/>
  <c r="AU57" i="4" s="1"/>
  <c r="L57" i="4"/>
  <c r="AR57" i="4" s="1"/>
  <c r="M57" i="4"/>
  <c r="AN57" i="4" s="1"/>
  <c r="N57" i="4"/>
  <c r="O57" i="4"/>
  <c r="C58" i="4"/>
  <c r="D58" i="4"/>
  <c r="E58" i="4"/>
  <c r="F58" i="4"/>
  <c r="G58" i="4"/>
  <c r="AT58" i="4" s="1"/>
  <c r="H58" i="4"/>
  <c r="AQ58" i="4" s="1"/>
  <c r="I58" i="4"/>
  <c r="AM58" i="4" s="1"/>
  <c r="J58" i="4"/>
  <c r="AP58" i="4" s="1"/>
  <c r="K58" i="4"/>
  <c r="AU58" i="4" s="1"/>
  <c r="L58" i="4"/>
  <c r="AR58" i="4" s="1"/>
  <c r="M58" i="4"/>
  <c r="AN58" i="4" s="1"/>
  <c r="N58" i="4"/>
  <c r="O58" i="4"/>
  <c r="C59" i="4"/>
  <c r="D59" i="4"/>
  <c r="E59" i="4"/>
  <c r="F59" i="4"/>
  <c r="G59" i="4"/>
  <c r="AT59" i="4" s="1"/>
  <c r="H59" i="4"/>
  <c r="AQ59" i="4" s="1"/>
  <c r="I59" i="4"/>
  <c r="AM59" i="4" s="1"/>
  <c r="J59" i="4"/>
  <c r="AP59" i="4" s="1"/>
  <c r="K59" i="4"/>
  <c r="AU59" i="4" s="1"/>
  <c r="L59" i="4"/>
  <c r="AR59" i="4" s="1"/>
  <c r="M59" i="4"/>
  <c r="AN59" i="4" s="1"/>
  <c r="N59" i="4"/>
  <c r="O59" i="4"/>
  <c r="C60" i="4"/>
  <c r="D60" i="4"/>
  <c r="E60" i="4"/>
  <c r="F60" i="4"/>
  <c r="G60" i="4"/>
  <c r="AT60" i="4" s="1"/>
  <c r="H60" i="4"/>
  <c r="AQ60" i="4" s="1"/>
  <c r="I60" i="4"/>
  <c r="AM60" i="4" s="1"/>
  <c r="J60" i="4"/>
  <c r="AP60" i="4" s="1"/>
  <c r="K60" i="4"/>
  <c r="AU60" i="4" s="1"/>
  <c r="L60" i="4"/>
  <c r="AR60" i="4" s="1"/>
  <c r="M60" i="4"/>
  <c r="AN60" i="4" s="1"/>
  <c r="N60" i="4"/>
  <c r="O60" i="4"/>
  <c r="C61" i="4"/>
  <c r="D61" i="4"/>
  <c r="E61" i="4"/>
  <c r="F61" i="4"/>
  <c r="G61" i="4"/>
  <c r="AT61" i="4" s="1"/>
  <c r="H61" i="4"/>
  <c r="AQ61" i="4" s="1"/>
  <c r="I61" i="4"/>
  <c r="AM61" i="4" s="1"/>
  <c r="J61" i="4"/>
  <c r="AP61" i="4" s="1"/>
  <c r="K61" i="4"/>
  <c r="AU61" i="4" s="1"/>
  <c r="L61" i="4"/>
  <c r="AR61" i="4" s="1"/>
  <c r="M61" i="4"/>
  <c r="AN61" i="4" s="1"/>
  <c r="N61" i="4"/>
  <c r="O61" i="4"/>
  <c r="C62" i="4"/>
  <c r="D62" i="4"/>
  <c r="E62" i="4"/>
  <c r="F62" i="4"/>
  <c r="G62" i="4"/>
  <c r="AT62" i="4" s="1"/>
  <c r="H62" i="4"/>
  <c r="AQ62" i="4" s="1"/>
  <c r="I62" i="4"/>
  <c r="AM62" i="4" s="1"/>
  <c r="J62" i="4"/>
  <c r="AP62" i="4" s="1"/>
  <c r="K62" i="4"/>
  <c r="AU62" i="4" s="1"/>
  <c r="L62" i="4"/>
  <c r="AR62" i="4" s="1"/>
  <c r="M62" i="4"/>
  <c r="AN62" i="4" s="1"/>
  <c r="N62" i="4"/>
  <c r="O62" i="4"/>
  <c r="C63" i="4"/>
  <c r="D63" i="4"/>
  <c r="E63" i="4"/>
  <c r="F63" i="4"/>
  <c r="G63" i="4"/>
  <c r="AT63" i="4" s="1"/>
  <c r="H63" i="4"/>
  <c r="AQ63" i="4" s="1"/>
  <c r="I63" i="4"/>
  <c r="AM63" i="4" s="1"/>
  <c r="J63" i="4"/>
  <c r="AP63" i="4" s="1"/>
  <c r="K63" i="4"/>
  <c r="AU63" i="4" s="1"/>
  <c r="L63" i="4"/>
  <c r="AR63" i="4" s="1"/>
  <c r="M63" i="4"/>
  <c r="AN63" i="4" s="1"/>
  <c r="N63" i="4"/>
  <c r="O63" i="4"/>
  <c r="C64" i="4"/>
  <c r="D64" i="4"/>
  <c r="E64" i="4"/>
  <c r="F64" i="4"/>
  <c r="G64" i="4"/>
  <c r="AT64" i="4" s="1"/>
  <c r="H64" i="4"/>
  <c r="AQ64" i="4" s="1"/>
  <c r="I64" i="4"/>
  <c r="AM64" i="4" s="1"/>
  <c r="J64" i="4"/>
  <c r="AP64" i="4" s="1"/>
  <c r="K64" i="4"/>
  <c r="AU64" i="4" s="1"/>
  <c r="L64" i="4"/>
  <c r="AR64" i="4" s="1"/>
  <c r="M64" i="4"/>
  <c r="AN64" i="4" s="1"/>
  <c r="N64" i="4"/>
  <c r="O64" i="4"/>
  <c r="C65" i="4"/>
  <c r="D65" i="4"/>
  <c r="E65" i="4"/>
  <c r="F65" i="4"/>
  <c r="G65" i="4"/>
  <c r="AT65" i="4" s="1"/>
  <c r="H65" i="4"/>
  <c r="AQ65" i="4" s="1"/>
  <c r="I65" i="4"/>
  <c r="AM65" i="4" s="1"/>
  <c r="J65" i="4"/>
  <c r="AP65" i="4" s="1"/>
  <c r="K65" i="4"/>
  <c r="AU65" i="4" s="1"/>
  <c r="L65" i="4"/>
  <c r="AR65" i="4" s="1"/>
  <c r="M65" i="4"/>
  <c r="AN65" i="4" s="1"/>
  <c r="N65" i="4"/>
  <c r="O65" i="4"/>
  <c r="C66" i="4"/>
  <c r="D66" i="4"/>
  <c r="E66" i="4"/>
  <c r="F66" i="4"/>
  <c r="G66" i="4"/>
  <c r="AT66" i="4" s="1"/>
  <c r="H66" i="4"/>
  <c r="AQ66" i="4" s="1"/>
  <c r="I66" i="4"/>
  <c r="AM66" i="4" s="1"/>
  <c r="J66" i="4"/>
  <c r="AP66" i="4" s="1"/>
  <c r="K66" i="4"/>
  <c r="AU66" i="4" s="1"/>
  <c r="L66" i="4"/>
  <c r="AR66" i="4" s="1"/>
  <c r="M66" i="4"/>
  <c r="AN66" i="4" s="1"/>
  <c r="N66" i="4"/>
  <c r="O66" i="4"/>
  <c r="C67" i="4"/>
  <c r="D67" i="4"/>
  <c r="E67" i="4"/>
  <c r="F67" i="4"/>
  <c r="G67" i="4"/>
  <c r="AT67" i="4" s="1"/>
  <c r="H67" i="4"/>
  <c r="AQ67" i="4" s="1"/>
  <c r="I67" i="4"/>
  <c r="AM67" i="4" s="1"/>
  <c r="J67" i="4"/>
  <c r="AP67" i="4" s="1"/>
  <c r="K67" i="4"/>
  <c r="AU67" i="4" s="1"/>
  <c r="L67" i="4"/>
  <c r="AR67" i="4" s="1"/>
  <c r="M67" i="4"/>
  <c r="AN67" i="4" s="1"/>
  <c r="N67" i="4"/>
  <c r="O67" i="4"/>
  <c r="C68" i="4"/>
  <c r="D68" i="4"/>
  <c r="E68" i="4"/>
  <c r="F68" i="4"/>
  <c r="G68" i="4"/>
  <c r="AT68" i="4" s="1"/>
  <c r="H68" i="4"/>
  <c r="AQ68" i="4" s="1"/>
  <c r="I68" i="4"/>
  <c r="AM68" i="4" s="1"/>
  <c r="J68" i="4"/>
  <c r="AP68" i="4" s="1"/>
  <c r="K68" i="4"/>
  <c r="AU68" i="4" s="1"/>
  <c r="L68" i="4"/>
  <c r="AR68" i="4" s="1"/>
  <c r="M68" i="4"/>
  <c r="AN68" i="4" s="1"/>
  <c r="N68" i="4"/>
  <c r="O68" i="4"/>
  <c r="C69" i="4"/>
  <c r="D69" i="4"/>
  <c r="E69" i="4"/>
  <c r="F69" i="4"/>
  <c r="G69" i="4"/>
  <c r="AT69" i="4" s="1"/>
  <c r="H69" i="4"/>
  <c r="AQ69" i="4" s="1"/>
  <c r="I69" i="4"/>
  <c r="AM69" i="4" s="1"/>
  <c r="J69" i="4"/>
  <c r="AP69" i="4" s="1"/>
  <c r="K69" i="4"/>
  <c r="AU69" i="4" s="1"/>
  <c r="L69" i="4"/>
  <c r="AR69" i="4" s="1"/>
  <c r="M69" i="4"/>
  <c r="AN69" i="4" s="1"/>
  <c r="N69" i="4"/>
  <c r="O69" i="4"/>
  <c r="C70" i="4"/>
  <c r="D70" i="4"/>
  <c r="E70" i="4"/>
  <c r="F70" i="4"/>
  <c r="G70" i="4"/>
  <c r="AT70" i="4" s="1"/>
  <c r="H70" i="4"/>
  <c r="AQ70" i="4" s="1"/>
  <c r="I70" i="4"/>
  <c r="AM70" i="4" s="1"/>
  <c r="J70" i="4"/>
  <c r="AP70" i="4" s="1"/>
  <c r="K70" i="4"/>
  <c r="AU70" i="4" s="1"/>
  <c r="L70" i="4"/>
  <c r="AR70" i="4" s="1"/>
  <c r="M70" i="4"/>
  <c r="AN70" i="4" s="1"/>
  <c r="N70" i="4"/>
  <c r="O70" i="4"/>
  <c r="C71" i="4"/>
  <c r="D71" i="4"/>
  <c r="E71" i="4"/>
  <c r="F71" i="4"/>
  <c r="G71" i="4"/>
  <c r="AT71" i="4" s="1"/>
  <c r="H71" i="4"/>
  <c r="AQ71" i="4" s="1"/>
  <c r="I71" i="4"/>
  <c r="AM71" i="4" s="1"/>
  <c r="J71" i="4"/>
  <c r="AP71" i="4" s="1"/>
  <c r="K71" i="4"/>
  <c r="AU71" i="4" s="1"/>
  <c r="L71" i="4"/>
  <c r="AR71" i="4" s="1"/>
  <c r="M71" i="4"/>
  <c r="AN71" i="4" s="1"/>
  <c r="N71" i="4"/>
  <c r="O71" i="4"/>
  <c r="C72" i="4"/>
  <c r="D72" i="4"/>
  <c r="E72" i="4"/>
  <c r="F72" i="4"/>
  <c r="G72" i="4"/>
  <c r="AT72" i="4" s="1"/>
  <c r="H72" i="4"/>
  <c r="AQ72" i="4" s="1"/>
  <c r="I72" i="4"/>
  <c r="AM72" i="4" s="1"/>
  <c r="J72" i="4"/>
  <c r="AP72" i="4" s="1"/>
  <c r="K72" i="4"/>
  <c r="AU72" i="4" s="1"/>
  <c r="L72" i="4"/>
  <c r="AR72" i="4" s="1"/>
  <c r="M72" i="4"/>
  <c r="AN72" i="4" s="1"/>
  <c r="N72" i="4"/>
  <c r="O72" i="4"/>
  <c r="C73" i="4"/>
  <c r="D73" i="4"/>
  <c r="E73" i="4"/>
  <c r="F73" i="4"/>
  <c r="G73" i="4"/>
  <c r="AT73" i="4" s="1"/>
  <c r="H73" i="4"/>
  <c r="AQ73" i="4" s="1"/>
  <c r="I73" i="4"/>
  <c r="AM73" i="4" s="1"/>
  <c r="J73" i="4"/>
  <c r="AP73" i="4" s="1"/>
  <c r="K73" i="4"/>
  <c r="AU73" i="4" s="1"/>
  <c r="L73" i="4"/>
  <c r="AR73" i="4" s="1"/>
  <c r="M73" i="4"/>
  <c r="AN73" i="4" s="1"/>
  <c r="N73" i="4"/>
  <c r="O73" i="4"/>
  <c r="C30" i="4"/>
  <c r="D30" i="4"/>
  <c r="E30" i="4"/>
  <c r="F30" i="4"/>
  <c r="G30" i="4"/>
  <c r="AT30" i="4" s="1"/>
  <c r="H30" i="4"/>
  <c r="AQ30" i="4" s="1"/>
  <c r="I30" i="4"/>
  <c r="AM30" i="4" s="1"/>
  <c r="J30" i="4"/>
  <c r="AP30" i="4" s="1"/>
  <c r="K30" i="4"/>
  <c r="AU30" i="4" s="1"/>
  <c r="L30" i="4"/>
  <c r="AR30" i="4" s="1"/>
  <c r="M30" i="4"/>
  <c r="AN30" i="4" s="1"/>
  <c r="N30" i="4"/>
  <c r="O30" i="4"/>
  <c r="C31" i="4"/>
  <c r="D31" i="4"/>
  <c r="E31" i="4"/>
  <c r="F31" i="4"/>
  <c r="G31" i="4"/>
  <c r="AT31" i="4" s="1"/>
  <c r="H31" i="4"/>
  <c r="AQ31" i="4" s="1"/>
  <c r="I31" i="4"/>
  <c r="AM31" i="4" s="1"/>
  <c r="J31" i="4"/>
  <c r="AP31" i="4" s="1"/>
  <c r="K31" i="4"/>
  <c r="AU31" i="4" s="1"/>
  <c r="L31" i="4"/>
  <c r="AR31" i="4" s="1"/>
  <c r="M31" i="4"/>
  <c r="AN31" i="4" s="1"/>
  <c r="N31" i="4"/>
  <c r="O31" i="4"/>
  <c r="C32" i="4"/>
  <c r="D32" i="4"/>
  <c r="E32" i="4"/>
  <c r="F32" i="4"/>
  <c r="G32" i="4"/>
  <c r="AT32" i="4" s="1"/>
  <c r="H32" i="4"/>
  <c r="AQ32" i="4" s="1"/>
  <c r="I32" i="4"/>
  <c r="AM32" i="4" s="1"/>
  <c r="J32" i="4"/>
  <c r="AP32" i="4" s="1"/>
  <c r="K32" i="4"/>
  <c r="AU32" i="4" s="1"/>
  <c r="L32" i="4"/>
  <c r="AR32" i="4" s="1"/>
  <c r="M32" i="4"/>
  <c r="AN32" i="4" s="1"/>
  <c r="N32" i="4"/>
  <c r="O32" i="4"/>
  <c r="C33" i="4"/>
  <c r="D33" i="4"/>
  <c r="E33" i="4"/>
  <c r="F33" i="4"/>
  <c r="G33" i="4"/>
  <c r="AT33" i="4" s="1"/>
  <c r="H33" i="4"/>
  <c r="AQ33" i="4" s="1"/>
  <c r="I33" i="4"/>
  <c r="AM33" i="4" s="1"/>
  <c r="J33" i="4"/>
  <c r="AP33" i="4" s="1"/>
  <c r="K33" i="4"/>
  <c r="AU33" i="4" s="1"/>
  <c r="L33" i="4"/>
  <c r="AR33" i="4" s="1"/>
  <c r="M33" i="4"/>
  <c r="AN33" i="4" s="1"/>
  <c r="N33" i="4"/>
  <c r="O33" i="4"/>
  <c r="C34" i="4"/>
  <c r="D34" i="4"/>
  <c r="E34" i="4"/>
  <c r="F34" i="4"/>
  <c r="G34" i="4"/>
  <c r="AT34" i="4" s="1"/>
  <c r="H34" i="4"/>
  <c r="AQ34" i="4" s="1"/>
  <c r="I34" i="4"/>
  <c r="AM34" i="4" s="1"/>
  <c r="J34" i="4"/>
  <c r="AP34" i="4" s="1"/>
  <c r="K34" i="4"/>
  <c r="AU34" i="4" s="1"/>
  <c r="L34" i="4"/>
  <c r="AR34" i="4" s="1"/>
  <c r="M34" i="4"/>
  <c r="AN34" i="4" s="1"/>
  <c r="N34" i="4"/>
  <c r="O34" i="4"/>
  <c r="C35" i="4"/>
  <c r="D35" i="4"/>
  <c r="E35" i="4"/>
  <c r="F35" i="4"/>
  <c r="G35" i="4"/>
  <c r="AT35" i="4" s="1"/>
  <c r="H35" i="4"/>
  <c r="AQ35" i="4" s="1"/>
  <c r="I35" i="4"/>
  <c r="AM35" i="4" s="1"/>
  <c r="J35" i="4"/>
  <c r="AP35" i="4" s="1"/>
  <c r="K35" i="4"/>
  <c r="AU35" i="4" s="1"/>
  <c r="L35" i="4"/>
  <c r="AR35" i="4" s="1"/>
  <c r="M35" i="4"/>
  <c r="AN35" i="4" s="1"/>
  <c r="N35" i="4"/>
  <c r="O35" i="4"/>
  <c r="C36" i="4"/>
  <c r="D36" i="4"/>
  <c r="E36" i="4"/>
  <c r="F36" i="4"/>
  <c r="G36" i="4"/>
  <c r="AT36" i="4" s="1"/>
  <c r="H36" i="4"/>
  <c r="AQ36" i="4" s="1"/>
  <c r="I36" i="4"/>
  <c r="AM36" i="4" s="1"/>
  <c r="J36" i="4"/>
  <c r="AP36" i="4" s="1"/>
  <c r="K36" i="4"/>
  <c r="AU36" i="4" s="1"/>
  <c r="L36" i="4"/>
  <c r="AR36" i="4" s="1"/>
  <c r="M36" i="4"/>
  <c r="AN36" i="4" s="1"/>
  <c r="N36" i="4"/>
  <c r="O36" i="4"/>
  <c r="C37" i="4"/>
  <c r="D37" i="4"/>
  <c r="E37" i="4"/>
  <c r="F37" i="4"/>
  <c r="G37" i="4"/>
  <c r="AT37" i="4" s="1"/>
  <c r="H37" i="4"/>
  <c r="AQ37" i="4" s="1"/>
  <c r="I37" i="4"/>
  <c r="AM37" i="4" s="1"/>
  <c r="J37" i="4"/>
  <c r="AP37" i="4" s="1"/>
  <c r="K37" i="4"/>
  <c r="AU37" i="4" s="1"/>
  <c r="L37" i="4"/>
  <c r="AR37" i="4" s="1"/>
  <c r="M37" i="4"/>
  <c r="AN37" i="4" s="1"/>
  <c r="N37" i="4"/>
  <c r="O37" i="4"/>
  <c r="C38" i="4"/>
  <c r="D38" i="4"/>
  <c r="E38" i="4"/>
  <c r="F38" i="4"/>
  <c r="G38" i="4"/>
  <c r="AT38" i="4" s="1"/>
  <c r="H38" i="4"/>
  <c r="AQ38" i="4" s="1"/>
  <c r="I38" i="4"/>
  <c r="AM38" i="4" s="1"/>
  <c r="J38" i="4"/>
  <c r="AP38" i="4" s="1"/>
  <c r="K38" i="4"/>
  <c r="AU38" i="4" s="1"/>
  <c r="L38" i="4"/>
  <c r="AR38" i="4" s="1"/>
  <c r="M38" i="4"/>
  <c r="AN38" i="4" s="1"/>
  <c r="N38" i="4"/>
  <c r="O38" i="4"/>
  <c r="C39" i="4"/>
  <c r="D39" i="4"/>
  <c r="E39" i="4"/>
  <c r="F39" i="4"/>
  <c r="G39" i="4"/>
  <c r="AT39" i="4" s="1"/>
  <c r="H39" i="4"/>
  <c r="AQ39" i="4" s="1"/>
  <c r="I39" i="4"/>
  <c r="AM39" i="4" s="1"/>
  <c r="J39" i="4"/>
  <c r="AP39" i="4" s="1"/>
  <c r="K39" i="4"/>
  <c r="AU39" i="4" s="1"/>
  <c r="L39" i="4"/>
  <c r="AR39" i="4" s="1"/>
  <c r="M39" i="4"/>
  <c r="AN39" i="4" s="1"/>
  <c r="N39" i="4"/>
  <c r="O39" i="4"/>
  <c r="C40" i="4"/>
  <c r="D40" i="4"/>
  <c r="E40" i="4"/>
  <c r="F40" i="4"/>
  <c r="G40" i="4"/>
  <c r="AT40" i="4" s="1"/>
  <c r="H40" i="4"/>
  <c r="AQ40" i="4" s="1"/>
  <c r="I40" i="4"/>
  <c r="AM40" i="4" s="1"/>
  <c r="J40" i="4"/>
  <c r="AP40" i="4" s="1"/>
  <c r="K40" i="4"/>
  <c r="AU40" i="4" s="1"/>
  <c r="L40" i="4"/>
  <c r="AR40" i="4" s="1"/>
  <c r="M40" i="4"/>
  <c r="AN40" i="4" s="1"/>
  <c r="N40" i="4"/>
  <c r="O40" i="4"/>
  <c r="C41" i="4"/>
  <c r="D41" i="4"/>
  <c r="E41" i="4"/>
  <c r="F41" i="4"/>
  <c r="G41" i="4"/>
  <c r="AT41" i="4" s="1"/>
  <c r="H41" i="4"/>
  <c r="AQ41" i="4" s="1"/>
  <c r="I41" i="4"/>
  <c r="AM41" i="4" s="1"/>
  <c r="J41" i="4"/>
  <c r="AP41" i="4" s="1"/>
  <c r="K41" i="4"/>
  <c r="AU41" i="4" s="1"/>
  <c r="L41" i="4"/>
  <c r="AR41" i="4" s="1"/>
  <c r="M41" i="4"/>
  <c r="AN41" i="4" s="1"/>
  <c r="N41" i="4"/>
  <c r="O41" i="4"/>
  <c r="C42" i="4"/>
  <c r="D42" i="4"/>
  <c r="E42" i="4"/>
  <c r="F42" i="4"/>
  <c r="G42" i="4"/>
  <c r="AT42" i="4" s="1"/>
  <c r="H42" i="4"/>
  <c r="AQ42" i="4" s="1"/>
  <c r="I42" i="4"/>
  <c r="AM42" i="4" s="1"/>
  <c r="J42" i="4"/>
  <c r="AP42" i="4" s="1"/>
  <c r="K42" i="4"/>
  <c r="AU42" i="4" s="1"/>
  <c r="L42" i="4"/>
  <c r="AR42" i="4" s="1"/>
  <c r="M42" i="4"/>
  <c r="AN42" i="4" s="1"/>
  <c r="N42" i="4"/>
  <c r="O42" i="4"/>
  <c r="C43" i="4"/>
  <c r="D43" i="4"/>
  <c r="E43" i="4"/>
  <c r="F43" i="4"/>
  <c r="G43" i="4"/>
  <c r="AT43" i="4" s="1"/>
  <c r="H43" i="4"/>
  <c r="AQ43" i="4" s="1"/>
  <c r="I43" i="4"/>
  <c r="AM43" i="4" s="1"/>
  <c r="J43" i="4"/>
  <c r="AP43" i="4" s="1"/>
  <c r="K43" i="4"/>
  <c r="AU43" i="4" s="1"/>
  <c r="L43" i="4"/>
  <c r="AR43" i="4" s="1"/>
  <c r="M43" i="4"/>
  <c r="AN43" i="4" s="1"/>
  <c r="N43" i="4"/>
  <c r="O43" i="4"/>
  <c r="C44" i="4"/>
  <c r="D44" i="4"/>
  <c r="E44" i="4"/>
  <c r="F44" i="4"/>
  <c r="G44" i="4"/>
  <c r="AT44" i="4" s="1"/>
  <c r="H44" i="4"/>
  <c r="AQ44" i="4" s="1"/>
  <c r="I44" i="4"/>
  <c r="AM44" i="4" s="1"/>
  <c r="J44" i="4"/>
  <c r="AP44" i="4" s="1"/>
  <c r="K44" i="4"/>
  <c r="AU44" i="4" s="1"/>
  <c r="L44" i="4"/>
  <c r="AR44" i="4" s="1"/>
  <c r="M44" i="4"/>
  <c r="AN44" i="4" s="1"/>
  <c r="N44" i="4"/>
  <c r="O44" i="4"/>
  <c r="C45" i="4"/>
  <c r="D45" i="4"/>
  <c r="E45" i="4"/>
  <c r="F45" i="4"/>
  <c r="G45" i="4"/>
  <c r="AT45" i="4" s="1"/>
  <c r="H45" i="4"/>
  <c r="AQ45" i="4" s="1"/>
  <c r="I45" i="4"/>
  <c r="AM45" i="4" s="1"/>
  <c r="J45" i="4"/>
  <c r="AP45" i="4" s="1"/>
  <c r="K45" i="4"/>
  <c r="AU45" i="4" s="1"/>
  <c r="L45" i="4"/>
  <c r="AR45" i="4" s="1"/>
  <c r="M45" i="4"/>
  <c r="AN45" i="4" s="1"/>
  <c r="N45" i="4"/>
  <c r="O45" i="4"/>
  <c r="C46" i="4"/>
  <c r="D46" i="4"/>
  <c r="E46" i="4"/>
  <c r="F46" i="4"/>
  <c r="G46" i="4"/>
  <c r="AT46" i="4" s="1"/>
  <c r="H46" i="4"/>
  <c r="AQ46" i="4" s="1"/>
  <c r="I46" i="4"/>
  <c r="AM46" i="4" s="1"/>
  <c r="J46" i="4"/>
  <c r="AP46" i="4" s="1"/>
  <c r="K46" i="4"/>
  <c r="AU46" i="4" s="1"/>
  <c r="L46" i="4"/>
  <c r="AR46" i="4" s="1"/>
  <c r="M46" i="4"/>
  <c r="AN46" i="4" s="1"/>
  <c r="N46" i="4"/>
  <c r="O46" i="4"/>
  <c r="C47" i="4"/>
  <c r="D47" i="4"/>
  <c r="E47" i="4"/>
  <c r="F47" i="4"/>
  <c r="G47" i="4"/>
  <c r="AT47" i="4" s="1"/>
  <c r="H47" i="4"/>
  <c r="AQ47" i="4" s="1"/>
  <c r="I47" i="4"/>
  <c r="AM47" i="4" s="1"/>
  <c r="J47" i="4"/>
  <c r="AP47" i="4" s="1"/>
  <c r="K47" i="4"/>
  <c r="AU47" i="4" s="1"/>
  <c r="L47" i="4"/>
  <c r="AR47" i="4" s="1"/>
  <c r="M47" i="4"/>
  <c r="AN47" i="4" s="1"/>
  <c r="N47" i="4"/>
  <c r="O47" i="4"/>
  <c r="C48" i="4"/>
  <c r="D48" i="4"/>
  <c r="E48" i="4"/>
  <c r="F48" i="4"/>
  <c r="G48" i="4"/>
  <c r="AT48" i="4" s="1"/>
  <c r="H48" i="4"/>
  <c r="AQ48" i="4" s="1"/>
  <c r="I48" i="4"/>
  <c r="AM48" i="4" s="1"/>
  <c r="J48" i="4"/>
  <c r="AP48" i="4" s="1"/>
  <c r="K48" i="4"/>
  <c r="AU48" i="4" s="1"/>
  <c r="L48" i="4"/>
  <c r="AR48" i="4" s="1"/>
  <c r="M48" i="4"/>
  <c r="AN48" i="4" s="1"/>
  <c r="N48" i="4"/>
  <c r="O48" i="4"/>
  <c r="C49" i="4"/>
  <c r="D49" i="4"/>
  <c r="E49" i="4"/>
  <c r="F49" i="4"/>
  <c r="G49" i="4"/>
  <c r="AT49" i="4" s="1"/>
  <c r="H49" i="4"/>
  <c r="AQ49" i="4" s="1"/>
  <c r="I49" i="4"/>
  <c r="AM49" i="4" s="1"/>
  <c r="J49" i="4"/>
  <c r="AP49" i="4" s="1"/>
  <c r="K49" i="4"/>
  <c r="AU49" i="4" s="1"/>
  <c r="L49" i="4"/>
  <c r="AR49" i="4" s="1"/>
  <c r="M49" i="4"/>
  <c r="AN49" i="4" s="1"/>
  <c r="N49" i="4"/>
  <c r="O49" i="4"/>
  <c r="C50" i="4"/>
  <c r="D50" i="4"/>
  <c r="E50" i="4"/>
  <c r="F50" i="4"/>
  <c r="G50" i="4"/>
  <c r="AT50" i="4" s="1"/>
  <c r="H50" i="4"/>
  <c r="AQ50" i="4" s="1"/>
  <c r="I50" i="4"/>
  <c r="AM50" i="4" s="1"/>
  <c r="J50" i="4"/>
  <c r="AP50" i="4" s="1"/>
  <c r="K50" i="4"/>
  <c r="AU50" i="4" s="1"/>
  <c r="L50" i="4"/>
  <c r="AR50" i="4" s="1"/>
  <c r="M50" i="4"/>
  <c r="AN50" i="4" s="1"/>
  <c r="N50" i="4"/>
  <c r="O50" i="4"/>
  <c r="C51" i="4"/>
  <c r="D51" i="4"/>
  <c r="E51" i="4"/>
  <c r="F51" i="4"/>
  <c r="G51" i="4"/>
  <c r="AT51" i="4" s="1"/>
  <c r="H51" i="4"/>
  <c r="AQ51" i="4" s="1"/>
  <c r="I51" i="4"/>
  <c r="AM51" i="4" s="1"/>
  <c r="J51" i="4"/>
  <c r="AP51" i="4" s="1"/>
  <c r="K51" i="4"/>
  <c r="AU51" i="4" s="1"/>
  <c r="L51" i="4"/>
  <c r="AR51" i="4" s="1"/>
  <c r="M51" i="4"/>
  <c r="AN51" i="4" s="1"/>
  <c r="N51" i="4"/>
  <c r="O51" i="4"/>
  <c r="C52" i="4"/>
  <c r="D52" i="4"/>
  <c r="E52" i="4"/>
  <c r="F52" i="4"/>
  <c r="G52" i="4"/>
  <c r="AT52" i="4" s="1"/>
  <c r="H52" i="4"/>
  <c r="AQ52" i="4" s="1"/>
  <c r="I52" i="4"/>
  <c r="AM52" i="4" s="1"/>
  <c r="J52" i="4"/>
  <c r="AP52" i="4" s="1"/>
  <c r="K52" i="4"/>
  <c r="AU52" i="4" s="1"/>
  <c r="L52" i="4"/>
  <c r="AR52" i="4" s="1"/>
  <c r="M52" i="4"/>
  <c r="AN52" i="4" s="1"/>
  <c r="N52" i="4"/>
  <c r="O52" i="4"/>
  <c r="D5" i="4"/>
  <c r="F5" i="4"/>
  <c r="AM5" i="4"/>
  <c r="K5" i="4"/>
  <c r="AU5" i="4" s="1"/>
  <c r="L5" i="4"/>
  <c r="AR5" i="4" s="1"/>
  <c r="C6" i="4"/>
  <c r="D6" i="4"/>
  <c r="E6" i="4"/>
  <c r="F6" i="4"/>
  <c r="G6" i="4"/>
  <c r="AT6" i="4" s="1"/>
  <c r="H6" i="4"/>
  <c r="AQ6" i="4" s="1"/>
  <c r="I6" i="4"/>
  <c r="AM6" i="4" s="1"/>
  <c r="J6" i="4"/>
  <c r="AP6" i="4" s="1"/>
  <c r="K6" i="4"/>
  <c r="AU6" i="4" s="1"/>
  <c r="L6" i="4"/>
  <c r="AR6" i="4" s="1"/>
  <c r="M6" i="4"/>
  <c r="AN6" i="4" s="1"/>
  <c r="N6" i="4"/>
  <c r="O6" i="4"/>
  <c r="C7" i="4"/>
  <c r="D7" i="4"/>
  <c r="E7" i="4"/>
  <c r="F7" i="4"/>
  <c r="G7" i="4"/>
  <c r="AT7" i="4" s="1"/>
  <c r="H7" i="4"/>
  <c r="AQ7" i="4" s="1"/>
  <c r="I7" i="4"/>
  <c r="AM7" i="4" s="1"/>
  <c r="J7" i="4"/>
  <c r="AP7" i="4" s="1"/>
  <c r="K7" i="4"/>
  <c r="AU7" i="4" s="1"/>
  <c r="L7" i="4"/>
  <c r="AR7" i="4" s="1"/>
  <c r="M7" i="4"/>
  <c r="AN7" i="4" s="1"/>
  <c r="N7" i="4"/>
  <c r="O7" i="4"/>
  <c r="C8" i="4"/>
  <c r="D8" i="4"/>
  <c r="E8" i="4"/>
  <c r="F8" i="4"/>
  <c r="G8" i="4"/>
  <c r="AT8" i="4" s="1"/>
  <c r="H8" i="4"/>
  <c r="AQ8" i="4" s="1"/>
  <c r="I8" i="4"/>
  <c r="AM8" i="4" s="1"/>
  <c r="J8" i="4"/>
  <c r="AP8" i="4" s="1"/>
  <c r="K8" i="4"/>
  <c r="AU8" i="4" s="1"/>
  <c r="L8" i="4"/>
  <c r="AR8" i="4" s="1"/>
  <c r="M8" i="4"/>
  <c r="AN8" i="4" s="1"/>
  <c r="N8" i="4"/>
  <c r="O8" i="4"/>
  <c r="C9" i="4"/>
  <c r="D9" i="4"/>
  <c r="E9" i="4"/>
  <c r="F9" i="4"/>
  <c r="G9" i="4"/>
  <c r="AT9" i="4" s="1"/>
  <c r="H9" i="4"/>
  <c r="AQ9" i="4" s="1"/>
  <c r="I9" i="4"/>
  <c r="AM9" i="4" s="1"/>
  <c r="J9" i="4"/>
  <c r="AP9" i="4" s="1"/>
  <c r="K9" i="4"/>
  <c r="AU9" i="4" s="1"/>
  <c r="L9" i="4"/>
  <c r="AR9" i="4" s="1"/>
  <c r="M9" i="4"/>
  <c r="AN9" i="4" s="1"/>
  <c r="N9" i="4"/>
  <c r="O9" i="4"/>
  <c r="C10" i="4"/>
  <c r="D10" i="4"/>
  <c r="E10" i="4"/>
  <c r="F10" i="4"/>
  <c r="G10" i="4"/>
  <c r="AT10" i="4" s="1"/>
  <c r="H10" i="4"/>
  <c r="AQ10" i="4" s="1"/>
  <c r="I10" i="4"/>
  <c r="AM10" i="4" s="1"/>
  <c r="J10" i="4"/>
  <c r="AP10" i="4" s="1"/>
  <c r="K10" i="4"/>
  <c r="AU10" i="4" s="1"/>
  <c r="L10" i="4"/>
  <c r="AR10" i="4" s="1"/>
  <c r="M10" i="4"/>
  <c r="AN10" i="4" s="1"/>
  <c r="N10" i="4"/>
  <c r="O10" i="4"/>
  <c r="C11" i="4"/>
  <c r="D11" i="4"/>
  <c r="E11" i="4"/>
  <c r="F11" i="4"/>
  <c r="G11" i="4"/>
  <c r="AT11" i="4" s="1"/>
  <c r="H11" i="4"/>
  <c r="AQ11" i="4" s="1"/>
  <c r="I11" i="4"/>
  <c r="AM11" i="4" s="1"/>
  <c r="J11" i="4"/>
  <c r="AP11" i="4" s="1"/>
  <c r="K11" i="4"/>
  <c r="AU11" i="4" s="1"/>
  <c r="L11" i="4"/>
  <c r="AR11" i="4" s="1"/>
  <c r="M11" i="4"/>
  <c r="AN11" i="4" s="1"/>
  <c r="N11" i="4"/>
  <c r="O11" i="4"/>
  <c r="C12" i="4"/>
  <c r="D12" i="4"/>
  <c r="E12" i="4"/>
  <c r="F12" i="4"/>
  <c r="G12" i="4"/>
  <c r="AT12" i="4" s="1"/>
  <c r="H12" i="4"/>
  <c r="AQ12" i="4" s="1"/>
  <c r="I12" i="4"/>
  <c r="AM12" i="4" s="1"/>
  <c r="J12" i="4"/>
  <c r="AP12" i="4" s="1"/>
  <c r="K12" i="4"/>
  <c r="AU12" i="4" s="1"/>
  <c r="L12" i="4"/>
  <c r="AR12" i="4" s="1"/>
  <c r="M12" i="4"/>
  <c r="AN12" i="4" s="1"/>
  <c r="N12" i="4"/>
  <c r="O12" i="4"/>
  <c r="C13" i="4"/>
  <c r="D13" i="4"/>
  <c r="E13" i="4"/>
  <c r="F13" i="4"/>
  <c r="G13" i="4"/>
  <c r="AT13" i="4" s="1"/>
  <c r="H13" i="4"/>
  <c r="AQ13" i="4" s="1"/>
  <c r="I13" i="4"/>
  <c r="AM13" i="4" s="1"/>
  <c r="J13" i="4"/>
  <c r="AP13" i="4" s="1"/>
  <c r="K13" i="4"/>
  <c r="AU13" i="4" s="1"/>
  <c r="L13" i="4"/>
  <c r="AR13" i="4" s="1"/>
  <c r="M13" i="4"/>
  <c r="AN13" i="4" s="1"/>
  <c r="N13" i="4"/>
  <c r="O13" i="4"/>
  <c r="C14" i="4"/>
  <c r="D14" i="4"/>
  <c r="E14" i="4"/>
  <c r="F14" i="4"/>
  <c r="G14" i="4"/>
  <c r="AT14" i="4" s="1"/>
  <c r="H14" i="4"/>
  <c r="AQ14" i="4" s="1"/>
  <c r="I14" i="4"/>
  <c r="AM14" i="4" s="1"/>
  <c r="J14" i="4"/>
  <c r="AP14" i="4" s="1"/>
  <c r="K14" i="4"/>
  <c r="AU14" i="4" s="1"/>
  <c r="L14" i="4"/>
  <c r="AR14" i="4" s="1"/>
  <c r="M14" i="4"/>
  <c r="AN14" i="4" s="1"/>
  <c r="N14" i="4"/>
  <c r="O14" i="4"/>
  <c r="C15" i="4"/>
  <c r="D15" i="4"/>
  <c r="E15" i="4"/>
  <c r="F15" i="4"/>
  <c r="G15" i="4"/>
  <c r="AT15" i="4" s="1"/>
  <c r="H15" i="4"/>
  <c r="AQ15" i="4" s="1"/>
  <c r="I15" i="4"/>
  <c r="AM15" i="4" s="1"/>
  <c r="J15" i="4"/>
  <c r="AP15" i="4" s="1"/>
  <c r="K15" i="4"/>
  <c r="AU15" i="4" s="1"/>
  <c r="L15" i="4"/>
  <c r="AR15" i="4" s="1"/>
  <c r="M15" i="4"/>
  <c r="AN15" i="4" s="1"/>
  <c r="N15" i="4"/>
  <c r="O15" i="4"/>
  <c r="C16" i="4"/>
  <c r="D16" i="4"/>
  <c r="E16" i="4"/>
  <c r="F16" i="4"/>
  <c r="G16" i="4"/>
  <c r="AT16" i="4" s="1"/>
  <c r="H16" i="4"/>
  <c r="AQ16" i="4" s="1"/>
  <c r="I16" i="4"/>
  <c r="AM16" i="4" s="1"/>
  <c r="J16" i="4"/>
  <c r="AP16" i="4" s="1"/>
  <c r="K16" i="4"/>
  <c r="AU16" i="4" s="1"/>
  <c r="L16" i="4"/>
  <c r="AR16" i="4" s="1"/>
  <c r="M16" i="4"/>
  <c r="AN16" i="4" s="1"/>
  <c r="N16" i="4"/>
  <c r="O16" i="4"/>
  <c r="C17" i="4"/>
  <c r="D17" i="4"/>
  <c r="E17" i="4"/>
  <c r="F17" i="4"/>
  <c r="G17" i="4"/>
  <c r="AT17" i="4" s="1"/>
  <c r="H17" i="4"/>
  <c r="AQ17" i="4" s="1"/>
  <c r="I17" i="4"/>
  <c r="AM17" i="4" s="1"/>
  <c r="J17" i="4"/>
  <c r="AP17" i="4" s="1"/>
  <c r="K17" i="4"/>
  <c r="AU17" i="4" s="1"/>
  <c r="L17" i="4"/>
  <c r="AR17" i="4" s="1"/>
  <c r="M17" i="4"/>
  <c r="AN17" i="4" s="1"/>
  <c r="N17" i="4"/>
  <c r="O17" i="4"/>
  <c r="C18" i="4"/>
  <c r="D18" i="4"/>
  <c r="E18" i="4"/>
  <c r="F18" i="4"/>
  <c r="G18" i="4"/>
  <c r="AT18" i="4" s="1"/>
  <c r="H18" i="4"/>
  <c r="AQ18" i="4" s="1"/>
  <c r="I18" i="4"/>
  <c r="AM18" i="4" s="1"/>
  <c r="J18" i="4"/>
  <c r="AP18" i="4" s="1"/>
  <c r="K18" i="4"/>
  <c r="AU18" i="4" s="1"/>
  <c r="L18" i="4"/>
  <c r="AR18" i="4" s="1"/>
  <c r="M18" i="4"/>
  <c r="AN18" i="4" s="1"/>
  <c r="N18" i="4"/>
  <c r="O18" i="4"/>
  <c r="C19" i="4"/>
  <c r="D19" i="4"/>
  <c r="E19" i="4"/>
  <c r="F19" i="4"/>
  <c r="G19" i="4"/>
  <c r="AT19" i="4" s="1"/>
  <c r="H19" i="4"/>
  <c r="AQ19" i="4" s="1"/>
  <c r="I19" i="4"/>
  <c r="AM19" i="4" s="1"/>
  <c r="J19" i="4"/>
  <c r="AP19" i="4" s="1"/>
  <c r="K19" i="4"/>
  <c r="AU19" i="4" s="1"/>
  <c r="L19" i="4"/>
  <c r="AR19" i="4" s="1"/>
  <c r="M19" i="4"/>
  <c r="AN19" i="4" s="1"/>
  <c r="N19" i="4"/>
  <c r="O19" i="4"/>
  <c r="C20" i="4"/>
  <c r="D20" i="4"/>
  <c r="E20" i="4"/>
  <c r="F20" i="4"/>
  <c r="G20" i="4"/>
  <c r="AT20" i="4" s="1"/>
  <c r="H20" i="4"/>
  <c r="AQ20" i="4" s="1"/>
  <c r="I20" i="4"/>
  <c r="AM20" i="4" s="1"/>
  <c r="J20" i="4"/>
  <c r="AP20" i="4" s="1"/>
  <c r="K20" i="4"/>
  <c r="AU20" i="4" s="1"/>
  <c r="L20" i="4"/>
  <c r="AR20" i="4" s="1"/>
  <c r="M20" i="4"/>
  <c r="AN20" i="4" s="1"/>
  <c r="N20" i="4"/>
  <c r="O20" i="4"/>
  <c r="C21" i="4"/>
  <c r="D21" i="4"/>
  <c r="E21" i="4"/>
  <c r="F21" i="4"/>
  <c r="G21" i="4"/>
  <c r="AT21" i="4" s="1"/>
  <c r="H21" i="4"/>
  <c r="AQ21" i="4" s="1"/>
  <c r="I21" i="4"/>
  <c r="AM21" i="4" s="1"/>
  <c r="J21" i="4"/>
  <c r="AP21" i="4" s="1"/>
  <c r="K21" i="4"/>
  <c r="AU21" i="4" s="1"/>
  <c r="L21" i="4"/>
  <c r="AR21" i="4" s="1"/>
  <c r="M21" i="4"/>
  <c r="AN21" i="4" s="1"/>
  <c r="N21" i="4"/>
  <c r="O21" i="4"/>
  <c r="C22" i="4"/>
  <c r="D22" i="4"/>
  <c r="E22" i="4"/>
  <c r="F22" i="4"/>
  <c r="G22" i="4"/>
  <c r="AT22" i="4" s="1"/>
  <c r="H22" i="4"/>
  <c r="AQ22" i="4" s="1"/>
  <c r="I22" i="4"/>
  <c r="AM22" i="4" s="1"/>
  <c r="J22" i="4"/>
  <c r="AP22" i="4" s="1"/>
  <c r="K22" i="4"/>
  <c r="AU22" i="4" s="1"/>
  <c r="L22" i="4"/>
  <c r="AR22" i="4" s="1"/>
  <c r="M22" i="4"/>
  <c r="AN22" i="4" s="1"/>
  <c r="N22" i="4"/>
  <c r="O22" i="4"/>
  <c r="C23" i="4"/>
  <c r="D23" i="4"/>
  <c r="E23" i="4"/>
  <c r="F23" i="4"/>
  <c r="G23" i="4"/>
  <c r="AT23" i="4" s="1"/>
  <c r="H23" i="4"/>
  <c r="AQ23" i="4" s="1"/>
  <c r="I23" i="4"/>
  <c r="AM23" i="4" s="1"/>
  <c r="J23" i="4"/>
  <c r="AP23" i="4" s="1"/>
  <c r="K23" i="4"/>
  <c r="AU23" i="4" s="1"/>
  <c r="L23" i="4"/>
  <c r="AR23" i="4" s="1"/>
  <c r="M23" i="4"/>
  <c r="AN23" i="4" s="1"/>
  <c r="N23" i="4"/>
  <c r="O23" i="4"/>
  <c r="C24" i="4"/>
  <c r="D24" i="4"/>
  <c r="E24" i="4"/>
  <c r="F24" i="4"/>
  <c r="G24" i="4"/>
  <c r="AT24" i="4" s="1"/>
  <c r="H24" i="4"/>
  <c r="AQ24" i="4" s="1"/>
  <c r="I24" i="4"/>
  <c r="AM24" i="4" s="1"/>
  <c r="J24" i="4"/>
  <c r="AP24" i="4" s="1"/>
  <c r="K24" i="4"/>
  <c r="AU24" i="4" s="1"/>
  <c r="L24" i="4"/>
  <c r="AR24" i="4" s="1"/>
  <c r="M24" i="4"/>
  <c r="AN24" i="4" s="1"/>
  <c r="N24" i="4"/>
  <c r="O24" i="4"/>
  <c r="C25" i="4"/>
  <c r="D25" i="4"/>
  <c r="E25" i="4"/>
  <c r="F25" i="4"/>
  <c r="G25" i="4"/>
  <c r="AT25" i="4" s="1"/>
  <c r="H25" i="4"/>
  <c r="AQ25" i="4" s="1"/>
  <c r="I25" i="4"/>
  <c r="AM25" i="4" s="1"/>
  <c r="J25" i="4"/>
  <c r="AP25" i="4" s="1"/>
  <c r="K25" i="4"/>
  <c r="AU25" i="4" s="1"/>
  <c r="L25" i="4"/>
  <c r="AR25" i="4" s="1"/>
  <c r="M25" i="4"/>
  <c r="AN25" i="4" s="1"/>
  <c r="N25" i="4"/>
  <c r="O25" i="4"/>
  <c r="C26" i="4"/>
  <c r="D26" i="4"/>
  <c r="E26" i="4"/>
  <c r="F26" i="4"/>
  <c r="G26" i="4"/>
  <c r="AT26" i="4" s="1"/>
  <c r="H26" i="4"/>
  <c r="AQ26" i="4" s="1"/>
  <c r="I26" i="4"/>
  <c r="AM26" i="4" s="1"/>
  <c r="J26" i="4"/>
  <c r="AP26" i="4" s="1"/>
  <c r="K26" i="4"/>
  <c r="AU26" i="4" s="1"/>
  <c r="L26" i="4"/>
  <c r="AR26" i="4" s="1"/>
  <c r="M26" i="4"/>
  <c r="AN26" i="4" s="1"/>
  <c r="N26" i="4"/>
  <c r="O26" i="4"/>
  <c r="C27" i="4"/>
  <c r="D27" i="4"/>
  <c r="E27" i="4"/>
  <c r="F27" i="4"/>
  <c r="G27" i="4"/>
  <c r="AT27" i="4" s="1"/>
  <c r="H27" i="4"/>
  <c r="AQ27" i="4" s="1"/>
  <c r="I27" i="4"/>
  <c r="AM27" i="4" s="1"/>
  <c r="J27" i="4"/>
  <c r="AP27" i="4" s="1"/>
  <c r="K27" i="4"/>
  <c r="AU27" i="4" s="1"/>
  <c r="L27" i="4"/>
  <c r="AR27" i="4" s="1"/>
  <c r="M27" i="4"/>
  <c r="AN27" i="4" s="1"/>
  <c r="N27" i="4"/>
  <c r="O27" i="4"/>
  <c r="C28" i="4"/>
  <c r="D28" i="4"/>
  <c r="E28" i="4"/>
  <c r="F28" i="4"/>
  <c r="G28" i="4"/>
  <c r="AT28" i="4" s="1"/>
  <c r="H28" i="4"/>
  <c r="AQ28" i="4" s="1"/>
  <c r="I28" i="4"/>
  <c r="AM28" i="4" s="1"/>
  <c r="J28" i="4"/>
  <c r="AP28" i="4" s="1"/>
  <c r="K28" i="4"/>
  <c r="AU28" i="4" s="1"/>
  <c r="L28" i="4"/>
  <c r="AR28" i="4" s="1"/>
  <c r="M28" i="4"/>
  <c r="AN28" i="4" s="1"/>
  <c r="N28" i="4"/>
  <c r="O28" i="4"/>
  <c r="C29" i="4"/>
  <c r="D29" i="4"/>
  <c r="E29" i="4"/>
  <c r="F29" i="4"/>
  <c r="G29" i="4"/>
  <c r="AT29" i="4" s="1"/>
  <c r="H29" i="4"/>
  <c r="AQ29" i="4" s="1"/>
  <c r="I29" i="4"/>
  <c r="AM29" i="4" s="1"/>
  <c r="J29" i="4"/>
  <c r="AP29" i="4" s="1"/>
  <c r="K29" i="4"/>
  <c r="AU29" i="4" s="1"/>
  <c r="L29" i="4"/>
  <c r="AR29" i="4" s="1"/>
  <c r="M29" i="4"/>
  <c r="AN29" i="4" s="1"/>
  <c r="N29" i="4"/>
  <c r="O29" i="4"/>
  <c r="AS25" i="4" l="1"/>
  <c r="AS9" i="4"/>
  <c r="AS41" i="4"/>
  <c r="AS73" i="4"/>
  <c r="AS57" i="4"/>
  <c r="AS36" i="4"/>
  <c r="AS72" i="4"/>
  <c r="AS60" i="4"/>
  <c r="AS56" i="4"/>
  <c r="AS80" i="4"/>
  <c r="AS76" i="4"/>
  <c r="AS29" i="4"/>
  <c r="AS13" i="4"/>
  <c r="AS49" i="4"/>
  <c r="AS33" i="4"/>
  <c r="AS61" i="4"/>
  <c r="AS28" i="4"/>
  <c r="AS20" i="4"/>
  <c r="AS12" i="4"/>
  <c r="AS8" i="4"/>
  <c r="AS52" i="4"/>
  <c r="AS44" i="4"/>
  <c r="AS64" i="4"/>
  <c r="AS27" i="4"/>
  <c r="AS15" i="4"/>
  <c r="AS7" i="4"/>
  <c r="AS43" i="4"/>
  <c r="AS39" i="4"/>
  <c r="AS71" i="4"/>
  <c r="AS67" i="4"/>
  <c r="AS63" i="4"/>
  <c r="AS59" i="4"/>
  <c r="AS55" i="4"/>
  <c r="AS79" i="4"/>
  <c r="AS75" i="4"/>
  <c r="AS21" i="4"/>
  <c r="AS17" i="4"/>
  <c r="AS45" i="4"/>
  <c r="AS37" i="4"/>
  <c r="AS69" i="4"/>
  <c r="AS65" i="4"/>
  <c r="AS53" i="4"/>
  <c r="AS77" i="4"/>
  <c r="AS24" i="4"/>
  <c r="AS16" i="4"/>
  <c r="AS48" i="4"/>
  <c r="AS40" i="4"/>
  <c r="AS32" i="4"/>
  <c r="AS68" i="4"/>
  <c r="AS23" i="4"/>
  <c r="AS19" i="4"/>
  <c r="AS11" i="4"/>
  <c r="AS51" i="4"/>
  <c r="AS47" i="4"/>
  <c r="AS35" i="4"/>
  <c r="AS31" i="4"/>
  <c r="AS26" i="4"/>
  <c r="AS22" i="4"/>
  <c r="AS18" i="4"/>
  <c r="AS14" i="4"/>
  <c r="AS10" i="4"/>
  <c r="AS6" i="4"/>
  <c r="AS50" i="4"/>
  <c r="AS46" i="4"/>
  <c r="AS42" i="4"/>
  <c r="AS38" i="4"/>
  <c r="AS34" i="4"/>
  <c r="AS30" i="4"/>
  <c r="AS70" i="4"/>
  <c r="AS66" i="4"/>
  <c r="AS62" i="4"/>
  <c r="AS58" i="4"/>
  <c r="AS54" i="4"/>
  <c r="AS78" i="4"/>
  <c r="AS74" i="4"/>
  <c r="AO22" i="4"/>
  <c r="AO18" i="4"/>
  <c r="AO14" i="4"/>
  <c r="AO6" i="4"/>
  <c r="AO46" i="4"/>
  <c r="AO38" i="4"/>
  <c r="AO34" i="4"/>
  <c r="AO70" i="4"/>
  <c r="AO66" i="4"/>
  <c r="AO58" i="4"/>
  <c r="AO54" i="4"/>
  <c r="AO29" i="4"/>
  <c r="AO25" i="4"/>
  <c r="AO13" i="4"/>
  <c r="AO49" i="4"/>
  <c r="AO41" i="4"/>
  <c r="AO33" i="4"/>
  <c r="AO69" i="4"/>
  <c r="AO61" i="4"/>
  <c r="AO77" i="4"/>
  <c r="AO28" i="4"/>
  <c r="AO24" i="4"/>
  <c r="AO20" i="4"/>
  <c r="AO16" i="4"/>
  <c r="AO12" i="4"/>
  <c r="AO8" i="4"/>
  <c r="AO52" i="4"/>
  <c r="AO48" i="4"/>
  <c r="AO44" i="4"/>
  <c r="AO40" i="4"/>
  <c r="AO36" i="4"/>
  <c r="AO32" i="4"/>
  <c r="AO72" i="4"/>
  <c r="AO68" i="4"/>
  <c r="AO64" i="4"/>
  <c r="AO60" i="4"/>
  <c r="AO56" i="4"/>
  <c r="AO80" i="4"/>
  <c r="AO76" i="4"/>
  <c r="AO26" i="4"/>
  <c r="AO10" i="4"/>
  <c r="AO50" i="4"/>
  <c r="AO42" i="4"/>
  <c r="AO30" i="4"/>
  <c r="AO62" i="4"/>
  <c r="AO78" i="4"/>
  <c r="AO74" i="4"/>
  <c r="AO21" i="4"/>
  <c r="AO17" i="4"/>
  <c r="AO9" i="4"/>
  <c r="AO5" i="4"/>
  <c r="AO45" i="4"/>
  <c r="AO37" i="4"/>
  <c r="AO73" i="4"/>
  <c r="AO65" i="4"/>
  <c r="AO57" i="4"/>
  <c r="AO53" i="4"/>
  <c r="AO27" i="4"/>
  <c r="AO23" i="4"/>
  <c r="AO19" i="4"/>
  <c r="AO15" i="4"/>
  <c r="AO11" i="4"/>
  <c r="AO7" i="4"/>
  <c r="AO51" i="4"/>
  <c r="AO47" i="4"/>
  <c r="AO43" i="4"/>
  <c r="AO39" i="4"/>
  <c r="AO35" i="4"/>
  <c r="AO31" i="4"/>
  <c r="AO71" i="4"/>
  <c r="AO67" i="4"/>
  <c r="AO63" i="4"/>
  <c r="AO59" i="4"/>
  <c r="AO55" i="4"/>
  <c r="AO79" i="4"/>
  <c r="AO75" i="4"/>
  <c r="AN87" i="4"/>
  <c r="AM87" i="4"/>
  <c r="E4" i="4"/>
  <c r="AS4" i="4" l="1"/>
  <c r="D4" i="4"/>
  <c r="C4" i="4"/>
  <c r="AM84" i="4" l="1"/>
  <c r="AN84" i="4"/>
  <c r="AN83" i="4" l="1"/>
  <c r="AN82" i="4"/>
  <c r="AM83" i="4"/>
  <c r="AM82" i="4"/>
  <c r="AN85" i="4"/>
  <c r="AM81" i="4"/>
  <c r="AN81" i="4"/>
  <c r="AM85" i="4"/>
  <c r="AN88" i="4" l="1"/>
  <c r="AM88" i="4"/>
  <c r="Q88" i="4" l="1"/>
  <c r="R88" i="4"/>
  <c r="S88" i="4"/>
  <c r="T88" i="4"/>
  <c r="U88" i="4"/>
  <c r="C88" i="4"/>
  <c r="E88" i="4"/>
  <c r="AS88" i="4" s="1"/>
  <c r="F88" i="4"/>
  <c r="G88" i="4"/>
  <c r="AT88" i="4" s="1"/>
  <c r="H88" i="4"/>
  <c r="AQ88" i="4" s="1"/>
  <c r="I88" i="4"/>
  <c r="J88" i="4"/>
  <c r="AP88" i="4" s="1"/>
  <c r="K88" i="4"/>
  <c r="AU88" i="4" s="1"/>
  <c r="L88" i="4"/>
  <c r="AR88" i="4" s="1"/>
  <c r="M88" i="4"/>
  <c r="N88" i="4"/>
  <c r="O88" i="4"/>
  <c r="O4" i="4"/>
  <c r="N4" i="4"/>
  <c r="M4" i="4"/>
  <c r="AN4" i="4" s="1"/>
  <c r="AN86" i="4" s="1"/>
  <c r="L4" i="4"/>
  <c r="AR4" i="4" s="1"/>
  <c r="K4" i="4"/>
  <c r="AU4" i="4" s="1"/>
  <c r="J4" i="4"/>
  <c r="AP4" i="4" s="1"/>
  <c r="I4" i="4"/>
  <c r="AM4" i="4" s="1"/>
  <c r="AM86" i="4" s="1"/>
  <c r="H4" i="4"/>
  <c r="AQ4" i="4" s="1"/>
  <c r="G4" i="4"/>
  <c r="AT4" i="4" s="1"/>
  <c r="F4" i="4"/>
  <c r="AO88" i="4" l="1"/>
  <c r="AO4" i="4"/>
  <c r="W88" i="4"/>
  <c r="F86" i="4"/>
  <c r="J86" i="4"/>
  <c r="AP86" i="4" s="1"/>
  <c r="N86" i="4"/>
  <c r="H86" i="4"/>
  <c r="AQ86" i="4" s="1"/>
  <c r="L86" i="4"/>
  <c r="AR86" i="4" s="1"/>
  <c r="L87" i="4"/>
  <c r="AR87" i="4" s="1"/>
  <c r="C87" i="4"/>
  <c r="U87" i="4"/>
  <c r="O87" i="4"/>
  <c r="G87" i="4"/>
  <c r="AT87" i="4" s="1"/>
  <c r="T87" i="4"/>
  <c r="N87" i="4"/>
  <c r="J87" i="4"/>
  <c r="AP87" i="4" s="1"/>
  <c r="F87" i="4"/>
  <c r="S87" i="4"/>
  <c r="H87" i="4"/>
  <c r="AQ87" i="4" s="1"/>
  <c r="Q87" i="4"/>
  <c r="I86" i="4"/>
  <c r="M86" i="4"/>
  <c r="K87" i="4"/>
  <c r="AU87" i="4" s="1"/>
  <c r="G86" i="4"/>
  <c r="AT86" i="4" s="1"/>
  <c r="K86" i="4"/>
  <c r="AU86" i="4" s="1"/>
  <c r="O86" i="4"/>
  <c r="M87" i="4"/>
  <c r="I87" i="4"/>
  <c r="E87" i="4"/>
  <c r="AS87" i="4" s="1"/>
  <c r="R87" i="4"/>
  <c r="W77" i="4"/>
  <c r="W49" i="4"/>
  <c r="W65" i="4"/>
  <c r="W33" i="4"/>
  <c r="W17" i="4"/>
  <c r="W53" i="4"/>
  <c r="W37" i="4"/>
  <c r="W73" i="4"/>
  <c r="W25" i="4"/>
  <c r="W75" i="4"/>
  <c r="W71" i="4"/>
  <c r="W56" i="4"/>
  <c r="W34" i="4"/>
  <c r="W61" i="4"/>
  <c r="W57" i="4"/>
  <c r="W45" i="4"/>
  <c r="W41" i="4"/>
  <c r="W29" i="4"/>
  <c r="W14" i="4"/>
  <c r="W78" i="4"/>
  <c r="W59" i="4"/>
  <c r="W40" i="4"/>
  <c r="W18" i="4"/>
  <c r="W69" i="4"/>
  <c r="W21" i="4"/>
  <c r="W66" i="4"/>
  <c r="W43" i="4"/>
  <c r="W24" i="4"/>
  <c r="W72" i="4"/>
  <c r="W50" i="4"/>
  <c r="W27" i="4"/>
  <c r="W68" i="4"/>
  <c r="W62" i="4"/>
  <c r="W55" i="4"/>
  <c r="W52" i="4"/>
  <c r="W46" i="4"/>
  <c r="W39" i="4"/>
  <c r="W36" i="4"/>
  <c r="W30" i="4"/>
  <c r="W23" i="4"/>
  <c r="W20" i="4"/>
  <c r="W15" i="4"/>
  <c r="W80" i="4"/>
  <c r="W74" i="4"/>
  <c r="W67" i="4"/>
  <c r="W64" i="4"/>
  <c r="W58" i="4"/>
  <c r="W51" i="4"/>
  <c r="W48" i="4"/>
  <c r="W42" i="4"/>
  <c r="W35" i="4"/>
  <c r="W32" i="4"/>
  <c r="W26" i="4"/>
  <c r="W19" i="4"/>
  <c r="W16" i="4"/>
  <c r="W79" i="4"/>
  <c r="W76" i="4"/>
  <c r="W70" i="4"/>
  <c r="W63" i="4"/>
  <c r="W60" i="4"/>
  <c r="W54" i="4"/>
  <c r="W47" i="4"/>
  <c r="W44" i="4"/>
  <c r="W38" i="4"/>
  <c r="W31" i="4"/>
  <c r="W28" i="4"/>
  <c r="W22" i="4"/>
  <c r="W13" i="4"/>
  <c r="W11" i="4"/>
  <c r="W9" i="4"/>
  <c r="W7" i="4"/>
  <c r="W5" i="4"/>
  <c r="W12" i="4"/>
  <c r="W10" i="4"/>
  <c r="W8" i="4"/>
  <c r="W6" i="4"/>
  <c r="AO86" i="4" l="1"/>
  <c r="AO87" i="4"/>
  <c r="W87" i="4"/>
  <c r="U4" i="4"/>
  <c r="U86" i="4" s="1"/>
  <c r="T4" i="4"/>
  <c r="T86" i="4" s="1"/>
  <c r="S4" i="4"/>
  <c r="S86" i="4" s="1"/>
  <c r="R4" i="4"/>
  <c r="R86" i="4" s="1"/>
  <c r="Q4" i="4"/>
  <c r="Q86" i="4" s="1"/>
  <c r="E86" i="4"/>
  <c r="AS86" i="4" s="1"/>
  <c r="C86" i="4"/>
  <c r="W86" i="4" l="1"/>
  <c r="D55" i="3"/>
  <c r="W4" i="4" l="1"/>
  <c r="P4" i="4"/>
  <c r="V4" i="4" s="1"/>
  <c r="P10" i="4"/>
  <c r="V10" i="4" s="1"/>
  <c r="P5" i="4"/>
  <c r="V5" i="4" s="1"/>
  <c r="P6" i="4"/>
  <c r="V6" i="4" s="1"/>
  <c r="P7" i="4"/>
  <c r="V7" i="4" s="1"/>
  <c r="P12" i="4"/>
  <c r="V12" i="4" s="1"/>
  <c r="P8" i="4"/>
  <c r="V8" i="4" s="1"/>
  <c r="P18" i="4"/>
  <c r="V18" i="4" s="1"/>
  <c r="P13" i="4"/>
  <c r="V13" i="4" s="1"/>
  <c r="P11" i="4"/>
  <c r="V11" i="4" s="1"/>
  <c r="P15" i="4"/>
  <c r="V15" i="4" s="1"/>
  <c r="P14" i="4"/>
  <c r="V14" i="4" s="1"/>
  <c r="P20" i="4"/>
  <c r="V20" i="4" s="1"/>
  <c r="P21" i="4"/>
  <c r="V21" i="4" s="1"/>
  <c r="P16" i="4"/>
  <c r="V16" i="4" s="1"/>
  <c r="P17" i="4"/>
  <c r="V17" i="4" s="1"/>
  <c r="P19" i="4"/>
  <c r="V19" i="4" s="1"/>
  <c r="P22" i="4"/>
  <c r="V22" i="4" s="1"/>
  <c r="P68" i="4"/>
  <c r="V68" i="4" s="1"/>
  <c r="P24" i="4"/>
  <c r="V24" i="4" s="1"/>
  <c r="P25" i="4"/>
  <c r="V25" i="4" s="1"/>
  <c r="P27" i="4"/>
  <c r="V27" i="4" s="1"/>
  <c r="P23" i="4"/>
  <c r="V23" i="4" s="1"/>
  <c r="P77" i="4"/>
  <c r="V77" i="4" s="1"/>
  <c r="P28" i="4"/>
  <c r="V28" i="4" s="1"/>
  <c r="P30" i="4"/>
  <c r="V30" i="4" s="1"/>
  <c r="P31" i="4"/>
  <c r="V31" i="4" s="1"/>
  <c r="P73" i="4"/>
  <c r="V73" i="4" s="1"/>
  <c r="P34" i="4"/>
  <c r="V34" i="4" s="1"/>
  <c r="P69" i="4"/>
  <c r="V69" i="4" s="1"/>
  <c r="P37" i="4"/>
  <c r="V37" i="4" s="1"/>
  <c r="P41" i="4"/>
  <c r="V41" i="4" s="1"/>
  <c r="P38" i="4"/>
  <c r="V38" i="4" s="1"/>
  <c r="P48" i="4"/>
  <c r="V48" i="4" s="1"/>
  <c r="P39" i="4"/>
  <c r="V39" i="4" s="1"/>
  <c r="P40" i="4"/>
  <c r="V40" i="4" s="1"/>
  <c r="P42" i="4"/>
  <c r="V42" i="4" s="1"/>
  <c r="P43" i="4"/>
  <c r="V43" i="4" s="1"/>
  <c r="P44" i="4"/>
  <c r="V44" i="4" s="1"/>
  <c r="P45" i="4"/>
  <c r="V45" i="4" s="1"/>
  <c r="P46" i="4"/>
  <c r="V46" i="4" s="1"/>
  <c r="P26" i="4"/>
  <c r="V26" i="4" s="1"/>
  <c r="P62" i="4"/>
  <c r="V62" i="4" s="1"/>
  <c r="P54" i="4"/>
  <c r="V54" i="4" s="1"/>
  <c r="P70" i="4"/>
  <c r="V70" i="4" s="1"/>
  <c r="P49" i="4"/>
  <c r="V49" i="4" s="1"/>
  <c r="P32" i="4"/>
  <c r="V32" i="4" s="1"/>
  <c r="P50" i="4"/>
  <c r="V50" i="4" s="1"/>
  <c r="P51" i="4"/>
  <c r="V51" i="4" s="1"/>
  <c r="P53" i="4"/>
  <c r="V53" i="4" s="1"/>
  <c r="P33" i="4"/>
  <c r="V33" i="4" s="1"/>
  <c r="P52" i="4"/>
  <c r="V52" i="4" s="1"/>
  <c r="P55" i="4"/>
  <c r="V55" i="4" s="1"/>
  <c r="P67" i="4"/>
  <c r="V67" i="4" s="1"/>
  <c r="P56" i="4"/>
  <c r="V56" i="4" s="1"/>
  <c r="P29" i="4"/>
  <c r="V29" i="4" s="1"/>
  <c r="P35" i="4"/>
  <c r="V35" i="4" s="1"/>
  <c r="P57" i="4"/>
  <c r="V57" i="4" s="1"/>
  <c r="P36" i="4"/>
  <c r="V36" i="4" s="1"/>
  <c r="P58" i="4"/>
  <c r="V58" i="4" s="1"/>
  <c r="P59" i="4"/>
  <c r="V59" i="4" s="1"/>
  <c r="P60" i="4"/>
  <c r="V60" i="4" s="1"/>
  <c r="P61" i="4"/>
  <c r="V61" i="4" s="1"/>
  <c r="P63" i="4"/>
  <c r="V63" i="4" s="1"/>
  <c r="P64" i="4"/>
  <c r="V64" i="4" s="1"/>
  <c r="P65" i="4"/>
  <c r="V65" i="4" s="1"/>
  <c r="P47" i="4"/>
  <c r="V47" i="4" s="1"/>
  <c r="P66" i="4"/>
  <c r="V66" i="4" s="1"/>
  <c r="P71" i="4"/>
  <c r="V71" i="4" s="1"/>
  <c r="P72" i="4"/>
  <c r="V72" i="4" s="1"/>
  <c r="P74" i="4"/>
  <c r="V74" i="4" s="1"/>
  <c r="P75" i="4"/>
  <c r="V75" i="4" s="1"/>
  <c r="P76" i="4"/>
  <c r="V76" i="4" s="1"/>
  <c r="P78" i="4"/>
  <c r="V78" i="4" s="1"/>
  <c r="P79" i="4"/>
  <c r="V79" i="4" s="1"/>
  <c r="P80" i="4"/>
  <c r="V80" i="4" s="1"/>
  <c r="P88" i="4" l="1"/>
  <c r="V88" i="4" s="1"/>
  <c r="P87" i="4"/>
  <c r="V87" i="4" s="1"/>
  <c r="P9" i="4"/>
  <c r="V9" i="4" s="1"/>
  <c r="A1" i="3"/>
  <c r="A1" i="2"/>
  <c r="A1" i="1"/>
  <c r="P86" i="4" l="1"/>
  <c r="V86" i="4" s="1"/>
  <c r="C49" i="1"/>
  <c r="C38" i="1"/>
  <c r="C40" i="1"/>
  <c r="C43" i="1"/>
  <c r="C48" i="1"/>
  <c r="C10" i="2"/>
  <c r="C8" i="2"/>
  <c r="C6" i="2"/>
  <c r="C52" i="1"/>
  <c r="C33" i="1"/>
  <c r="C9" i="2"/>
  <c r="C37" i="1"/>
  <c r="C5" i="1"/>
  <c r="C41" i="1"/>
  <c r="C44" i="1"/>
  <c r="C35" i="1"/>
  <c r="C46" i="1"/>
  <c r="C57" i="1"/>
  <c r="C11" i="2"/>
  <c r="C58" i="1"/>
  <c r="C16" i="2"/>
  <c r="C12" i="2"/>
  <c r="B9" i="5"/>
  <c r="F51" i="1" l="1"/>
  <c r="F50" i="1"/>
  <c r="F46" i="1"/>
  <c r="F42" i="1"/>
  <c r="E38" i="1"/>
  <c r="E34" i="1"/>
  <c r="F16" i="1"/>
  <c r="E12" i="1"/>
  <c r="F49" i="1"/>
  <c r="F45" i="1"/>
  <c r="E41" i="1"/>
  <c r="E37" i="1"/>
  <c r="E33" i="1"/>
  <c r="F19" i="1"/>
  <c r="F15" i="1"/>
  <c r="D64" i="3" s="1"/>
  <c r="E11" i="1"/>
  <c r="F48" i="1"/>
  <c r="F44" i="1"/>
  <c r="E40" i="1"/>
  <c r="E36" i="1"/>
  <c r="E32" i="1"/>
  <c r="D67" i="3" s="1"/>
  <c r="F18" i="1"/>
  <c r="E14" i="1"/>
  <c r="E10" i="1"/>
  <c r="F47" i="1"/>
  <c r="F43" i="1"/>
  <c r="D66" i="3" s="1"/>
  <c r="E39" i="1"/>
  <c r="E35" i="1"/>
  <c r="F17" i="1"/>
  <c r="E13" i="1"/>
  <c r="D41" i="3"/>
  <c r="D42" i="3"/>
  <c r="D38" i="3"/>
  <c r="D39" i="3"/>
  <c r="D40" i="3"/>
  <c r="D12" i="3" l="1"/>
  <c r="G22" i="3"/>
  <c r="G14" i="3"/>
  <c r="D22" i="3"/>
  <c r="F52" i="1"/>
  <c r="F27" i="1"/>
  <c r="E25" i="1"/>
  <c r="G18" i="3"/>
  <c r="D14" i="3"/>
  <c r="D18" i="3"/>
  <c r="G12" i="3"/>
  <c r="E53" i="1"/>
  <c r="E11" i="2" l="1"/>
  <c r="E26" i="1"/>
  <c r="E29" i="1" s="1"/>
  <c r="G14" i="2"/>
  <c r="G16" i="2"/>
  <c r="G13" i="2"/>
  <c r="F28" i="1"/>
  <c r="G15" i="2" s="1"/>
  <c r="E15" i="2"/>
  <c r="E12" i="2"/>
  <c r="E16" i="2"/>
  <c r="G11" i="2"/>
  <c r="G9" i="2"/>
  <c r="J18" i="3"/>
  <c r="E9" i="2"/>
  <c r="F29" i="1"/>
  <c r="J14" i="3"/>
  <c r="D26" i="3"/>
  <c r="F53" i="1"/>
  <c r="J12" i="3"/>
  <c r="G26" i="3"/>
  <c r="J22" i="3"/>
  <c r="D43" i="3"/>
  <c r="I15" i="2" l="1"/>
  <c r="G10" i="2"/>
  <c r="G8" i="2"/>
  <c r="E8" i="2"/>
  <c r="E10" i="2"/>
  <c r="E13" i="2"/>
  <c r="I13" i="2" s="1"/>
  <c r="E14" i="2"/>
  <c r="I14" i="2" s="1"/>
  <c r="J23" i="3"/>
  <c r="D68" i="3"/>
  <c r="I10" i="2" l="1"/>
  <c r="I11" i="2" l="1"/>
  <c r="I8" i="2"/>
  <c r="I16" i="2"/>
  <c r="E59" i="1"/>
  <c r="I9" i="2"/>
  <c r="F58" i="1"/>
  <c r="G12" i="2" s="1"/>
  <c r="F59" i="1" l="1"/>
  <c r="I12" i="2"/>
  <c r="E17" i="2"/>
  <c r="I17" i="2" l="1"/>
  <c r="G17" i="2"/>
</calcChain>
</file>

<file path=xl/sharedStrings.xml><?xml version="1.0" encoding="utf-8"?>
<sst xmlns="http://schemas.openxmlformats.org/spreadsheetml/2006/main" count="1339" uniqueCount="871">
  <si>
    <t>Debit</t>
  </si>
  <si>
    <t>Credit</t>
  </si>
  <si>
    <t>Entry</t>
  </si>
  <si>
    <t>Notes</t>
  </si>
  <si>
    <t>Totals</t>
  </si>
  <si>
    <t>of Resources</t>
  </si>
  <si>
    <t>Deferred Outflows</t>
  </si>
  <si>
    <t>Deferred Inflows</t>
  </si>
  <si>
    <t xml:space="preserve">Difference between actual and </t>
  </si>
  <si>
    <t>expected experience</t>
  </si>
  <si>
    <t>Net difference between projected and</t>
  </si>
  <si>
    <t xml:space="preserve">Contributions subsequent to the </t>
  </si>
  <si>
    <t>measurement date</t>
  </si>
  <si>
    <t>Total</t>
  </si>
  <si>
    <t>Sub</t>
  </si>
  <si>
    <t>Calculated</t>
  </si>
  <si>
    <t>(f)</t>
  </si>
  <si>
    <t>(b1)</t>
  </si>
  <si>
    <t>(b2)</t>
  </si>
  <si>
    <t>Change in proportion and differences</t>
  </si>
  <si>
    <t>between agency's contributions and</t>
  </si>
  <si>
    <t>proportionate share of contributions</t>
  </si>
  <si>
    <t>Rounding</t>
  </si>
  <si>
    <t>Description</t>
  </si>
  <si>
    <t>Difference between expected/actual experience</t>
  </si>
  <si>
    <t>Change in proportion; contributions during measurement period</t>
  </si>
  <si>
    <t>Difference between projected/actual investment earnings</t>
  </si>
  <si>
    <t>1)</t>
  </si>
  <si>
    <t>2)</t>
  </si>
  <si>
    <t>Year ended June 30:</t>
  </si>
  <si>
    <t>Net Deferred</t>
  </si>
  <si>
    <t>3)</t>
  </si>
  <si>
    <t>Deferred Outflow Amount</t>
  </si>
  <si>
    <t>Agency Num</t>
  </si>
  <si>
    <t>Agency Name</t>
  </si>
  <si>
    <t>Total Contributions</t>
  </si>
  <si>
    <t>N C SCHOOL OF SCIENCE &amp; MATHEMATICS</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</si>
  <si>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</si>
  <si>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</si>
  <si>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</si>
  <si>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</si>
  <si>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</si>
  <si>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</si>
  <si>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</si>
  <si>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</si>
  <si>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</si>
  <si>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</si>
  <si>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</si>
  <si>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 HEALTH CARE SYSTEM</t>
  </si>
  <si>
    <t>WESTERN CAROLINA UNIVERSITY</t>
  </si>
  <si>
    <t>WINSTON-SALEM STATE UNIVERSITY</t>
  </si>
  <si>
    <t>UNIVERSITY OF NORTH CAROLINA AT ASHEVILLE</t>
  </si>
  <si>
    <t>UNIVERSITY OF NORTH CAROLINA AT CHARLOTTE</t>
  </si>
  <si>
    <t>UNIVERSITY OF NORTH CAROLINA AT WILMINGTON</t>
  </si>
  <si>
    <t>ALAMANCE COMMUNITY COLLEGE</t>
  </si>
  <si>
    <t>SOUTH PIEDMONT COMMUNITY COLLEGE</t>
  </si>
  <si>
    <t>BEAUFORT COUNTY COMMUNITY COLLEGE</t>
  </si>
  <si>
    <t>BLADEN COMMUNITY COLLEGE</t>
  </si>
  <si>
    <t>BRUNSWICK COMMUNITY COLLEGE</t>
  </si>
  <si>
    <t>ASHEVILLE-BUNCOMBE TECHNICAL COLLEGE</t>
  </si>
  <si>
    <t>WESTERN PIEDMONT COMM COLLEGE</t>
  </si>
  <si>
    <t>CALDWELL COMMUNITY COLLEGE</t>
  </si>
  <si>
    <t>CARTERET COMMUNITY COLLEGE</t>
  </si>
  <si>
    <t>CATAWBA VALLEY COMMUNITY COLLEGE</t>
  </si>
  <si>
    <t>TRI-COUNTY COMMUNITY COLLEGE</t>
  </si>
  <si>
    <t>CLEVELAND TECHNICAL COLLEGE</t>
  </si>
  <si>
    <t>SOUTHEASTERN COMMUNITY COLLEGE</t>
  </si>
  <si>
    <t>CRAVEN COMMUNITY COLLEGE</t>
  </si>
  <si>
    <t>FAYETTEVILLE TECHNICAL COMMUNITY COLLEGE</t>
  </si>
  <si>
    <t>DAVIDSON COUNTY COMMUNITY COLLEGE</t>
  </si>
  <si>
    <t>JAMES SPRUNT TECHNICAL COLLEGE</t>
  </si>
  <si>
    <t>DURHAM TECHNICAL INSTITUTE</t>
  </si>
  <si>
    <t>EDGECOMBE TECHNICAL COLLEGE</t>
  </si>
  <si>
    <t>FORSYTH TECHNICAL INSTITUTE</t>
  </si>
  <si>
    <t>GASTON COLLEGE</t>
  </si>
  <si>
    <t>GUILFORD TECHNICAL COMMUNITY COLLEGE</t>
  </si>
  <si>
    <t>HALIFAX COMMUNITY COLLEGE</t>
  </si>
  <si>
    <t>HAYWOOD TECHNICAL COLLEGE</t>
  </si>
  <si>
    <t>BLUE RIDGE COMMUNITY COLLEGE</t>
  </si>
  <si>
    <t>ROANOKE-CHOWAN COMMUNITY COLLEGE</t>
  </si>
  <si>
    <t>MITCHELL COMMUNITY COLLEGE</t>
  </si>
  <si>
    <t>SOUTHWESTERN COMMUNITY COLLEGE</t>
  </si>
  <si>
    <t>JOHNSTON TECHNICAL COLLEGE</t>
  </si>
  <si>
    <t>CENTRAL CAROLINA COMMUNITY COLLEGE</t>
  </si>
  <si>
    <t>LENOIR COUNTY COMMUNITY COLLEGE</t>
  </si>
  <si>
    <t>MARTIN COMMUNITY COLLEGE</t>
  </si>
  <si>
    <t>MCDOWELL TECHNICAL COLLEGE</t>
  </si>
  <si>
    <t>CENTRAL PIEDMONT COMMUNITY COLLEGE</t>
  </si>
  <si>
    <t>MAYLAND TECHNICAL COLLEGE</t>
  </si>
  <si>
    <t>MONTGOMERY COMMUNITY COLLEGE</t>
  </si>
  <si>
    <t>SANDHILLS COMMUNITY COLLEGE</t>
  </si>
  <si>
    <t>NASH TECHNICAL COLLEGE</t>
  </si>
  <si>
    <t>CAPE FEAR COMMUNITY COLLEGE</t>
  </si>
  <si>
    <t>COASTAL CAROLINA COMMUNITY COLLEGE</t>
  </si>
  <si>
    <t>PAMLICO COMMUNITY COLLEGE</t>
  </si>
  <si>
    <t>COLLEGE OF THE ALBEMARLE</t>
  </si>
  <si>
    <t>PIEDMONT COMMUNITY COLLEGE</t>
  </si>
  <si>
    <t>PITT COMMUNITY COLLEGE</t>
  </si>
  <si>
    <t>RANDOLPH COMMUNITY COLLEGE</t>
  </si>
  <si>
    <t>RICHMOND TECHNICAL COLLEGE</t>
  </si>
  <si>
    <t>ROBESON COMMUNITY COLLEGE</t>
  </si>
  <si>
    <t>ROCKINGHAM COMMUNITY COLLEGE</t>
  </si>
  <si>
    <t>ROWAN-CABARRUS COMMUNITY COLLEGE</t>
  </si>
  <si>
    <t>ISOTHERMAL COMMUNITY COLLEGE</t>
  </si>
  <si>
    <t>SAMPSON COMMUNITY COLLEGE</t>
  </si>
  <si>
    <t>STANLY COMMUNITY COLLEGE</t>
  </si>
  <si>
    <t>SURRY COMMUNITY COLLEGE</t>
  </si>
  <si>
    <t>VANCE-GRANVILLE COMMUNITY COLLEGE</t>
  </si>
  <si>
    <t>WAKE TECHNICAL COLLEGE</t>
  </si>
  <si>
    <t>WAYNE COMMUNITY COLLEGE</t>
  </si>
  <si>
    <t>WILKES COMMUNITY COLLEGE</t>
  </si>
  <si>
    <t>WILSON COMMUNITY COLLEGE</t>
  </si>
  <si>
    <t>NC HOUSING FINANCE AGENCY</t>
  </si>
  <si>
    <t>Deferred Inflows Of Resources</t>
  </si>
  <si>
    <t>Pension Expense</t>
  </si>
  <si>
    <t>Changes In Proportion And Differences Between Employer Contributions And Proportional Share Of Contributions</t>
  </si>
  <si>
    <t>Differences Between Expected And Actual Experience</t>
  </si>
  <si>
    <t>Net Difference Between Projected And Actual Investment Earnings On Plan Investments</t>
  </si>
  <si>
    <t>Proportional Share Of Pension Expense</t>
  </si>
  <si>
    <t>Net Amortization Of Deferred Amounts From Changes In Proportion And Differences Between Employer Contributions And Proportional Share Of Contributions</t>
  </si>
  <si>
    <t>Total Employer Pension Expense</t>
  </si>
  <si>
    <t>Amortization</t>
  </si>
  <si>
    <t>Amortization Rounding Adjustment</t>
  </si>
  <si>
    <t>4)</t>
  </si>
  <si>
    <t>Additions</t>
  </si>
  <si>
    <t>Liability</t>
  </si>
  <si>
    <t>Changes in Long-term Liabilities (Worksheet 310)</t>
  </si>
  <si>
    <t>Restatement–net position</t>
  </si>
  <si>
    <t>NCAS</t>
  </si>
  <si>
    <t>Number</t>
  </si>
  <si>
    <t>Deferred Outflows Of Resources</t>
  </si>
  <si>
    <t>Changes Of Assumptions</t>
  </si>
  <si>
    <t>TOTAL Recognition of Deferred (Inflows)/Outflows</t>
  </si>
  <si>
    <t>Changes of assumptions</t>
  </si>
  <si>
    <t>d25 above</t>
  </si>
  <si>
    <t>Rounded, if necessary</t>
  </si>
  <si>
    <t>(b1) and (b2)</t>
  </si>
  <si>
    <t>Entity</t>
  </si>
  <si>
    <t>CURRENT FISCAL YEAR ENTRIES</t>
  </si>
  <si>
    <t>After Measurement Date (MANUAL ENTRY)</t>
  </si>
  <si>
    <t>investments (see note below)</t>
  </si>
  <si>
    <t>Choose Your Agency:</t>
  </si>
  <si>
    <t>Account Name</t>
  </si>
  <si>
    <t>Debit (Credit)</t>
  </si>
  <si>
    <t>13th Period</t>
  </si>
  <si>
    <r>
      <t>Deletions</t>
    </r>
    <r>
      <rPr>
        <i/>
        <sz val="10"/>
        <rFont val="Arial"/>
        <family val="2"/>
      </rPr>
      <t xml:space="preserve"> (see Note 1)</t>
    </r>
  </si>
  <si>
    <t xml:space="preserve">Recognized in </t>
  </si>
  <si>
    <t>Amount to be</t>
  </si>
  <si>
    <t>Employer Balances of Deferred Outflows of Resources and Deferred Inflows of</t>
  </si>
  <si>
    <t>Schedule of the Net Amount of the Employer's Balances of Deferred Outflows of</t>
  </si>
  <si>
    <t>Resources and Deferred Inflows of Resources That will be Recognized in</t>
  </si>
  <si>
    <t>Amount of the Employer's Balance of Deferred Outflows of Resources That will be</t>
  </si>
  <si>
    <t>Prior year adjustments</t>
  </si>
  <si>
    <r>
      <t xml:space="preserve">Due within one year </t>
    </r>
    <r>
      <rPr>
        <i/>
        <sz val="10"/>
        <rFont val="Arial"/>
        <family val="2"/>
      </rPr>
      <t>(see Note 2)</t>
    </r>
  </si>
  <si>
    <t>Entry, Net</t>
  </si>
  <si>
    <t>Calculated by OSC</t>
  </si>
  <si>
    <t>See entry #1 above</t>
  </si>
  <si>
    <t>Colleague</t>
  </si>
  <si>
    <t>Entity Type:</t>
  </si>
  <si>
    <t>TOTAL UNC SYSTEM</t>
  </si>
  <si>
    <t>TOTAL COMMUNITY COLLEGES</t>
  </si>
  <si>
    <t>TOTAL OTHER COMPONENT UNITS</t>
  </si>
  <si>
    <t>STATE EDUCATION ASSISTANCE AUTHORITY</t>
  </si>
  <si>
    <t>Component Units</t>
  </si>
  <si>
    <t>Employer Number</t>
  </si>
  <si>
    <t>Employer</t>
  </si>
  <si>
    <t>Employer Name</t>
  </si>
  <si>
    <t>OSA's Audit Report</t>
  </si>
  <si>
    <t>STATE HEALTH PLAN</t>
  </si>
  <si>
    <t>NC STATE PORTS AUTHORITY</t>
  </si>
  <si>
    <t>NC GLOBAL TRANSPARK AUTHORITY</t>
  </si>
  <si>
    <t>Present Value Of Future Salary Allocation</t>
  </si>
  <si>
    <t>Net Deferred Outflow</t>
  </si>
  <si>
    <t>Net Deferred Inflow</t>
  </si>
  <si>
    <t>BEGINNING BALANCES (FORMULAS)</t>
  </si>
  <si>
    <t>Miscellaneous expense</t>
  </si>
  <si>
    <t>Miscellaneous income</t>
  </si>
  <si>
    <t>Reversal of beginning deferred outflow balance – per actuary</t>
  </si>
  <si>
    <t>Adjustment for PY Contributions (FORMULAS)</t>
  </si>
  <si>
    <t>Needed for account numbers (NCAS/Colleague). Hidden on Summary Tab (columns Q/R). In Lookup formula, column number on data tab plus 1.</t>
  </si>
  <si>
    <t>&lt;&lt; Click to see a list of agencies (sorted by agency type).</t>
  </si>
  <si>
    <t>(d1), (d2), and (d3)</t>
  </si>
  <si>
    <t>(a1) and (a2)</t>
  </si>
  <si>
    <t>(a1)</t>
  </si>
  <si>
    <t>(a2)</t>
  </si>
  <si>
    <t>(c)</t>
  </si>
  <si>
    <t>(d1)</t>
  </si>
  <si>
    <t>(d2)</t>
  </si>
  <si>
    <t>(d3)</t>
  </si>
  <si>
    <t>(e)</t>
  </si>
  <si>
    <t>See Summary tab, Note 1</t>
  </si>
  <si>
    <t>Note: This template was developed by the NC Office of the State Controller. If you have</t>
  </si>
  <si>
    <t>Miscellaneous expense (see Note)</t>
  </si>
  <si>
    <t>Miscellaneous income (see Note)</t>
  </si>
  <si>
    <t>Not Needed</t>
  </si>
  <si>
    <t>Note:</t>
  </si>
  <si>
    <t>any questions about this template, please contact Virginia Sisson at (919) 707-0530 or</t>
  </si>
  <si>
    <t>virginia.sisson@osc.nc.gov</t>
  </si>
  <si>
    <t>Deferred outflows for OPEB</t>
  </si>
  <si>
    <t>Net OPEB liability</t>
  </si>
  <si>
    <t>Deferred inflows for OPEB</t>
  </si>
  <si>
    <t>Beginning net OPEB liability</t>
  </si>
  <si>
    <t>Deferred outflow for OPEB</t>
  </si>
  <si>
    <t>Change in OPEB Amounts (FORMULAS)</t>
  </si>
  <si>
    <t>OPEB expense</t>
  </si>
  <si>
    <t>Net OPEB liability–noncurrent</t>
  </si>
  <si>
    <t>(To record changes in the net OPEB liability, deferred outflows/inflows of resources</t>
  </si>
  <si>
    <t>for OPEB, OPEB expense, and reversal of deferred outflow in entry 1)</t>
  </si>
  <si>
    <t xml:space="preserve">(To record OPEB contributions after the measurement date) </t>
  </si>
  <si>
    <t>Change in net OPEB liability recognized immediately</t>
  </si>
  <si>
    <t>Change in the net OPEB liability</t>
  </si>
  <si>
    <t>Differences between expected and actual experience with regard to economic and demographic factors in the measurement of the total OPEB liability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</si>
  <si>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Experience gains represent actual experience that increases the total OPEB liability less than projected or decreases the total OPEB liability greater than projected. These amounts result in decreases in OPEB expense and increases in deferred inflows of resources. (Implementation Guide No. 2017-3, page 181)</t>
  </si>
  <si>
    <t>The difference between projected and actual earnings on OPEB plan investments should be included in collective OPEB expense using a systematic and rational method over a closed five-year period, beginning in the current measurement period. The amount not included in collective OPEB expense should be included in collective deferred outflows of resources or deferred inflows of resources related to OPEB.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t>
  </si>
  <si>
    <t>Investment returns that are greater than projected decrease OPEB expense and increase deferred inflows of resources.</t>
  </si>
  <si>
    <t>Changes of assumptions about future economic or demographic factors or of other inputs should be included in collective OPEB expense, beginning in the current measurement period, using a systematic and rational method over a closed period equal to the average of the expected remaining service lives of all employees that are provided with OPEB through the OPEB plan (active employees and inactive employees) determined as of the beginning of the measurement period. The portion not included in collective OPEB expense should be included in collective deferred outflows of resources or deferred inflows of resources related to OPEB. (GASB 75, paragraph 86a)</t>
  </si>
  <si>
    <t>If there is a change in the employer’s proportion of the collective net OPEB liability since the prior measurement date, the net effect of that change on the employer’s proportionate shares of the collective net OPEB liability and collective deferred outflows of resources and deferred inflows of resources related to OPEB, determined as of the beginning of the measurement period,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64)</t>
  </si>
  <si>
    <t>If the employer's actual contributions exceed its proportionate share of total contributions, the difference increases OPEB expense and results in a deferred outflow of resources. (Implementation Guide No. 2017-3, page 192)</t>
  </si>
  <si>
    <t>Contributions to the OPEB plan from the employer subsequent to the measurement date of the collective net OPEB liability and before the end of the employer’s reporting period should be reported as a deferred outflow of resources related to OPEB. (GASB 75, paragraph 68)</t>
  </si>
  <si>
    <t>Components of collective OPEB expense include—service cost, interest on the total OPEB liability, effect of changes in benefit terms, projected investment income, employee contributions, expensed portions of deferred outflows/inflows of resources related to OPEB, plan administrative expense, and other changes in fiduciary net position. Contributions from employers or nonemployer contributing entities should not be included in OPEB expense. (GASB 75, paragraph 86)</t>
  </si>
  <si>
    <t>For contributions to the OPEB plan other than those to separately finance specific liabilities of an individual employer or nonemployer contributing entity to the OPEB plan, the difference during the measurement period between (a) the total amount of such contributions from the employer (and amounts associated with the employer from nonemployer contributing entities that are not in a special funding situation) and (b) the amount of the employer’s proportionate share of the total of such contributions from all employers and all nonemployer contributing entities should be recognized in the employer’s OPEB expense, beginning in the current reporting period, using a systematic and rational method over a closed period. For this purpose, the length of the expense recognition period should be equal to the average of the expected remaining service lives of all employees that are provided with OPEB through the OPEB plan (active employees and inactive employees) determined as of the beginning of the measurement period. The amount not recognized in the employer’s OPEB expense should be reported as a deferred outflow of resources or deferred inflow of resources related to OPEB. (GASB 75, paragraph 65)</t>
  </si>
  <si>
    <t>Resources Related to OPEB by Classification:</t>
  </si>
  <si>
    <t>OPEB Expense</t>
  </si>
  <si>
    <t>actual earnings on OPEB plan</t>
  </si>
  <si>
    <r>
      <rPr>
        <i/>
        <u/>
        <sz val="10"/>
        <rFont val="Arial"/>
        <family val="2"/>
      </rPr>
      <t>Note</t>
    </r>
    <r>
      <rPr>
        <i/>
        <sz val="10"/>
        <rFont val="Arial"/>
        <family val="2"/>
      </rPr>
      <t>: Collective deferred outflows of resources and deferred inflows of resources arising from differences between projected and actual OPEB plan investment earnings in different measurement periods should be aggregated and included as a net collective deferred outflow of resources related to OPEB or a net collective deferred inflow of resources related to OPEB. (GASB 75, paragraph 86b and 96h(3))</t>
    </r>
  </si>
  <si>
    <t>Source: GASB 75, paragraph 96h(1) thru (5)</t>
  </si>
  <si>
    <t>OPEB Expense:</t>
  </si>
  <si>
    <t>Note: negative amounts indicate amortization of OPEB deferrals that will decrease</t>
  </si>
  <si>
    <t>OPEB expense.</t>
  </si>
  <si>
    <t>Source: GASB 75, paragraph 96i(1)</t>
  </si>
  <si>
    <t>Included as a Reduction of the Net OPEB Liability in the Fiscal Year Ended</t>
  </si>
  <si>
    <t>Source: GASB 75, paragraph 96i(2)</t>
  </si>
  <si>
    <t>Net OPEB</t>
  </si>
  <si>
    <r>
      <rPr>
        <i/>
        <u/>
        <sz val="10"/>
        <rFont val="Arial"/>
        <family val="2"/>
      </rPr>
      <t>Note 1</t>
    </r>
    <r>
      <rPr>
        <i/>
        <sz val="10"/>
        <rFont val="Arial"/>
        <family val="2"/>
      </rPr>
      <t>: Employers should disclose the net change amount (instead of both additions and deletions) and reference that more information on the net OPEB liability is available in the separate note on OPEB plans. Since the amount reported is the employer’s proportionate share of the collective net OPEB liability, additions and deletions are not relevant for this disclosure. The collective net OPEB liability equals the total OPEB liability for the OPEB plan, net of the plan’s fiduciary net position.</t>
    </r>
  </si>
  <si>
    <r>
      <rPr>
        <i/>
        <u/>
        <sz val="10"/>
        <rFont val="Arial"/>
        <family val="2"/>
      </rPr>
      <t>Note 2</t>
    </r>
    <r>
      <rPr>
        <i/>
        <sz val="10"/>
        <rFont val="Arial"/>
        <family val="2"/>
      </rPr>
      <t>: If the employer reports a net OPEB liability under Statement 75, the amount of the net OPEB liability that is “due” within one year is the amount of benefit payments expected to be paid within one year, net of the OPEB plan’s fiduciary net position available to pay that amount. Therefore, there would be no amount that is “due” within one year unless the OPEB plan’s fiduciary net position is less than the amount of benefit payments expected to be paid within one year. (Comprehensive Implementation Guide, 7.22.6)</t>
    </r>
  </si>
  <si>
    <t>GASB 75 Template – RHBF</t>
  </si>
  <si>
    <t>RHBF Number:</t>
  </si>
  <si>
    <t>GASB 75 Journal Entries – RHBF</t>
  </si>
  <si>
    <t>RHBF contributions</t>
  </si>
  <si>
    <t xml:space="preserve">Calculated by multiplying the covered payroll for RHBF (on an accrual basis) </t>
  </si>
  <si>
    <t>GASB 75 Disclosures – RHBF</t>
  </si>
  <si>
    <t>Changes of Assumptions</t>
  </si>
  <si>
    <t>Net OPEB Liability</t>
  </si>
  <si>
    <t>NOPEBL Rounding Adjustment</t>
  </si>
  <si>
    <t>Total Employer OPEB Expense</t>
  </si>
  <si>
    <t>Proportional Share Of OPEB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</si>
  <si>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</si>
  <si>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</si>
  <si>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</si>
  <si>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</si>
  <si>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</si>
  <si>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</si>
  <si>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</si>
  <si>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</si>
  <si>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</si>
  <si>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</si>
  <si>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</si>
  <si>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</si>
  <si>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</si>
  <si>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</si>
  <si>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</si>
  <si>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</si>
  <si>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</si>
  <si>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</si>
  <si>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</si>
  <si>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</si>
  <si>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</si>
  <si>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</si>
  <si>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</si>
  <si>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</si>
  <si>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</si>
  <si>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</si>
  <si>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</si>
  <si>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</si>
  <si>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</si>
  <si>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</si>
  <si>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</si>
  <si>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</si>
  <si>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</si>
  <si>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</si>
  <si>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</si>
  <si>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</si>
  <si>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</si>
  <si>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</si>
  <si>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</si>
  <si>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</si>
  <si>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</si>
  <si>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</si>
  <si>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</si>
  <si>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</si>
  <si>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</si>
  <si>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</si>
  <si>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</si>
  <si>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</si>
  <si>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</si>
  <si>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</si>
  <si>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</si>
  <si>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</si>
  <si>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</si>
  <si>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</si>
  <si>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</si>
  <si>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</si>
  <si>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</si>
  <si>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</si>
  <si>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</si>
  <si>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</si>
  <si>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</si>
  <si>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</si>
  <si>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</si>
  <si>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</si>
  <si>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</si>
  <si>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</si>
  <si>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</si>
  <si>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</si>
  <si>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</si>
  <si>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</si>
  <si>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</si>
  <si>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</si>
  <si>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</si>
  <si>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</si>
  <si>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</si>
  <si>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</si>
  <si>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</si>
  <si>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</si>
  <si>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</si>
  <si>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</si>
  <si>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</si>
  <si>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</si>
  <si>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</si>
  <si>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</si>
  <si>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</si>
  <si>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</si>
  <si>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</si>
  <si>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</si>
  <si>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</si>
  <si>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</si>
  <si>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</si>
  <si>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</si>
  <si>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</si>
  <si>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</si>
  <si>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</si>
  <si>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</si>
  <si>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</si>
  <si>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</si>
  <si>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</si>
  <si>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</si>
  <si>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</si>
  <si>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</si>
  <si>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</si>
  <si>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</si>
  <si>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</si>
  <si>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</si>
  <si>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</si>
  <si>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</si>
  <si>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</si>
  <si>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</si>
  <si>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</si>
  <si>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</si>
  <si>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</si>
  <si>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</si>
  <si>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</si>
  <si>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</si>
  <si>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</si>
  <si>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</si>
  <si>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</si>
  <si>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</si>
  <si>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</si>
  <si>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</si>
  <si>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</si>
  <si>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</si>
  <si>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</si>
  <si>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</si>
  <si>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</si>
  <si>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</si>
  <si>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</si>
  <si>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</si>
  <si>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</si>
  <si>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</si>
  <si>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</si>
  <si>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</si>
  <si>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</si>
  <si>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</si>
  <si>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</si>
  <si>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</si>
  <si>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</si>
  <si>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</si>
  <si>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</si>
  <si>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</si>
  <si>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</si>
  <si>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</si>
  <si>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</si>
  <si>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</si>
  <si>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</si>
  <si>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</si>
  <si>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</si>
  <si>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</si>
  <si>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</si>
  <si>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</si>
  <si>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</si>
  <si>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</si>
  <si>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</si>
  <si>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</si>
  <si>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</si>
  <si>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</si>
  <si>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</si>
  <si>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</si>
  <si>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</si>
  <si>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</si>
  <si>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</si>
  <si>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</si>
  <si>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</si>
  <si>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</si>
  <si>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</si>
  <si>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</si>
  <si>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</si>
  <si>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</si>
  <si>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</si>
  <si>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</si>
  <si>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</si>
  <si>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</si>
  <si>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</si>
  <si>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</si>
  <si>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</si>
  <si>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</si>
  <si>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</si>
  <si>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</si>
  <si>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</si>
  <si>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</si>
  <si>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</si>
  <si>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</si>
  <si>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</si>
  <si>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</si>
  <si>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</si>
  <si>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</si>
  <si>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</si>
  <si>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</si>
  <si>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</si>
  <si>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</si>
  <si>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</si>
  <si>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</si>
  <si>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</si>
  <si>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</si>
  <si>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</si>
  <si>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</si>
  <si>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</si>
  <si>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</si>
  <si>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</si>
  <si>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</si>
  <si>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</si>
  <si>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</si>
  <si>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</si>
  <si>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</si>
  <si>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</si>
  <si>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</si>
  <si>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</si>
  <si>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</si>
  <si>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</si>
  <si>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</si>
  <si>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</si>
  <si>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</si>
  <si>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</si>
  <si>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</si>
  <si>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</si>
  <si>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</si>
  <si>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</si>
  <si>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</si>
  <si>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</si>
  <si>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</si>
  <si>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</si>
  <si>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</si>
  <si>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</si>
  <si>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</si>
  <si>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</si>
  <si>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</si>
  <si>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</si>
  <si>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</si>
  <si>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</si>
  <si>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</si>
  <si>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</si>
  <si>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</si>
  <si>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</si>
  <si>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</si>
  <si>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</si>
  <si>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</si>
  <si>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</si>
  <si>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</si>
  <si>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</si>
  <si>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</si>
  <si>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</si>
  <si>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</si>
  <si>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</si>
  <si>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</si>
  <si>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</si>
  <si>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</si>
  <si>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</si>
  <si>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</si>
  <si>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</si>
  <si>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</si>
  <si>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</si>
  <si>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</si>
  <si>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</si>
  <si>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</si>
  <si>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</si>
  <si>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</si>
  <si>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</si>
  <si>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</si>
  <si>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</si>
  <si>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</si>
  <si>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</si>
  <si>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</si>
  <si>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</si>
  <si>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</si>
  <si>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</si>
  <si>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</si>
  <si>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</si>
  <si>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</si>
  <si>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</si>
  <si>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</si>
  <si>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</si>
  <si>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</si>
  <si>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</si>
  <si>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</si>
  <si>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</si>
  <si>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</si>
  <si>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</si>
  <si>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</si>
  <si>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</si>
  <si>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</si>
  <si>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</si>
  <si>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</si>
  <si>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</si>
  <si>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</si>
  <si>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</si>
  <si>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</si>
  <si>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</si>
  <si>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</si>
  <si>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</si>
  <si>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</si>
  <si>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</si>
  <si>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</si>
  <si>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</si>
  <si>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</si>
  <si>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</si>
  <si>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</si>
  <si>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</si>
  <si>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</si>
  <si>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NORTH CAROLINA BOARD OF OPTICIANS</t>
  </si>
  <si>
    <t>THE NORTH CAROLINA LEADERSHIP ACADEMY</t>
  </si>
  <si>
    <t>At the beginning of the period in which the provisions of Statement 75 are adopted, there may be circumstances in which it is not practical for a government to determine the amounts of all applicable deferred inflows of resources and deferred outflows of resources related to pensions. In such circumstances, the government should recognize a beginning deferred outflow of resources only for its OPEB contributions, if any, made subsequent to the measurement date of the beginning net pension liability but before the start of the government’s fiscal year. Additionally, in those circumstances, no beginning balances for other deferred outflows of resources and deferred inflows of resources related to OPEB should be recognized. (GASB 71, paragraph 3)</t>
  </si>
  <si>
    <t>Retiree Health Benefit Fund – Financial Audit of Schedules</t>
  </si>
  <si>
    <t>**check asset/liability account depending on whether it's an asset or liability</t>
  </si>
  <si>
    <t>6/30/2018 Net OPEB Liability</t>
  </si>
  <si>
    <t>6/30/2018 Deferred Outflows of Resources</t>
  </si>
  <si>
    <t>6/30/2018 Deferred Inflows of Resources</t>
  </si>
  <si>
    <t>North Carolina Department of Military &amp; Veteran Affairs</t>
  </si>
  <si>
    <t>North Carolina Board of Opticians</t>
  </si>
  <si>
    <t>North Carolina Leadership Academy</t>
  </si>
  <si>
    <t>Northeast Academy for Aerospace and Advanced Technologies</t>
  </si>
  <si>
    <t>NORTH CAROLINA EDUCATION LOTTERY</t>
  </si>
  <si>
    <t>DEPARTMENT OF JUSTICE</t>
  </si>
  <si>
    <t>DEPARTMENT OF NATURAL AND CULTURAL RESOURCES</t>
  </si>
  <si>
    <t>ADMINISTRATIVE OFFICE OF THE COURTS</t>
  </si>
  <si>
    <t>DEPARTMENT OF ADMINISTRATION</t>
  </si>
  <si>
    <t>WILDLIFE RESOURCES COMMISSION</t>
  </si>
  <si>
    <t>STATE BOARD OF ELECTIONS</t>
  </si>
  <si>
    <t>GENERAL ASSEMBLY</t>
  </si>
  <si>
    <t>DEPARTMENT OF COMMERCE</t>
  </si>
  <si>
    <t>DEPARTMENT OF PUBLIC SAFETY</t>
  </si>
  <si>
    <t>UNIVERSITY OF NORTH CAROLINA PRESS</t>
  </si>
  <si>
    <t>DEPARTMENT OF PUBLIC INSTRUCTION</t>
  </si>
  <si>
    <t>YANCEY COUNTY SCHOOLS</t>
  </si>
  <si>
    <t>ALAMANCE COUNTY SCHOOLS</t>
  </si>
  <si>
    <t>CLOVER GARDEN CHARTER SCHOOL</t>
  </si>
  <si>
    <t>RIVER MILL ACADEMY CHARTER</t>
  </si>
  <si>
    <t>THE HAWBRIDGE SCHOOL</t>
  </si>
  <si>
    <t>ALEXANDER COUNTY SCHOOLS</t>
  </si>
  <si>
    <t>ALLEGHANY COUNTY SCHOOLS</t>
  </si>
  <si>
    <t>ANSON COUNTY SCHOOLS</t>
  </si>
  <si>
    <t>ASHE COUNTY SCHOOLS</t>
  </si>
  <si>
    <t>AVERY COUNTY SCHOOLS</t>
  </si>
  <si>
    <t>GRANDFATHER ACADEMY</t>
  </si>
  <si>
    <t>BEAUFORT COUNTY SCHOOLS</t>
  </si>
  <si>
    <t>BERTIE COUNTY SCHOOLS</t>
  </si>
  <si>
    <t>BLADEN COUNTY SCHOOLS</t>
  </si>
  <si>
    <t>BRUNSWICK COUNTY SCHOOLS</t>
  </si>
  <si>
    <t>BUNCOMBE COUNTY SCHOOLS</t>
  </si>
  <si>
    <t>EVERGREEN COMMUNITY CHARTER SCHOOL</t>
  </si>
  <si>
    <t>ASHEVILLE CITY SCHOOLS</t>
  </si>
  <si>
    <t>BURKE COUNTY SCHOOLS</t>
  </si>
  <si>
    <t>CABARRUS COUNTY SCHOOLS</t>
  </si>
  <si>
    <t>CAROLINA INTERNATIONAL SCHOOL</t>
  </si>
  <si>
    <t>KANNAPOLIS CITY SCHOOLS</t>
  </si>
  <si>
    <t>CALDWELL COUNTY SCHOOLS</t>
  </si>
  <si>
    <t>CAMDEN COUNTY SCHOOLS</t>
  </si>
  <si>
    <t>CARTERET COUNTY SCHOOLS</t>
  </si>
  <si>
    <t>CASWELL COUNTY SCHOOLS</t>
  </si>
  <si>
    <t>CATAWBA COUNTY SCHOOLS</t>
  </si>
  <si>
    <t>HICKORY CITY SCHOOLS</t>
  </si>
  <si>
    <t>NEWTON-CONOVER CITY SCHOOLS</t>
  </si>
  <si>
    <t>CHATHAM COUNTY SCHOOLS</t>
  </si>
  <si>
    <t>CHEROKEE COUNTY SCHOOLS</t>
  </si>
  <si>
    <t>EDENTON-CHOWAN COUNTY SCHOOLS</t>
  </si>
  <si>
    <t>CLAY COUNTY SCHOOLS</t>
  </si>
  <si>
    <t>CLEVELAND COUNTY SCHOOLS</t>
  </si>
  <si>
    <t>COLUMBUS COUNTY SCHOOLS</t>
  </si>
  <si>
    <t>WHITEVILLE CITY SCHOOLS</t>
  </si>
  <si>
    <t>CUMBERLAND COUNTY SCHOOLS</t>
  </si>
  <si>
    <t>CURRITUCK COUNTY SCHOOLS</t>
  </si>
  <si>
    <t>DARE COUNTY SCHOOLS</t>
  </si>
  <si>
    <t>DAVIDSON COUNTY SCHOOLS</t>
  </si>
  <si>
    <t>LEXINGTON CITY SCHOOLS</t>
  </si>
  <si>
    <t>THOMASVILLE CITY SCHOOLS</t>
  </si>
  <si>
    <t>DAVIE COUNTY SCHOOLS</t>
  </si>
  <si>
    <t>CORNERSTONE ACADEMY</t>
  </si>
  <si>
    <t>DUPLIN COUNTY SCHOOLS</t>
  </si>
  <si>
    <t>DURHAM PUBLIC SCHOOLS</t>
  </si>
  <si>
    <t>HEALTHY START ACADEMY</t>
  </si>
  <si>
    <t>VOYAGER ACADEMY</t>
  </si>
  <si>
    <t>BEAR GRASS CHARTER SCHOOL</t>
  </si>
  <si>
    <t>INVEST COLLEGIATE CHARTER (BUNCOMBE)</t>
  </si>
  <si>
    <t>PIONEER SPRINGS COMMUNITY CHARTER</t>
  </si>
  <si>
    <t>EDGECOMBE COUNTY SCHOOLS</t>
  </si>
  <si>
    <t>WINSTON-SALEM-FORSYTH COUNTY SCHOOLS</t>
  </si>
  <si>
    <t>ARTS BASED ELEMENTARY CHARTER</t>
  </si>
  <si>
    <t>FRANKLIN COUNTY SCHOOLS</t>
  </si>
  <si>
    <t>A CHILDS GARDEN CHARTER (AKA CROSS CREEK CHARTER)</t>
  </si>
  <si>
    <t>GASTON COUNTY SCHOOLS</t>
  </si>
  <si>
    <t>GATES COUNTY SCHOOLS</t>
  </si>
  <si>
    <t>GRAHAM COUNTY SCHOOLS</t>
  </si>
  <si>
    <t>GREENE COUNTY SCHOOLS</t>
  </si>
  <si>
    <t>GUILFORD COUNTY SCHOOLS</t>
  </si>
  <si>
    <t>HALIFAX COUNTY SCHOOLS</t>
  </si>
  <si>
    <t>ROANOKE RAPIDS CITY SCHOOLS</t>
  </si>
  <si>
    <t>WELDON CITY SCHOOLS</t>
  </si>
  <si>
    <t>HARNETT COUNTY SCHOOLS</t>
  </si>
  <si>
    <t>HAYWOOD COUNTY SCHOOLS</t>
  </si>
  <si>
    <t>HENDERSON COUNTY SCHOOLS</t>
  </si>
  <si>
    <t>MOUNTAIN COMMUNITY SCHOOL</t>
  </si>
  <si>
    <t>HERTFORD COUNTY SCHOOLS</t>
  </si>
  <si>
    <t>HOKE COUNTY SCHOOLS</t>
  </si>
  <si>
    <t>HYDE COUNTY SCHOOLS</t>
  </si>
  <si>
    <t>SUCCESS INSTITUTE</t>
  </si>
  <si>
    <t>MOORESVILLE CITY SCHOOLS</t>
  </si>
  <si>
    <t>JACKSON COUNTY SCHOOLS</t>
  </si>
  <si>
    <t>JOHNSTON COUNTY SCHOOLS</t>
  </si>
  <si>
    <t>NEUSE CHARTER SCHOOL</t>
  </si>
  <si>
    <t>JONES COUNTY SCHOOLS</t>
  </si>
  <si>
    <t>LENOIR COUNTY SCHOOLS</t>
  </si>
  <si>
    <t>CHILDRENS VILLAGE ACADEMY</t>
  </si>
  <si>
    <t>LINCOLN COUNTY SCHOOLS</t>
  </si>
  <si>
    <t>MACON COUNTY SCHOOLS</t>
  </si>
  <si>
    <t>MADISON COUNTY SCHOOLS</t>
  </si>
  <si>
    <t>MARTIN COUNTY SCHOOLS</t>
  </si>
  <si>
    <t>MCDOWELL COUNTY SCHOOLS</t>
  </si>
  <si>
    <t>CHARLOTTE-MECKLENBURG COUNTY SCHOOLS</t>
  </si>
  <si>
    <t>COMMUNITY SCHOOL OF DAVIDSON</t>
  </si>
  <si>
    <t>LAKE NORMAN CHARTER SCHOOL</t>
  </si>
  <si>
    <t>SOCRATES ACADEMY</t>
  </si>
  <si>
    <t>PINE LAKE PREP CHARTER</t>
  </si>
  <si>
    <t>CHARLOTTE SECONDARY CHARTER</t>
  </si>
  <si>
    <t>MITCHELL COUNTY SCHOOLS</t>
  </si>
  <si>
    <t>KIPP CHARLOTTE CHARTER</t>
  </si>
  <si>
    <t>MONTGOMERY COUNTY SCHOOLS</t>
  </si>
  <si>
    <t>MOORE COUNTY SCHOOLS</t>
  </si>
  <si>
    <t>ACADEMY OF MOORE COUNTY</t>
  </si>
  <si>
    <t>STARS CHARTER SCHOOL</t>
  </si>
  <si>
    <t>NASH-ROCKY MOUNT SCHOOLS</t>
  </si>
  <si>
    <t>NEW HANOVER COUNTY SCHOOLS</t>
  </si>
  <si>
    <t>WILMINGTON PREP ACADEMY</t>
  </si>
  <si>
    <t>NORTHAMPTON COUNTY SCHOOLS</t>
  </si>
  <si>
    <t>GASTON COLLEGE PREPARATORY CHARTER</t>
  </si>
  <si>
    <t>ONSLOW COUNTY SCHOOLS</t>
  </si>
  <si>
    <t>ZECA SCHOOL OF THE ARTS AND TECHNOLOGY</t>
  </si>
  <si>
    <t>ORANGE COUNTY SCHOOLS</t>
  </si>
  <si>
    <t>ORANGE CHARTER SCHOOL</t>
  </si>
  <si>
    <t>PAMLICO COUNTY SCHOOLS</t>
  </si>
  <si>
    <t>ARAPAHOE CHARTER SCHOOL</t>
  </si>
  <si>
    <t>ELIZABETH CITY AND PASQUOTANK COUNTY SCHOOLS</t>
  </si>
  <si>
    <t>PENDER COUNTY SCHOOLS</t>
  </si>
  <si>
    <t>PERQUIMANS COUNTY SCHOOLS</t>
  </si>
  <si>
    <t>PERSON COUNTY SCHOOLS</t>
  </si>
  <si>
    <t>ROXBORO COMMUNITY SCHOOL</t>
  </si>
  <si>
    <t>PITT COUNTY SCHOOLS</t>
  </si>
  <si>
    <t>POLK COUNTY SCHOOLS</t>
  </si>
  <si>
    <t>RANDOLPH COUNTY SCHOOLS</t>
  </si>
  <si>
    <t>UWHARRIE CHARTER ACADEMY</t>
  </si>
  <si>
    <t>ASHEBORO CITY SCHOOLS</t>
  </si>
  <si>
    <t>RICHMOND COUNTY SCHOOLS</t>
  </si>
  <si>
    <t>ROBESON COUNTY SCHOOLS</t>
  </si>
  <si>
    <t>SOUTHEASTERN ACADEMY CHARTER SCHOOL</t>
  </si>
  <si>
    <t>ROCKINGHAM COUNTY SCHOOLS</t>
  </si>
  <si>
    <t>BETHANY COMMUNITY MIDDLE SCHOOL</t>
  </si>
  <si>
    <t>ROWAN-SALISBURY SCHOOL SYSTEM</t>
  </si>
  <si>
    <t>RUTHERFORD COUNTY SCHOOLS</t>
  </si>
  <si>
    <t>SAMPSON COUNTY SCHOOLS</t>
  </si>
  <si>
    <t>CLINTON CITY SCHOOLS</t>
  </si>
  <si>
    <t>SCOTLAND COUNTY SCHOOLS</t>
  </si>
  <si>
    <t>STANLY COUNTY SCHOOLS</t>
  </si>
  <si>
    <t>GRAY STONE DAY SCHOOL</t>
  </si>
  <si>
    <t>STOKES COUNTY SCHOOLS</t>
  </si>
  <si>
    <t>SURRY COUNTY SCHOOLS</t>
  </si>
  <si>
    <t>BRIDGES CHARTER SCHOOLS</t>
  </si>
  <si>
    <t>MILLENNIUM CHARTER ACADEMY</t>
  </si>
  <si>
    <t>MOUNT AIRY CITY SCHOOLS</t>
  </si>
  <si>
    <t>ELKIN CITY SCHOOLS</t>
  </si>
  <si>
    <t>SWAIN COUNTY SCHOOLS</t>
  </si>
  <si>
    <t>TRANSYLVANIA COUNTY SCHOOLS</t>
  </si>
  <si>
    <t>BREVARD ACADEMY CHARTER SCHOOL</t>
  </si>
  <si>
    <t>TYRRELL COUNTY SCHOOLS</t>
  </si>
  <si>
    <t>UNION COUNTY SCHOOLS</t>
  </si>
  <si>
    <t>VANCE COUNTY SCHOOLS</t>
  </si>
  <si>
    <t>VANCE CHARTER SCHOOL</t>
  </si>
  <si>
    <t>ENDEAVOR CHARTER SCHOOL</t>
  </si>
  <si>
    <t>SOUTHERN WAKE ACADEMY</t>
  </si>
  <si>
    <t>CASA ESPERANZA MONTESSORI</t>
  </si>
  <si>
    <t>WARREN COUNTY SCHOOLS</t>
  </si>
  <si>
    <t>HALIWA-SAPONI TRIBAL CHARTER</t>
  </si>
  <si>
    <t>WASHINGTON COUNTY SCHOOLS</t>
  </si>
  <si>
    <t>HENDERSON COLLEGIATE CHARTER SCHOOL</t>
  </si>
  <si>
    <t>WATAUGA COUNTY SCHOOLS</t>
  </si>
  <si>
    <t>WAYNE COUNTY SCHOOLS</t>
  </si>
  <si>
    <t>WILKES COUNTY SCHOOLS</t>
  </si>
  <si>
    <t>PINNACLE CLASSICAL ACADEMY</t>
  </si>
  <si>
    <t>WILSON COUNTY SCHOOLS</t>
  </si>
  <si>
    <t>YADKIN COUNTY SCHOOLS</t>
  </si>
  <si>
    <t>CONSOLIDATED JUDICIAL RETIREMENT SYSTEM</t>
  </si>
  <si>
    <t>BLADEN COUNTY</t>
  </si>
  <si>
    <t>TOWN OF SUNSET BEACH</t>
  </si>
  <si>
    <t>TOWN OF BILTMORE FOREST</t>
  </si>
  <si>
    <t>TOWN OF BLACK MOUNTAIN</t>
  </si>
  <si>
    <t>RUTHERFORD COUNTY</t>
  </si>
  <si>
    <t>TOWN OF FOREST CITY</t>
  </si>
  <si>
    <t>TOWN OF LAKE LURE</t>
  </si>
  <si>
    <t>WASHINGTON COUNTY</t>
  </si>
  <si>
    <t>TOWN OF BLOWING ROCK</t>
  </si>
  <si>
    <t>TOWN OF BLACK CREEK</t>
  </si>
  <si>
    <t>Reporting year 2021</t>
  </si>
  <si>
    <t>Reporting year 2022</t>
  </si>
  <si>
    <t>Reporting year 2023</t>
  </si>
  <si>
    <t>Reporting year 2024</t>
  </si>
  <si>
    <t>State Education Assistance Authority (subset of UNC Gen. Adm.)</t>
  </si>
  <si>
    <t>FY2019 employer contributions – per agency/institution</t>
  </si>
  <si>
    <t>Fiscal Year Ended June 30, 2020</t>
  </si>
  <si>
    <t>FY2019 employer contributions – per actuary</t>
  </si>
  <si>
    <t>Last Year's MANUAL ENTRY - FY2019 Employer Contributions</t>
  </si>
  <si>
    <t>Difference in FY2019 contributions per employer/actuary</t>
  </si>
  <si>
    <t>(To adjust for difference in FY2019 contributions per employer/actuary)</t>
  </si>
  <si>
    <t>GoTo "Detail" Tab — Enter Employer Contributions (FY2019 &amp; FY2020).</t>
  </si>
  <si>
    <t>Deferred outflows for OPEB (FY2020 Employer Contributions)</t>
  </si>
  <si>
    <t>FY2020 employer contributions – per agency/institution</t>
  </si>
  <si>
    <t>by 6.47% (the 2019-20 employer contribution rate for RHBF)</t>
  </si>
  <si>
    <r>
      <rPr>
        <b/>
        <sz val="10"/>
        <rFont val="Arial"/>
        <family val="2"/>
      </rPr>
      <t>(1)  Difference in Contributions Between Employer/Actuary</t>
    </r>
    <r>
      <rPr>
        <sz val="10"/>
        <rFont val="Arial"/>
        <family val="2"/>
      </rPr>
      <t xml:space="preserve"> – The difference between what your entity reported last year as your FY 2019 employer contributions (i.e., as a deferred outflow for OPEB) and the amount reported by the actuary (per this template) should be evaluated for materiality (see "Detail" tab, Entry 1). If this difference is material, the 13th period entry above should be modified. The template assumes the difference is immaterial and adjusts the beginning deferred outflow balance to the actuarial amount with an offset to current year miscellaneous expense (income). However, if the difference is material, the entry should be modified to reflect the offset as a restatement of beginning net position. </t>
    </r>
  </si>
  <si>
    <t>June 30, 2021:</t>
  </si>
  <si>
    <t>Balance July 1, 2019</t>
  </si>
  <si>
    <t>Balance, June 30, 2020</t>
  </si>
  <si>
    <t>2019 Allocation Percentage</t>
  </si>
  <si>
    <t>6/30/2019 Net OPEB Liability</t>
  </si>
  <si>
    <t>6/30/2019 Deferred Outflows of Resources</t>
  </si>
  <si>
    <t>6/30/2019 Deferred Inflows of Resources</t>
  </si>
  <si>
    <t>Reporting year 2025</t>
  </si>
  <si>
    <t>Allocation percentages and contribution amounts for 2019</t>
  </si>
  <si>
    <t>STATE AUDITOR</t>
  </si>
  <si>
    <t>OFFICE OF ADMINISTRATIVE HEARING</t>
  </si>
  <si>
    <t>OFFICE OF STATE BUDGET &amp; MANAGEMENT</t>
  </si>
  <si>
    <t>INFORMATION TECHNOLOGY SERVICES</t>
  </si>
  <si>
    <t>OFFICE OF STATE CONTROLLER</t>
  </si>
  <si>
    <t>NC DEPARTMENT OF MILITARY &amp; VETERANS AFFAIRS</t>
  </si>
  <si>
    <t>NC DEPT OF ENVIRONMENTAL QUALITY</t>
  </si>
  <si>
    <t>GOVERNOR'S OFFICE</t>
  </si>
  <si>
    <t>LT GOVERNOR'S OFFICE</t>
  </si>
  <si>
    <t>HEALTH AND HUMAN SVCS</t>
  </si>
  <si>
    <t>INSURANCE DEPARTMENT</t>
  </si>
  <si>
    <t>LABOR DEPARTMENT</t>
  </si>
  <si>
    <t>REVENUE DEPARTMENT</t>
  </si>
  <si>
    <t>SECRETARY OF STATE</t>
  </si>
  <si>
    <t>STATE TREASURER</t>
  </si>
  <si>
    <t>DEPT OF AGRICULTURE &amp; CONSUMER SVCS.</t>
  </si>
  <si>
    <t>BARBER EXAMINERS, STATE BOARD OF</t>
  </si>
  <si>
    <t>N C AUCTIONEERS LICENSING BOARD</t>
  </si>
  <si>
    <t>NC BRD OF EXAMINERS OF PRACTICING PSYCOLOGISTS</t>
  </si>
  <si>
    <t>COMMUNITY COLLEGES ADMINISTRATION</t>
  </si>
  <si>
    <t>UNC-CHAPEL HILL CB1260</t>
  </si>
  <si>
    <t>SEAA</t>
  </si>
  <si>
    <t>F DELANY NEW SCHOOL FOR CHILDREN</t>
  </si>
  <si>
    <t>CLEVELAND COMMUNITY COLLEGE</t>
  </si>
  <si>
    <t>NEW BERN CRAVEN COUNTY BOARD OF EDUCATION</t>
  </si>
  <si>
    <t>INVEST COLLEGIATE CHARTER (DAVIDSON)</t>
  </si>
  <si>
    <t>N.E. REGIONAL SCHOOL FOR BIOTECHNOLOGY</t>
  </si>
  <si>
    <t>CENTRAL PARK SCH FOR CHILDREN</t>
  </si>
  <si>
    <t>GRANVILLE COUNTY PUBLIC SCHOOLS</t>
  </si>
  <si>
    <t>IREDELL-STATESVILLE SCHOOLS</t>
  </si>
  <si>
    <t>AMERICAN RENAISSANCE MID SCHOOL</t>
  </si>
  <si>
    <t>LEE COUNTY BOARD OF EDUCATION</t>
  </si>
  <si>
    <t>CORVIAN COMMUNITY CHARTER SCHOOL</t>
  </si>
  <si>
    <t>NASH COMMUNITY COLLEGE</t>
  </si>
  <si>
    <t>CAPE FEAR CTR FOR INQUIRY</t>
  </si>
  <si>
    <t>CHAPEL HILL - CARRBORO CITY SCHOOLS</t>
  </si>
  <si>
    <t>N.E. ACADEMY OF AEROSPACE &amp; ADV.TECH</t>
  </si>
  <si>
    <t>MTN DISCOVERY CHARTER</t>
  </si>
  <si>
    <t>WAKE COUNTY PUBLIC SCHOOLS SYSTEM</t>
  </si>
  <si>
    <t>EAST WAKE FIRST ACADEMY</t>
  </si>
  <si>
    <t>NORTH CAROLINA INNOVATIVE SCHOOL DISTRICT</t>
  </si>
  <si>
    <t>TWO RIVERS COMM SCHOOL</t>
  </si>
  <si>
    <t>HIGHWAY - ADMINISTRATIVE</t>
  </si>
  <si>
    <t>GLOBAL TRANSPARK</t>
  </si>
  <si>
    <t>STATE PORTS AUTHORITY</t>
  </si>
  <si>
    <t>LEGISLATIVE RETIREMENT SYSTEM OF NC</t>
  </si>
  <si>
    <t>RUTHERFORD POLK MCDOWELL DIST BRD OF HEALTH</t>
  </si>
  <si>
    <t>North Carolina Innovative School District</t>
  </si>
  <si>
    <t>UNC-SO ONLY</t>
  </si>
  <si>
    <t>UNC-SYSTEM OFFICE</t>
  </si>
  <si>
    <t>UNC-System Office</t>
  </si>
  <si>
    <t>OFFICE OF STATE AUDITOR</t>
  </si>
  <si>
    <t>OFFICE OF ADMINISTRATIVE HEARINGS</t>
  </si>
  <si>
    <t>OFFICE OF STATE BUDGET AND MANAGEMENT</t>
  </si>
  <si>
    <t>DEPARTMENT OF INFORMATION TECHNOLOGY</t>
  </si>
  <si>
    <t>OFFICE OF THE STATE CONTROLLER</t>
  </si>
  <si>
    <t>NC SCHOOL OF SCIENCE AND MATHEMATICS</t>
  </si>
  <si>
    <t>NC DEPARTMENT OF MILITARY AND VETERANS AFFAIRS</t>
  </si>
  <si>
    <t>DEPARTMENT OF ENVIRONMENTAL QUALITY</t>
  </si>
  <si>
    <t>HOUSING FINANCE AGENCY OF NORTH CAROLINA</t>
  </si>
  <si>
    <t>OFFICE OF GOVERNOR</t>
  </si>
  <si>
    <t>OFFICE OF LIEUTENANT GOVERNOR</t>
  </si>
  <si>
    <t>DEPARTMENT OF HEALTH AND HUMAN SERVICES</t>
  </si>
  <si>
    <t>DEPARTMENT OF INSURANCE</t>
  </si>
  <si>
    <t>DEPARTMENT OF LABOR</t>
  </si>
  <si>
    <t>DEPARTMENT OF REVENUE</t>
  </si>
  <si>
    <t>DEPARTMENT OF SECRETARY OF STATE</t>
  </si>
  <si>
    <t>DEPARTMENT OF STATE TREASURER (w/o State Health Plan)</t>
  </si>
  <si>
    <t>DEPARTMENT OF STATE TREASURER (State Health Plan Only)</t>
  </si>
  <si>
    <t>DEPARTMENT OF AGRICULTURE AND CONSUMER SERVICES</t>
  </si>
  <si>
    <t>STATE BOARD OF BARBER EXAMINERS</t>
  </si>
  <si>
    <t>NC REAL ESTATE COMMISSION</t>
  </si>
  <si>
    <t>NC AUCTIONEERS LICENSING BOARD</t>
  </si>
  <si>
    <t>NC STATE BOARD OF EXAMINERS OF PRACTICING PSYCHOLOGISTS</t>
  </si>
  <si>
    <t>COMMUNITY COLLEGE SYSTEM OFFICE</t>
  </si>
  <si>
    <t>NORTH CAROLINA SCHOOL OF THE ARTS</t>
  </si>
  <si>
    <t>NORTH CAROLINA A&amp;T UNIVERSITY</t>
  </si>
  <si>
    <t>NORTH CAROLINA CENTRAL UNIVERSITY</t>
  </si>
  <si>
    <t>UNIVERSITY OF NORTH CAROLINA AT PEMBROKE</t>
  </si>
  <si>
    <t>NC STATE UNIVERSITY</t>
  </si>
  <si>
    <t>UNC-CHAPEL HILL CB 1260</t>
  </si>
  <si>
    <t>UNC-GENERAL ADMINISTRATION (w/o SEAA)</t>
  </si>
  <si>
    <t>UNC-GENERAL ADMINISTRATION (SEAA Only)</t>
  </si>
  <si>
    <t>FRANCINE DELANY NEW SCHOOL FOR CHILDREN</t>
  </si>
  <si>
    <t>WESTERN PIEDMONT COMMUNITY COLLEGE</t>
  </si>
  <si>
    <t>NEW BERN/CRAVEN COUNTY BOARD OF EDUCATION</t>
  </si>
  <si>
    <t>NORTHEAST REGIONAL SCHOOL FOR BIOTECHNOLOGY</t>
  </si>
  <si>
    <t>CENTRAL PARK SCHOOL FOR CHILDREN</t>
  </si>
  <si>
    <t>KIPP HALIFAX COLLEGE PREP CHARTER</t>
  </si>
  <si>
    <t>GRANVILLE COUNTY SCHOOLS AND OXFORD ORPHANAGE</t>
  </si>
  <si>
    <t>IREDELL COUNTY SCHOOLS</t>
  </si>
  <si>
    <t>AMERICAN RENAISSANCE MIDDLE SCHOOL</t>
  </si>
  <si>
    <t>SANFORD-LEE COUNTY BOARD OF EDUCATION</t>
  </si>
  <si>
    <t>COMMUNITY CHARTER SCHOOL</t>
  </si>
  <si>
    <t>KENNEDY CHARTER</t>
  </si>
  <si>
    <t>CORVIAN COMMUNITY SCHOOL</t>
  </si>
  <si>
    <t>FERNLEAF COMMINUTY CENTER</t>
  </si>
  <si>
    <t>CAPE FEAR CENTER FOR INQUIRY</t>
  </si>
  <si>
    <t>CHAPEL HILL - CARBORO CITY SCHOOLS</t>
  </si>
  <si>
    <t>N.E. ACADEMY OF AEROSPACE &amp; ADVANCED TECHNOLOGY</t>
  </si>
  <si>
    <t>MOUNTAIN DISCOVERY CHARTER</t>
  </si>
  <si>
    <t>WAKE COUNTY SCHOOLS</t>
  </si>
  <si>
    <t>EAST WAKE ACADEMY</t>
  </si>
  <si>
    <t>TWO RIVERS COMMUNITY SCHOOL</t>
  </si>
  <si>
    <t>HIGHWAY - ADMINISTRATIVE (w/o Global Transpark or Ports Authority)</t>
  </si>
  <si>
    <t>HIGHWAY - ADMINISTRATIVE (Global Transpark Only)</t>
  </si>
  <si>
    <t>HIGHWAY - ADMINISTRATIVE (Ports Authority Only)</t>
  </si>
  <si>
    <t>LEGISLATIVE RETIREMENT SYSTEM</t>
  </si>
  <si>
    <t>RUTHERFORD POLK MCDOWELL DIST BOARD OF HEALTH</t>
  </si>
  <si>
    <t>https://www.auditor.nc.gov/EPSWeb/reports/financial/FIN-2019-3400E.pdf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</si>
</sst>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3" formatCode="_(* #,##0.00_);_(* \(#,##0.00\);_(* &quot;-&quot;??_);_(@_)"/>
    <numFmt numFmtId="164" formatCode="#,##0.00_);\(#,##0.00\);\—\—\—\ \ \ \ "/>
    <numFmt numFmtId="165" formatCode="\(0\)"/>
    <numFmt numFmtId="166" formatCode="#,##0_);\(#,##0\);\—\—\—\ \ \ \ "/>
    <numFmt numFmtId="167" formatCode="#,##0_);\(#,##0\);\—\ \ \ \ "/>
    <numFmt numFmtId="168" formatCode="_(&quot;$&quot;* #,##0_);_(&quot;$&quot;* \(#,##0\);_(&quot;$&quot;* &quot;—&quot;_);_(@_)"/>
    <numFmt numFmtId="169" formatCode="_(* #,##0_);_(* \(#,##0\);_(* &quot;—&quot;_);_(@_)"/>
    <numFmt numFmtId="170" formatCode="0.00000%"/>
    <numFmt numFmtId="171" formatCode="_(* #,##0_);_(* \(#,##0\);_(* &quot;-&quot;??_);_(@_)"/>
    <numFmt numFmtId="172" formatCode="00000"/>
    <numFmt numFmtId="173" formatCode="00000.0"/>
    <numFmt numFmtId="174" formatCode="_(* #,##0_);_(* \(#,##0\);_(* &quot;-&quot;????_);_(@_)"/>
  </numFmts>
  <fonts count="48" x14ac:knownFonts="1">
    <font>
      <sz val="10"/>
      <name val="Arial"/>
    </font>
    <font>
      <sz val="11"/>
      <color theme="1"/>
      <name val="Calibri"/>
      <family val="2"/>
      <scheme val="minor"/>
    </font>
    <font>
      <b/>
      <u/>
      <sz val="9"/>
      <name val="Arial"/>
      <family val="2"/>
    </font>
    <font>
      <b/>
      <u/>
      <sz val="9"/>
      <name val="Arial Narrow"/>
      <family val="2"/>
    </font>
    <font>
      <sz val="9"/>
      <name val="Arial Narrow"/>
      <family val="2"/>
    </font>
    <font>
      <b/>
      <i/>
      <sz val="9"/>
      <name val="Arial Narrow"/>
      <family val="2"/>
    </font>
    <font>
      <b/>
      <sz val="9"/>
      <name val="Arial Narrow"/>
      <family val="2"/>
    </font>
    <font>
      <b/>
      <i/>
      <u/>
      <sz val="9"/>
      <name val="Arial Narrow"/>
      <family val="2"/>
    </font>
    <font>
      <sz val="9"/>
      <name val="@Batang"/>
      <family val="1"/>
    </font>
    <font>
      <sz val="8"/>
      <name val="Arial"/>
      <family val="2"/>
    </font>
    <font>
      <sz val="12"/>
      <name val="Times New Roman"/>
      <family val="1"/>
    </font>
    <font>
      <sz val="8.25"/>
      <name val="Helv"/>
    </font>
    <font>
      <b/>
      <sz val="10"/>
      <name val="Arial"/>
      <family val="2"/>
    </font>
    <font>
      <sz val="8"/>
      <name val="Arial Narrow"/>
      <family val="2"/>
    </font>
    <font>
      <sz val="10"/>
      <name val="Arial"/>
      <family val="2"/>
    </font>
    <font>
      <u/>
      <sz val="9"/>
      <name val="Arial Narrow"/>
      <family val="2"/>
    </font>
    <font>
      <b/>
      <i/>
      <sz val="9"/>
      <color theme="1"/>
      <name val="Arial Narrow"/>
      <family val="2"/>
    </font>
    <font>
      <sz val="9"/>
      <name val="Arial"/>
      <family val="2"/>
    </font>
    <font>
      <b/>
      <u/>
      <sz val="10"/>
      <name val="Arial"/>
      <family val="2"/>
    </font>
    <font>
      <u/>
      <sz val="10"/>
      <name val="Arial"/>
      <family val="2"/>
    </font>
    <font>
      <i/>
      <sz val="10"/>
      <name val="Arial"/>
      <family val="2"/>
    </font>
    <font>
      <sz val="10"/>
      <color rgb="FF0000FF"/>
      <name val="Arial"/>
      <family val="2"/>
    </font>
    <font>
      <sz val="10"/>
      <name val="Arial"/>
      <family val="2"/>
    </font>
    <font>
      <b/>
      <sz val="11"/>
      <color theme="1"/>
      <name val="Calibri"/>
      <family val="2"/>
      <scheme val="minor"/>
    </font>
    <font>
      <b/>
      <sz val="10"/>
      <color rgb="FF000000"/>
      <name val="Arial"/>
      <family val="2"/>
    </font>
    <font>
      <b/>
      <sz val="11"/>
      <color rgb="FF000000"/>
      <name val="Calibri"/>
      <family val="2"/>
      <scheme val="minor"/>
    </font>
    <font>
      <sz val="11"/>
      <color rgb="FF000000"/>
      <name val="Calibri"/>
      <family val="2"/>
      <scheme val="minor"/>
    </font>
    <font>
      <b/>
      <u/>
      <sz val="9"/>
      <color rgb="FFFF0000"/>
      <name val="Arial Narrow"/>
      <family val="2"/>
    </font>
    <font>
      <i/>
      <u/>
      <sz val="10"/>
      <name val="Arial"/>
      <family val="2"/>
    </font>
    <font>
      <sz val="10"/>
      <color indexed="10"/>
      <name val="Arial"/>
      <family val="2"/>
    </font>
    <font>
      <b/>
      <sz val="10"/>
      <color indexed="10"/>
      <name val="Arial"/>
      <family val="2"/>
    </font>
    <font>
      <b/>
      <sz val="14"/>
      <color rgb="FFFF0000"/>
      <name val="Arial"/>
      <family val="2"/>
    </font>
    <font>
      <b/>
      <sz val="12.5"/>
      <color rgb="FFFF0000"/>
      <name val="Arial"/>
      <family val="2"/>
    </font>
    <font>
      <u/>
      <sz val="10"/>
      <color theme="10"/>
      <name val="Arial"/>
      <family val="2"/>
    </font>
    <font>
      <sz val="10"/>
      <color theme="10"/>
      <name val="Arial"/>
      <family val="2"/>
    </font>
    <font>
      <i/>
      <sz val="9"/>
      <name val="Arial Narrow"/>
      <family val="2"/>
    </font>
    <font>
      <sz val="10"/>
      <color rgb="FFFF0000"/>
      <name val="Arial"/>
      <family val="2"/>
    </font>
    <font>
      <b/>
      <i/>
      <sz val="10"/>
      <name val="Arial"/>
      <family val="2"/>
    </font>
    <font>
      <b/>
      <sz val="9"/>
      <color rgb="FFFF0000"/>
      <name val="Arial Narrow"/>
      <family val="2"/>
    </font>
    <font>
      <b/>
      <sz val="10"/>
      <color rgb="FFFF0000"/>
      <name val="Arial"/>
      <family val="2"/>
    </font>
    <font>
      <sz val="9"/>
      <color indexed="10"/>
      <name val="Arial Narrow"/>
      <family val="2"/>
    </font>
    <font>
      <b/>
      <sz val="10"/>
      <color indexed="10"/>
      <name val="Arial Narrow"/>
      <family val="2"/>
    </font>
    <font>
      <sz val="10"/>
      <name val="Times New Roman"/>
      <family val="1"/>
    </font>
    <font>
      <sz val="10"/>
      <color theme="1"/>
      <name val="Times New Roman"/>
      <family val="1"/>
    </font>
    <font>
      <b/>
      <sz val="11"/>
      <name val="Times New Roman"/>
      <family val="1"/>
    </font>
    <font>
      <sz val="12"/>
      <color theme="1"/>
      <name val="Times New Roman"/>
      <family val="1"/>
    </font>
    <font>
      <sz val="11"/>
      <name val="Calibri"/>
      <family val="2"/>
      <scheme val="minor"/>
    </font>
    <font>
      <sz val="10"/>
      <color rgb="FF00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7FFD8"/>
        <bgColor indexed="64"/>
      </patternFill>
    </fill>
    <fill>
      <patternFill patternType="solid">
        <fgColor indexed="41"/>
        <bgColor indexed="64"/>
      </patternFill>
    </fill>
    <fill>
      <patternFill patternType="solid">
        <fgColor theme="5" tint="0.59999389629810485"/>
        <bgColor indexed="64"/>
      </patternFill>
    </fill>
  </fills>
  <borders count="2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top/>
      <bottom style="medium">
        <color auto="1"/>
      </bottom>
      <diagonal/>
    </border>
    <border>
      <left style="hair">
        <color auto="1"/>
      </left>
      <right/>
      <top/>
      <bottom/>
      <diagonal/>
    </border>
    <border>
      <left/>
      <right style="thick">
        <color indexed="64"/>
      </right>
      <top/>
      <bottom/>
      <diagonal/>
    </border>
    <border>
      <left/>
      <right style="thick">
        <color indexed="64"/>
      </right>
      <top/>
      <bottom style="medium">
        <color indexed="64"/>
      </bottom>
      <diagonal/>
    </border>
    <border>
      <left style="hair">
        <color indexed="64"/>
      </left>
      <right/>
      <top/>
      <bottom style="medium">
        <color indexed="64"/>
      </bottom>
      <diagonal/>
    </border>
    <border>
      <left/>
      <right/>
      <top/>
      <bottom style="thin">
        <color theme="1"/>
      </bottom>
      <diagonal/>
    </border>
  </borders>
  <cellStyleXfs count="12">
    <xf numFmtId="0" fontId="0" fillId="0" borderId="0"/>
    <xf numFmtId="0" fontId="11" fillId="0" borderId="0"/>
    <xf numFmtId="43" fontId="22" fillId="0" borderId="0" applyFont="0" applyFill="0" applyBorder="0" applyAlignment="0" applyProtection="0"/>
    <xf numFmtId="9" fontId="22"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39" fontId="14" fillId="0" borderId="0"/>
    <xf numFmtId="9" fontId="1" fillId="0" borderId="0" applyFont="0" applyFill="0" applyBorder="0" applyAlignment="0" applyProtection="0"/>
    <xf numFmtId="0" fontId="1" fillId="0" borderId="0"/>
    <xf numFmtId="0" fontId="10" fillId="0" borderId="0" applyFill="0" applyBorder="0" applyAlignment="0" applyProtection="0">
      <alignment horizontal="left"/>
    </xf>
    <xf numFmtId="0" fontId="44" fillId="9" borderId="16" applyNumberFormat="0" applyBorder="0">
      <alignment horizontal="center"/>
    </xf>
    <xf numFmtId="39" fontId="14" fillId="0" borderId="0"/>
  </cellStyleXfs>
  <cellXfs count="324">
    <xf numFmtId="0" fontId="0" fillId="0" borderId="0" xfId="0"/>
    <xf numFmtId="0" fontId="12" fillId="0" borderId="0" xfId="0" applyFont="1"/>
    <xf numFmtId="0" fontId="14" fillId="0" borderId="0" xfId="0" applyFont="1"/>
    <xf numFmtId="166" fontId="12" fillId="0" borderId="0" xfId="0" applyNumberFormat="1" applyFont="1" applyBorder="1" applyAlignment="1" applyProtection="1">
      <alignment horizontal="center"/>
    </xf>
    <xf numFmtId="0" fontId="14" fillId="0" borderId="0" xfId="0" applyFont="1" applyBorder="1" applyAlignment="1">
      <alignment horizontal="center"/>
    </xf>
    <xf numFmtId="0" fontId="0" fillId="0" borderId="0" xfId="0" applyBorder="1" applyAlignment="1">
      <alignment horizontal="center"/>
    </xf>
    <xf numFmtId="0" fontId="14" fillId="0" borderId="0" xfId="0" applyFont="1" applyAlignment="1">
      <alignment horizontal="center"/>
    </xf>
    <xf numFmtId="37" fontId="0" fillId="0" borderId="0" xfId="0" applyNumberFormat="1"/>
    <xf numFmtId="170" fontId="0" fillId="0" borderId="0" xfId="0" applyNumberFormat="1"/>
    <xf numFmtId="0" fontId="0" fillId="0" borderId="1" xfId="0" applyBorder="1" applyAlignment="1">
      <alignment horizontal="center"/>
    </xf>
    <xf numFmtId="3" fontId="0" fillId="0" borderId="0" xfId="0" applyNumberFormat="1"/>
    <xf numFmtId="0" fontId="14" fillId="0" borderId="3" xfId="0" applyFont="1" applyBorder="1" applyAlignment="1">
      <alignment horizontal="center" wrapText="1"/>
    </xf>
    <xf numFmtId="0" fontId="0" fillId="0" borderId="3" xfId="0" applyBorder="1" applyAlignment="1">
      <alignment horizontal="center" wrapText="1"/>
    </xf>
    <xf numFmtId="0" fontId="14" fillId="0" borderId="3" xfId="0" quotePrefix="1" applyFont="1" applyBorder="1" applyAlignment="1">
      <alignment horizontal="center" wrapText="1"/>
    </xf>
    <xf numFmtId="0" fontId="0" fillId="0" borderId="3" xfId="0" applyBorder="1" applyAlignment="1">
      <alignment horizontal="center"/>
    </xf>
    <xf numFmtId="0" fontId="14" fillId="0" borderId="3" xfId="0" applyFont="1" applyBorder="1" applyAlignment="1">
      <alignment horizontal="center"/>
    </xf>
    <xf numFmtId="168" fontId="0" fillId="0" borderId="0" xfId="0" applyNumberFormat="1"/>
    <xf numFmtId="169" fontId="0" fillId="0" borderId="0" xfId="0" applyNumberFormat="1"/>
    <xf numFmtId="0" fontId="0" fillId="0" borderId="0" xfId="0" applyAlignment="1">
      <alignment horizontal="center"/>
    </xf>
    <xf numFmtId="0" fontId="5" fillId="3" borderId="0" xfId="0" applyFont="1" applyFill="1" applyAlignment="1" applyProtection="1">
      <alignment horizontal="center"/>
    </xf>
    <xf numFmtId="0" fontId="0" fillId="4" borderId="0" xfId="0" applyFill="1"/>
    <xf numFmtId="0" fontId="3" fillId="4" borderId="0" xfId="0" applyFont="1" applyFill="1" applyAlignment="1" applyProtection="1">
      <alignment horizontal="center"/>
    </xf>
    <xf numFmtId="0" fontId="4" fillId="4" borderId="0" xfId="0" applyFont="1" applyFill="1" applyAlignment="1" applyProtection="1">
      <alignment horizontal="center"/>
    </xf>
    <xf numFmtId="0" fontId="5" fillId="4" borderId="0" xfId="0" applyFont="1" applyFill="1" applyAlignment="1" applyProtection="1">
      <alignment horizontal="center"/>
    </xf>
    <xf numFmtId="0" fontId="6" fillId="4" borderId="0" xfId="0" applyFont="1" applyFill="1" applyAlignment="1" applyProtection="1">
      <alignment horizontal="center"/>
    </xf>
    <xf numFmtId="0" fontId="10" fillId="4" borderId="0" xfId="1" applyFont="1" applyFill="1" applyAlignment="1">
      <alignment horizontal="left"/>
    </xf>
    <xf numFmtId="0" fontId="10" fillId="4" borderId="0" xfId="1" applyFont="1" applyFill="1"/>
    <xf numFmtId="0" fontId="0" fillId="4" borderId="0" xfId="0" applyFill="1" applyAlignment="1">
      <alignment wrapText="1"/>
    </xf>
    <xf numFmtId="0" fontId="10" fillId="4" borderId="0" xfId="1" applyFont="1" applyFill="1" applyAlignment="1">
      <alignment horizontal="left" wrapText="1"/>
    </xf>
    <xf numFmtId="0" fontId="10" fillId="4" borderId="0" xfId="1" applyFont="1" applyFill="1" applyAlignment="1">
      <alignment wrapText="1"/>
    </xf>
    <xf numFmtId="0" fontId="7" fillId="4" borderId="0" xfId="0" applyFont="1" applyFill="1" applyAlignment="1" applyProtection="1">
      <alignment horizontal="center"/>
    </xf>
    <xf numFmtId="0" fontId="0" fillId="2" borderId="0" xfId="0" applyFill="1"/>
    <xf numFmtId="0" fontId="3" fillId="2" borderId="0" xfId="0" applyFont="1" applyFill="1" applyAlignment="1" applyProtection="1">
      <alignment horizontal="center"/>
    </xf>
    <xf numFmtId="164" fontId="3" fillId="2" borderId="0" xfId="0" applyNumberFormat="1" applyFont="1" applyFill="1" applyAlignment="1" applyProtection="1">
      <alignment horizontal="center"/>
    </xf>
    <xf numFmtId="0" fontId="2" fillId="2" borderId="0" xfId="0" applyFont="1" applyFill="1" applyAlignment="1" applyProtection="1">
      <alignment horizontal="center"/>
    </xf>
    <xf numFmtId="0" fontId="4" fillId="2" borderId="0" xfId="0" applyFont="1" applyFill="1" applyProtection="1"/>
    <xf numFmtId="0" fontId="4" fillId="2" borderId="0" xfId="0" applyFont="1" applyFill="1" applyAlignment="1" applyProtection="1">
      <alignment horizontal="center"/>
    </xf>
    <xf numFmtId="0" fontId="6" fillId="2" borderId="0" xfId="0" applyFont="1" applyFill="1" applyAlignment="1" applyProtection="1">
      <alignment horizontal="center"/>
    </xf>
    <xf numFmtId="0" fontId="4" fillId="2" borderId="0" xfId="0" applyFont="1" applyFill="1"/>
    <xf numFmtId="0" fontId="16" fillId="2" borderId="0" xfId="0" applyFont="1" applyFill="1" applyAlignment="1" applyProtection="1">
      <alignment horizontal="center"/>
    </xf>
    <xf numFmtId="165" fontId="17" fillId="2" borderId="0" xfId="0" applyNumberFormat="1" applyFont="1" applyFill="1" applyAlignment="1" applyProtection="1">
      <alignment horizontal="center"/>
    </xf>
    <xf numFmtId="167" fontId="4" fillId="2" borderId="0" xfId="0" applyNumberFormat="1" applyFont="1" applyFill="1" applyAlignment="1" applyProtection="1"/>
    <xf numFmtId="0" fontId="4" fillId="2" borderId="0" xfId="0" applyFont="1" applyFill="1" applyAlignment="1" applyProtection="1">
      <alignment horizontal="left" indent="2"/>
    </xf>
    <xf numFmtId="0" fontId="6" fillId="2" borderId="0" xfId="0" applyFont="1" applyFill="1" applyProtection="1"/>
    <xf numFmtId="167" fontId="4" fillId="2" borderId="0" xfId="0" applyNumberFormat="1" applyFont="1" applyFill="1" applyBorder="1" applyProtection="1"/>
    <xf numFmtId="0" fontId="0" fillId="2" borderId="0" xfId="0" applyFill="1" applyBorder="1"/>
    <xf numFmtId="167" fontId="6" fillId="2" borderId="0" xfId="0" applyNumberFormat="1" applyFont="1" applyFill="1" applyBorder="1" applyAlignment="1" applyProtection="1">
      <alignment horizontal="center"/>
    </xf>
    <xf numFmtId="0" fontId="14" fillId="2" borderId="0" xfId="0" applyFont="1" applyFill="1"/>
    <xf numFmtId="0" fontId="15" fillId="2" borderId="0" xfId="0" applyFont="1" applyFill="1" applyAlignment="1" applyProtection="1">
      <alignment horizontal="center"/>
    </xf>
    <xf numFmtId="167" fontId="4" fillId="2" borderId="0" xfId="0" applyNumberFormat="1" applyFont="1" applyFill="1" applyProtection="1"/>
    <xf numFmtId="167" fontId="4" fillId="2" borderId="0" xfId="0" applyNumberFormat="1" applyFont="1" applyFill="1" applyProtection="1">
      <protection locked="0"/>
    </xf>
    <xf numFmtId="167" fontId="4" fillId="2" borderId="1" xfId="0" applyNumberFormat="1" applyFont="1" applyFill="1" applyBorder="1" applyProtection="1"/>
    <xf numFmtId="168" fontId="14" fillId="2" borderId="0" xfId="0" applyNumberFormat="1" applyFont="1" applyFill="1" applyBorder="1"/>
    <xf numFmtId="169" fontId="14" fillId="2" borderId="0" xfId="0" applyNumberFormat="1" applyFont="1" applyFill="1" applyBorder="1"/>
    <xf numFmtId="0" fontId="6" fillId="2" borderId="0" xfId="0" applyFont="1" applyFill="1" applyAlignment="1">
      <alignment horizontal="center"/>
    </xf>
    <xf numFmtId="170" fontId="24" fillId="0" borderId="0" xfId="3" applyNumberFormat="1" applyFont="1" applyFill="1" applyBorder="1" applyAlignment="1">
      <alignment horizontal="center" wrapText="1"/>
    </xf>
    <xf numFmtId="0" fontId="25" fillId="0" borderId="0" xfId="0" applyFont="1" applyFill="1" applyBorder="1" applyAlignment="1">
      <alignment horizontal="center" wrapText="1"/>
    </xf>
    <xf numFmtId="169" fontId="14" fillId="4" borderId="0" xfId="0" applyNumberFormat="1" applyFont="1" applyFill="1" applyBorder="1"/>
    <xf numFmtId="0" fontId="27" fillId="2" borderId="0" xfId="0" applyFont="1" applyFill="1" applyAlignment="1" applyProtection="1">
      <alignment horizontal="center"/>
    </xf>
    <xf numFmtId="42" fontId="0" fillId="4" borderId="0" xfId="0" applyNumberFormat="1" applyFill="1" applyBorder="1"/>
    <xf numFmtId="0" fontId="12" fillId="4" borderId="0" xfId="0" applyFont="1" applyFill="1"/>
    <xf numFmtId="0" fontId="12" fillId="4" borderId="0" xfId="0" quotePrefix="1" applyFont="1" applyFill="1"/>
    <xf numFmtId="0" fontId="31" fillId="4" borderId="0" xfId="0" applyFont="1" applyFill="1"/>
    <xf numFmtId="0" fontId="31" fillId="4" borderId="0" xfId="0" applyFont="1" applyFill="1" applyAlignment="1">
      <alignment horizontal="center"/>
    </xf>
    <xf numFmtId="0" fontId="12" fillId="4" borderId="0" xfId="0" applyFont="1" applyFill="1" applyAlignment="1">
      <alignment horizontal="left"/>
    </xf>
    <xf numFmtId="0" fontId="0" fillId="4" borderId="0" xfId="0" applyFill="1" applyBorder="1"/>
    <xf numFmtId="0" fontId="30" fillId="4" borderId="0" xfId="0" applyFont="1" applyFill="1" applyAlignment="1" applyProtection="1">
      <alignment horizontal="left" indent="3"/>
    </xf>
    <xf numFmtId="0" fontId="29" fillId="4" borderId="0" xfId="0" applyFont="1" applyFill="1" applyAlignment="1" applyProtection="1">
      <alignment horizontal="left" indent="4"/>
    </xf>
    <xf numFmtId="165" fontId="17" fillId="4" borderId="0" xfId="0" applyNumberFormat="1" applyFont="1" applyFill="1" applyAlignment="1" applyProtection="1">
      <alignment horizontal="center"/>
    </xf>
    <xf numFmtId="0" fontId="8" fillId="4" borderId="0" xfId="0" applyFont="1" applyFill="1" applyBorder="1" applyProtection="1"/>
    <xf numFmtId="166" fontId="4" fillId="4" borderId="0" xfId="0" applyNumberFormat="1" applyFont="1" applyFill="1" applyBorder="1" applyProtection="1"/>
    <xf numFmtId="166" fontId="4" fillId="4" borderId="0" xfId="0" applyNumberFormat="1" applyFont="1" applyFill="1" applyProtection="1"/>
    <xf numFmtId="0" fontId="4" fillId="4" borderId="0" xfId="0" applyFont="1" applyFill="1" applyAlignment="1">
      <alignment horizontal="center" vertical="top"/>
    </xf>
    <xf numFmtId="0" fontId="0" fillId="4" borderId="0" xfId="0" applyFill="1" applyAlignment="1">
      <alignment vertical="top"/>
    </xf>
    <xf numFmtId="0" fontId="4" fillId="4" borderId="0" xfId="0" applyFont="1" applyFill="1"/>
    <xf numFmtId="0" fontId="4" fillId="4" borderId="0" xfId="0" applyNumberFormat="1" applyFont="1" applyFill="1" applyAlignment="1" applyProtection="1">
      <alignment horizontal="left" vertical="top"/>
    </xf>
    <xf numFmtId="0" fontId="4" fillId="4" borderId="0" xfId="0" applyFont="1" applyFill="1" applyAlignment="1">
      <alignment vertical="top"/>
    </xf>
    <xf numFmtId="0" fontId="4" fillId="4" borderId="0" xfId="0" applyFont="1" applyFill="1" applyAlignment="1">
      <alignment vertical="top" wrapText="1"/>
    </xf>
    <xf numFmtId="0" fontId="0" fillId="4" borderId="0" xfId="0" applyFill="1" applyAlignment="1">
      <alignment vertical="top" wrapText="1"/>
    </xf>
    <xf numFmtId="49" fontId="4" fillId="4" borderId="0" xfId="0" quotePrefix="1" applyNumberFormat="1" applyFont="1" applyFill="1" applyAlignment="1" applyProtection="1">
      <alignment horizontal="center" vertical="top"/>
    </xf>
    <xf numFmtId="49" fontId="4" fillId="4" borderId="0" xfId="0" quotePrefix="1" applyNumberFormat="1" applyFont="1" applyFill="1" applyAlignment="1">
      <alignment horizontal="center" vertical="top"/>
    </xf>
    <xf numFmtId="0" fontId="4" fillId="4" borderId="0" xfId="0" applyNumberFormat="1" applyFont="1" applyFill="1" applyAlignment="1" applyProtection="1">
      <alignment horizontal="left" vertical="top" wrapText="1"/>
    </xf>
    <xf numFmtId="0" fontId="12" fillId="2" borderId="0" xfId="0" quotePrefix="1" applyFont="1" applyFill="1" applyBorder="1" applyAlignment="1">
      <alignment horizontal="center"/>
    </xf>
    <xf numFmtId="0" fontId="12" fillId="2" borderId="3" xfId="0" quotePrefix="1" applyFont="1" applyFill="1" applyBorder="1" applyAlignment="1">
      <alignment horizontal="center"/>
    </xf>
    <xf numFmtId="169" fontId="14" fillId="2" borderId="3" xfId="0" applyNumberFormat="1" applyFont="1" applyFill="1" applyBorder="1"/>
    <xf numFmtId="168" fontId="14" fillId="2" borderId="2" xfId="0" applyNumberFormat="1" applyFont="1" applyFill="1" applyBorder="1"/>
    <xf numFmtId="0" fontId="12" fillId="2" borderId="0" xfId="0" quotePrefix="1" applyFont="1" applyFill="1" applyAlignment="1">
      <alignment horizontal="center"/>
    </xf>
    <xf numFmtId="0" fontId="12" fillId="4" borderId="0" xfId="0" applyFont="1" applyFill="1" applyBorder="1" applyAlignment="1">
      <alignment horizontal="center"/>
    </xf>
    <xf numFmtId="166" fontId="12" fillId="4" borderId="3" xfId="0" applyNumberFormat="1" applyFont="1" applyFill="1" applyBorder="1" applyAlignment="1" applyProtection="1">
      <alignment horizontal="center"/>
    </xf>
    <xf numFmtId="166" fontId="18" fillId="4" borderId="0" xfId="0" applyNumberFormat="1" applyFont="1" applyFill="1" applyBorder="1" applyAlignment="1" applyProtection="1">
      <alignment horizontal="center"/>
    </xf>
    <xf numFmtId="166" fontId="12" fillId="4" borderId="0" xfId="0" applyNumberFormat="1" applyFont="1" applyFill="1" applyBorder="1" applyAlignment="1" applyProtection="1">
      <alignment horizontal="center"/>
    </xf>
    <xf numFmtId="0" fontId="14" fillId="4" borderId="0" xfId="1" applyFont="1" applyFill="1" applyBorder="1"/>
    <xf numFmtId="1" fontId="14" fillId="4" borderId="0" xfId="0" applyNumberFormat="1" applyFont="1" applyFill="1" applyBorder="1" applyAlignment="1" applyProtection="1">
      <alignment horizontal="center"/>
    </xf>
    <xf numFmtId="168" fontId="14" fillId="4" borderId="0" xfId="0" applyNumberFormat="1" applyFont="1" applyFill="1" applyBorder="1"/>
    <xf numFmtId="167" fontId="14" fillId="4" borderId="0" xfId="0" applyNumberFormat="1" applyFont="1" applyFill="1" applyBorder="1"/>
    <xf numFmtId="169" fontId="14" fillId="4" borderId="3" xfId="0" applyNumberFormat="1" applyFont="1" applyFill="1" applyBorder="1"/>
    <xf numFmtId="0" fontId="14" fillId="4" borderId="0" xfId="1" applyFont="1" applyFill="1" applyBorder="1" applyAlignment="1">
      <alignment horizontal="left" indent="1"/>
    </xf>
    <xf numFmtId="0" fontId="14" fillId="4" borderId="0" xfId="0" applyFont="1" applyFill="1" applyBorder="1" applyAlignment="1" applyProtection="1">
      <alignment horizontal="center"/>
    </xf>
    <xf numFmtId="168" fontId="14" fillId="4" borderId="2" xfId="0" applyNumberFormat="1" applyFont="1" applyFill="1" applyBorder="1"/>
    <xf numFmtId="0" fontId="32" fillId="4" borderId="0" xfId="0" applyFont="1" applyFill="1"/>
    <xf numFmtId="0" fontId="21" fillId="4" borderId="12" xfId="0" applyFont="1" applyFill="1" applyBorder="1" applyAlignment="1" applyProtection="1">
      <alignment horizontal="center"/>
      <protection locked="0"/>
    </xf>
    <xf numFmtId="0" fontId="0" fillId="0" borderId="0" xfId="0"/>
    <xf numFmtId="0" fontId="0" fillId="0" borderId="0" xfId="0"/>
    <xf numFmtId="168" fontId="0" fillId="0" borderId="2" xfId="0" applyNumberFormat="1" applyBorder="1"/>
    <xf numFmtId="0" fontId="0" fillId="0" borderId="0" xfId="0"/>
    <xf numFmtId="0" fontId="12" fillId="0" borderId="3" xfId="0" applyFont="1" applyBorder="1"/>
    <xf numFmtId="0" fontId="12" fillId="4" borderId="3" xfId="0" applyFont="1" applyFill="1" applyBorder="1" applyAlignment="1">
      <alignment horizontal="center"/>
    </xf>
    <xf numFmtId="0" fontId="14" fillId="4" borderId="0" xfId="0" applyFont="1" applyFill="1"/>
    <xf numFmtId="0" fontId="14" fillId="4" borderId="5" xfId="0" applyFont="1" applyFill="1" applyBorder="1"/>
    <xf numFmtId="0" fontId="0" fillId="4" borderId="6" xfId="0" applyFill="1" applyBorder="1"/>
    <xf numFmtId="0" fontId="0" fillId="4" borderId="7" xfId="0" applyFill="1" applyBorder="1"/>
    <xf numFmtId="0" fontId="14" fillId="4" borderId="8" xfId="0" applyFont="1" applyFill="1" applyBorder="1"/>
    <xf numFmtId="0" fontId="0" fillId="4" borderId="9" xfId="0" applyFill="1" applyBorder="1"/>
    <xf numFmtId="15" fontId="12" fillId="4" borderId="8" xfId="0" quotePrefix="1" applyNumberFormat="1" applyFont="1" applyFill="1" applyBorder="1"/>
    <xf numFmtId="0" fontId="0" fillId="4" borderId="8" xfId="0" applyFill="1" applyBorder="1"/>
    <xf numFmtId="0" fontId="14" fillId="4" borderId="0" xfId="0" applyFont="1" applyFill="1" applyBorder="1"/>
    <xf numFmtId="0" fontId="14" fillId="4" borderId="0" xfId="0" applyFont="1" applyFill="1" applyBorder="1" applyAlignment="1">
      <alignment horizontal="center"/>
    </xf>
    <xf numFmtId="0" fontId="19" fillId="4" borderId="0" xfId="0" applyFont="1" applyFill="1" applyBorder="1" applyAlignment="1">
      <alignment horizontal="center"/>
    </xf>
    <xf numFmtId="0" fontId="14" fillId="4" borderId="3" xfId="0" applyFont="1" applyFill="1" applyBorder="1" applyAlignment="1">
      <alignment horizontal="center"/>
    </xf>
    <xf numFmtId="0" fontId="0" fillId="4" borderId="0" xfId="0" applyFill="1" applyBorder="1" applyAlignment="1">
      <alignment horizontal="center"/>
    </xf>
    <xf numFmtId="42" fontId="14" fillId="4" borderId="0" xfId="0" applyNumberFormat="1" applyFont="1" applyFill="1" applyBorder="1"/>
    <xf numFmtId="41" fontId="14" fillId="4" borderId="0" xfId="0" applyNumberFormat="1" applyFont="1" applyFill="1" applyBorder="1"/>
    <xf numFmtId="41" fontId="0" fillId="4" borderId="0" xfId="0" applyNumberFormat="1" applyFill="1" applyBorder="1"/>
    <xf numFmtId="0" fontId="14" fillId="4" borderId="8" xfId="0" applyFont="1" applyFill="1" applyBorder="1" applyAlignment="1">
      <alignment horizontal="left" indent="2"/>
    </xf>
    <xf numFmtId="42" fontId="0" fillId="4" borderId="2" xfId="0" applyNumberFormat="1" applyFill="1" applyBorder="1"/>
    <xf numFmtId="15" fontId="20" fillId="4" borderId="8" xfId="0" quotePrefix="1" applyNumberFormat="1" applyFont="1" applyFill="1" applyBorder="1"/>
    <xf numFmtId="0" fontId="0" fillId="4" borderId="11" xfId="0" applyFill="1" applyBorder="1"/>
    <xf numFmtId="0" fontId="0" fillId="4" borderId="3" xfId="0" applyFill="1" applyBorder="1"/>
    <xf numFmtId="0" fontId="0" fillId="4" borderId="10" xfId="0" applyFill="1" applyBorder="1"/>
    <xf numFmtId="0" fontId="0" fillId="4" borderId="8" xfId="0" applyFill="1" applyBorder="1" applyAlignment="1">
      <alignment horizontal="left" indent="2"/>
    </xf>
    <xf numFmtId="0" fontId="4" fillId="4" borderId="0" xfId="0" applyFont="1" applyFill="1" applyBorder="1"/>
    <xf numFmtId="169" fontId="0" fillId="4" borderId="0" xfId="0" applyNumberFormat="1" applyFill="1" applyBorder="1"/>
    <xf numFmtId="169" fontId="0" fillId="4" borderId="3" xfId="0" applyNumberFormat="1" applyFill="1" applyBorder="1"/>
    <xf numFmtId="0" fontId="14" fillId="4" borderId="8" xfId="0" applyFont="1" applyFill="1" applyBorder="1" applyAlignment="1">
      <alignment horizontal="left" indent="3"/>
    </xf>
    <xf numFmtId="168" fontId="0" fillId="4" borderId="2" xfId="0" applyNumberFormat="1" applyFill="1" applyBorder="1"/>
    <xf numFmtId="0" fontId="20" fillId="4" borderId="8" xfId="0" applyFont="1" applyFill="1" applyBorder="1"/>
    <xf numFmtId="0" fontId="14" fillId="4" borderId="11" xfId="0" applyFont="1" applyFill="1" applyBorder="1"/>
    <xf numFmtId="0" fontId="14" fillId="4" borderId="8" xfId="0" quotePrefix="1" applyFont="1" applyFill="1" applyBorder="1"/>
    <xf numFmtId="168" fontId="14" fillId="4" borderId="4" xfId="0" applyNumberFormat="1" applyFont="1" applyFill="1" applyBorder="1"/>
    <xf numFmtId="0" fontId="0" fillId="4" borderId="5" xfId="0" applyFill="1" applyBorder="1"/>
    <xf numFmtId="0" fontId="0" fillId="4" borderId="8" xfId="0" applyFill="1" applyBorder="1" applyAlignment="1">
      <alignment horizontal="center"/>
    </xf>
    <xf numFmtId="0" fontId="0" fillId="4" borderId="3" xfId="0" applyFill="1" applyBorder="1" applyAlignment="1">
      <alignment horizontal="center"/>
    </xf>
    <xf numFmtId="168" fontId="0" fillId="4" borderId="0" xfId="0" applyNumberFormat="1" applyFill="1" applyBorder="1"/>
    <xf numFmtId="168" fontId="0" fillId="4" borderId="3" xfId="0" applyNumberFormat="1" applyFill="1" applyBorder="1"/>
    <xf numFmtId="0" fontId="0" fillId="0" borderId="0" xfId="0"/>
    <xf numFmtId="0" fontId="34" fillId="4" borderId="0" xfId="4" applyFont="1" applyFill="1"/>
    <xf numFmtId="168" fontId="0" fillId="0" borderId="0" xfId="0" applyNumberFormat="1" applyBorder="1"/>
    <xf numFmtId="0" fontId="35" fillId="2" borderId="0" xfId="0" applyFont="1" applyFill="1" applyProtection="1"/>
    <xf numFmtId="0" fontId="0" fillId="0" borderId="0" xfId="0"/>
    <xf numFmtId="0" fontId="12" fillId="4" borderId="0" xfId="0" quotePrefix="1" applyFont="1" applyFill="1" applyBorder="1" applyAlignment="1">
      <alignment horizontal="center"/>
    </xf>
    <xf numFmtId="0" fontId="0" fillId="0" borderId="0" xfId="0" applyBorder="1"/>
    <xf numFmtId="0" fontId="36" fillId="0" borderId="0" xfId="0" applyFont="1"/>
    <xf numFmtId="0" fontId="0" fillId="0" borderId="0" xfId="0"/>
    <xf numFmtId="0" fontId="4" fillId="0" borderId="0" xfId="0" applyFont="1"/>
    <xf numFmtId="169" fontId="0" fillId="0" borderId="0" xfId="0" applyNumberFormat="1" applyBorder="1"/>
    <xf numFmtId="167" fontId="4" fillId="4" borderId="0" xfId="0" applyNumberFormat="1" applyFont="1" applyFill="1" applyBorder="1" applyProtection="1">
      <protection locked="0"/>
    </xf>
    <xf numFmtId="0" fontId="0" fillId="0" borderId="0" xfId="0"/>
    <xf numFmtId="0" fontId="23" fillId="0" borderId="13" xfId="0" applyFont="1" applyBorder="1" applyAlignment="1">
      <alignment horizontal="centerContinuous"/>
    </xf>
    <xf numFmtId="0" fontId="23" fillId="0" borderId="1" xfId="0" applyFont="1" applyBorder="1" applyAlignment="1">
      <alignment horizontal="centerContinuous"/>
    </xf>
    <xf numFmtId="0" fontId="23" fillId="0" borderId="14" xfId="0" applyFont="1" applyBorder="1" applyAlignment="1">
      <alignment horizontal="centerContinuous"/>
    </xf>
    <xf numFmtId="0" fontId="12" fillId="0" borderId="0" xfId="0" applyFont="1" applyAlignment="1">
      <alignment horizontal="center"/>
    </xf>
    <xf numFmtId="0" fontId="0" fillId="0" borderId="0" xfId="0"/>
    <xf numFmtId="0" fontId="0" fillId="0" borderId="0" xfId="0"/>
    <xf numFmtId="0" fontId="18" fillId="4" borderId="0" xfId="0" applyFont="1" applyFill="1"/>
    <xf numFmtId="0" fontId="37" fillId="4" borderId="0" xfId="0" applyFont="1" applyFill="1"/>
    <xf numFmtId="0" fontId="0" fillId="0" borderId="0" xfId="0"/>
    <xf numFmtId="0" fontId="0" fillId="0" borderId="0" xfId="0"/>
    <xf numFmtId="0" fontId="26" fillId="0" borderId="1" xfId="0" applyFont="1" applyFill="1" applyBorder="1" applyAlignment="1">
      <alignment horizontal="center" wrapText="1"/>
    </xf>
    <xf numFmtId="0" fontId="14" fillId="6" borderId="0" xfId="0" applyFont="1" applyFill="1"/>
    <xf numFmtId="0" fontId="0" fillId="6" borderId="0" xfId="0" applyFill="1"/>
    <xf numFmtId="37" fontId="0" fillId="6" borderId="0" xfId="0" applyNumberFormat="1" applyFill="1"/>
    <xf numFmtId="3" fontId="0" fillId="6" borderId="0" xfId="0" applyNumberFormat="1" applyFill="1"/>
    <xf numFmtId="170" fontId="0" fillId="6" borderId="0" xfId="0" applyNumberFormat="1" applyFill="1"/>
    <xf numFmtId="0" fontId="0" fillId="0" borderId="0" xfId="0"/>
    <xf numFmtId="0" fontId="0" fillId="7" borderId="0" xfId="0" applyFont="1" applyFill="1"/>
    <xf numFmtId="0" fontId="0" fillId="7" borderId="0" xfId="0" applyFill="1"/>
    <xf numFmtId="37" fontId="0" fillId="7" borderId="0" xfId="0" applyNumberFormat="1" applyFill="1"/>
    <xf numFmtId="0" fontId="14" fillId="7" borderId="0" xfId="0" applyFont="1" applyFill="1"/>
    <xf numFmtId="0" fontId="0" fillId="0" borderId="0" xfId="0"/>
    <xf numFmtId="0" fontId="0" fillId="0" borderId="0" xfId="0" applyAlignment="1">
      <alignment horizontal="center" wrapText="1"/>
    </xf>
    <xf numFmtId="0" fontId="0" fillId="6" borderId="15" xfId="0" applyFill="1" applyBorder="1" applyAlignment="1">
      <alignment horizontal="center"/>
    </xf>
    <xf numFmtId="0" fontId="0" fillId="0" borderId="0" xfId="0"/>
    <xf numFmtId="167" fontId="4" fillId="2" borderId="3" xfId="0" applyNumberFormat="1" applyFont="1" applyFill="1" applyBorder="1" applyProtection="1"/>
    <xf numFmtId="0" fontId="0" fillId="0" borderId="0" xfId="0"/>
    <xf numFmtId="0" fontId="14" fillId="7" borderId="8" xfId="0" applyFont="1" applyFill="1" applyBorder="1"/>
    <xf numFmtId="0" fontId="36" fillId="4" borderId="0" xfId="0" applyFont="1" applyFill="1"/>
    <xf numFmtId="0" fontId="14" fillId="0" borderId="0" xfId="0" applyFont="1" applyBorder="1" applyAlignment="1"/>
    <xf numFmtId="0" fontId="38" fillId="7" borderId="0" xfId="0" applyFont="1" applyFill="1" applyProtection="1"/>
    <xf numFmtId="0" fontId="40" fillId="4" borderId="0" xfId="0" applyFont="1" applyFill="1" applyAlignment="1" applyProtection="1">
      <alignment horizontal="left"/>
    </xf>
    <xf numFmtId="0" fontId="41" fillId="4" borderId="0" xfId="0" applyFont="1" applyFill="1" applyAlignment="1" applyProtection="1">
      <alignment horizontal="left" indent="1"/>
    </xf>
    <xf numFmtId="0" fontId="41" fillId="0" borderId="0" xfId="0" applyFont="1" applyFill="1" applyAlignment="1" applyProtection="1">
      <alignment horizontal="left" indent="1"/>
    </xf>
    <xf numFmtId="0" fontId="14" fillId="0" borderId="0" xfId="0" applyFont="1" applyBorder="1" applyAlignment="1">
      <alignment horizontal="center"/>
    </xf>
    <xf numFmtId="1" fontId="14" fillId="0" borderId="0" xfId="0" applyNumberFormat="1" applyFont="1" applyFill="1" applyBorder="1" applyAlignment="1" applyProtection="1">
      <alignment horizontal="center"/>
    </xf>
    <xf numFmtId="0" fontId="0" fillId="0" borderId="0" xfId="0" applyFill="1"/>
    <xf numFmtId="0" fontId="18" fillId="4" borderId="0" xfId="1" applyFont="1" applyFill="1" applyBorder="1"/>
    <xf numFmtId="0" fontId="20" fillId="4" borderId="0" xfId="1" applyFont="1" applyFill="1" applyBorder="1" applyAlignment="1">
      <alignment horizontal="left"/>
    </xf>
    <xf numFmtId="166" fontId="13" fillId="2" borderId="0" xfId="0" applyNumberFormat="1" applyFont="1" applyFill="1" applyAlignment="1" applyProtection="1"/>
    <xf numFmtId="166" fontId="38" fillId="2" borderId="0" xfId="0" applyNumberFormat="1" applyFont="1" applyFill="1" applyAlignment="1" applyProtection="1"/>
    <xf numFmtId="0" fontId="0" fillId="2" borderId="0" xfId="0" applyFill="1" applyProtection="1"/>
    <xf numFmtId="0" fontId="13" fillId="2" borderId="0" xfId="0" applyFont="1" applyFill="1" applyProtection="1"/>
    <xf numFmtId="166" fontId="13" fillId="2" borderId="0" xfId="0" quotePrefix="1" applyNumberFormat="1" applyFont="1" applyFill="1" applyAlignment="1" applyProtection="1"/>
    <xf numFmtId="166" fontId="4" fillId="2" borderId="0" xfId="0" applyNumberFormat="1" applyFont="1" applyFill="1" applyBorder="1" applyProtection="1"/>
    <xf numFmtId="10" fontId="0" fillId="6" borderId="0" xfId="0" applyNumberFormat="1" applyFill="1"/>
    <xf numFmtId="3" fontId="0" fillId="7" borderId="0" xfId="0" applyNumberFormat="1" applyFill="1"/>
    <xf numFmtId="41" fontId="0" fillId="0" borderId="0" xfId="0" applyNumberFormat="1"/>
    <xf numFmtId="0" fontId="0" fillId="0" borderId="8" xfId="0" applyFill="1" applyBorder="1"/>
    <xf numFmtId="0" fontId="5" fillId="2" borderId="0" xfId="0" applyFont="1" applyFill="1" applyProtection="1"/>
    <xf numFmtId="15" fontId="14" fillId="4" borderId="0" xfId="0" quotePrefix="1" applyNumberFormat="1" applyFont="1" applyFill="1" applyBorder="1" applyAlignment="1">
      <alignment horizontal="center"/>
    </xf>
    <xf numFmtId="0" fontId="0" fillId="0" borderId="0" xfId="0"/>
    <xf numFmtId="0" fontId="0" fillId="6" borderId="13" xfId="0" applyFill="1" applyBorder="1"/>
    <xf numFmtId="0" fontId="0" fillId="6" borderId="1" xfId="0" applyFill="1" applyBorder="1"/>
    <xf numFmtId="0" fontId="0" fillId="6" borderId="14" xfId="0" applyFill="1" applyBorder="1"/>
    <xf numFmtId="0" fontId="0" fillId="0" borderId="0" xfId="0"/>
    <xf numFmtId="0" fontId="42" fillId="0" borderId="0" xfId="2" applyNumberFormat="1" applyFont="1" applyFill="1" applyBorder="1" applyAlignment="1"/>
    <xf numFmtId="38" fontId="42" fillId="0" borderId="0" xfId="9" applyNumberFormat="1" applyFont="1" applyFill="1" applyBorder="1" applyAlignment="1">
      <alignment wrapText="1"/>
    </xf>
    <xf numFmtId="170" fontId="43" fillId="0" borderId="3" xfId="3" applyNumberFormat="1" applyFont="1" applyBorder="1" applyAlignment="1"/>
    <xf numFmtId="0" fontId="15" fillId="4" borderId="0" xfId="0" applyNumberFormat="1" applyFont="1" applyFill="1" applyAlignment="1" applyProtection="1">
      <alignment horizontal="left" vertical="center"/>
    </xf>
    <xf numFmtId="0" fontId="4" fillId="4" borderId="0" xfId="0" applyFont="1" applyFill="1" applyAlignment="1">
      <alignment vertical="top" wrapText="1"/>
    </xf>
    <xf numFmtId="0" fontId="0" fillId="4" borderId="0" xfId="0" applyFill="1" applyAlignment="1">
      <alignment vertical="top"/>
    </xf>
    <xf numFmtId="0" fontId="14" fillId="0" borderId="0" xfId="0" applyFont="1" applyFill="1"/>
    <xf numFmtId="0" fontId="14" fillId="0" borderId="0" xfId="0" applyFont="1" applyAlignment="1">
      <alignment horizontal="center" wrapText="1"/>
    </xf>
    <xf numFmtId="0" fontId="18" fillId="0" borderId="0" xfId="0" applyFont="1" applyFill="1"/>
    <xf numFmtId="37" fontId="0" fillId="0" borderId="0" xfId="0" applyNumberFormat="1" applyFill="1"/>
    <xf numFmtId="170" fontId="0" fillId="0" borderId="0" xfId="0" applyNumberFormat="1" applyFill="1"/>
    <xf numFmtId="0" fontId="39" fillId="0" borderId="0" xfId="0" applyFont="1" applyFill="1"/>
    <xf numFmtId="0" fontId="39" fillId="4" borderId="0" xfId="0" applyFont="1" applyFill="1" applyBorder="1" applyAlignment="1">
      <alignment horizontal="left"/>
    </xf>
    <xf numFmtId="1" fontId="36" fillId="4" borderId="0" xfId="0" applyNumberFormat="1" applyFont="1" applyFill="1" applyBorder="1" applyAlignment="1" applyProtection="1">
      <alignment horizontal="center"/>
    </xf>
    <xf numFmtId="0" fontId="0" fillId="0" borderId="0" xfId="0"/>
    <xf numFmtId="0" fontId="0" fillId="0" borderId="0" xfId="0" applyBorder="1" applyAlignment="1">
      <alignment horizontal="center"/>
    </xf>
    <xf numFmtId="0" fontId="17" fillId="0" borderId="0" xfId="0" applyFont="1" applyFill="1"/>
    <xf numFmtId="0" fontId="17" fillId="0" borderId="0" xfId="0" applyFont="1"/>
    <xf numFmtId="38" fontId="10" fillId="0" borderId="0" xfId="9" applyNumberFormat="1" applyFont="1" applyFill="1" applyBorder="1" applyAlignment="1">
      <alignment wrapText="1"/>
    </xf>
    <xf numFmtId="170" fontId="45" fillId="0" borderId="0" xfId="3" applyNumberFormat="1" applyFont="1" applyFill="1" applyBorder="1" applyAlignment="1"/>
    <xf numFmtId="37" fontId="0" fillId="0" borderId="0" xfId="0" applyNumberFormat="1" applyAlignment="1">
      <alignment horizontal="center"/>
    </xf>
    <xf numFmtId="37" fontId="12" fillId="0" borderId="0" xfId="0" applyNumberFormat="1" applyFont="1" applyAlignment="1">
      <alignment horizontal="center"/>
    </xf>
    <xf numFmtId="37" fontId="0" fillId="0" borderId="0" xfId="2" applyNumberFormat="1" applyFont="1"/>
    <xf numFmtId="37" fontId="42" fillId="0" borderId="0" xfId="2" applyNumberFormat="1" applyFont="1"/>
    <xf numFmtId="171" fontId="12" fillId="0" borderId="2" xfId="2" applyNumberFormat="1" applyFont="1" applyFill="1" applyBorder="1"/>
    <xf numFmtId="171" fontId="14" fillId="8" borderId="0" xfId="2" applyNumberFormat="1" applyFont="1" applyFill="1" applyBorder="1" applyAlignment="1">
      <alignment horizontal="right"/>
    </xf>
    <xf numFmtId="171" fontId="14" fillId="0" borderId="0" xfId="2" applyNumberFormat="1" applyFont="1" applyFill="1" applyAlignment="1">
      <alignment horizontal="right"/>
    </xf>
    <xf numFmtId="171" fontId="14" fillId="0" borderId="0" xfId="2" applyNumberFormat="1" applyFont="1" applyFill="1" applyBorder="1" applyAlignment="1">
      <alignment horizontal="right"/>
    </xf>
    <xf numFmtId="172" fontId="10" fillId="0" borderId="0" xfId="2" applyNumberFormat="1" applyFont="1" applyBorder="1" applyAlignment="1"/>
    <xf numFmtId="173" fontId="10" fillId="0" borderId="0" xfId="2" applyNumberFormat="1" applyFont="1" applyBorder="1" applyAlignment="1"/>
    <xf numFmtId="0" fontId="0" fillId="0" borderId="0" xfId="0" applyNumberFormat="1" applyAlignment="1">
      <alignment horizontal="center"/>
    </xf>
    <xf numFmtId="0" fontId="12" fillId="0" borderId="0" xfId="0" applyNumberFormat="1" applyFont="1" applyAlignment="1">
      <alignment horizontal="center" wrapText="1"/>
    </xf>
    <xf numFmtId="0" fontId="10" fillId="0" borderId="0" xfId="2" applyNumberFormat="1" applyFont="1" applyFill="1" applyBorder="1" applyAlignment="1">
      <alignment horizontal="center"/>
    </xf>
    <xf numFmtId="0" fontId="0" fillId="0" borderId="0" xfId="0" applyNumberFormat="1"/>
    <xf numFmtId="0" fontId="38" fillId="7" borderId="0" xfId="0" applyFont="1" applyFill="1" applyAlignment="1" applyProtection="1">
      <alignment horizontal="left"/>
    </xf>
    <xf numFmtId="37" fontId="14" fillId="6" borderId="15" xfId="0" applyNumberFormat="1" applyFont="1" applyFill="1" applyBorder="1" applyAlignment="1">
      <alignment horizontal="center"/>
    </xf>
    <xf numFmtId="37" fontId="0" fillId="0" borderId="0" xfId="0" applyNumberFormat="1" applyAlignment="1">
      <alignment horizontal="center" wrapText="1"/>
    </xf>
    <xf numFmtId="167" fontId="0" fillId="4" borderId="0" xfId="0" applyNumberFormat="1" applyFill="1"/>
    <xf numFmtId="0" fontId="14" fillId="0" borderId="8" xfId="0" applyFont="1" applyFill="1" applyBorder="1"/>
    <xf numFmtId="167" fontId="4" fillId="2" borderId="12" xfId="0" applyNumberFormat="1" applyFont="1" applyFill="1" applyBorder="1" applyProtection="1">
      <protection locked="0"/>
    </xf>
    <xf numFmtId="0" fontId="0" fillId="0" borderId="0" xfId="0"/>
    <xf numFmtId="0" fontId="0" fillId="0" borderId="0" xfId="0" applyAlignment="1">
      <alignment horizontal="left"/>
    </xf>
    <xf numFmtId="0" fontId="0" fillId="7" borderId="0" xfId="0" applyFill="1" applyAlignment="1">
      <alignment horizontal="left"/>
    </xf>
    <xf numFmtId="41" fontId="0" fillId="0" borderId="0" xfId="2" applyNumberFormat="1" applyFont="1"/>
    <xf numFmtId="0" fontId="14" fillId="0" borderId="0" xfId="0" applyNumberFormat="1" applyFont="1" applyFill="1"/>
    <xf numFmtId="0" fontId="0" fillId="0" borderId="0" xfId="0" applyNumberFormat="1" applyFill="1"/>
    <xf numFmtId="37" fontId="45" fillId="0" borderId="0" xfId="9" applyNumberFormat="1" applyFont="1" applyFill="1" applyBorder="1" applyAlignment="1"/>
    <xf numFmtId="38" fontId="10" fillId="0" borderId="19" xfId="9" applyNumberFormat="1" applyBorder="1" applyAlignment="1">
      <alignment wrapText="1"/>
    </xf>
    <xf numFmtId="172" fontId="10" fillId="0" borderId="17" xfId="2" applyNumberFormat="1" applyFont="1" applyBorder="1" applyAlignment="1"/>
    <xf numFmtId="38" fontId="10" fillId="0" borderId="20" xfId="9" applyNumberFormat="1" applyBorder="1" applyAlignment="1">
      <alignment wrapText="1"/>
    </xf>
    <xf numFmtId="37" fontId="45" fillId="10" borderId="18" xfId="9" applyNumberFormat="1" applyFont="1" applyFill="1" applyBorder="1" applyAlignment="1"/>
    <xf numFmtId="37" fontId="45" fillId="10" borderId="0" xfId="9" applyNumberFormat="1" applyFont="1" applyFill="1" applyBorder="1" applyAlignment="1"/>
    <xf numFmtId="37" fontId="45" fillId="10" borderId="21" xfId="9" applyNumberFormat="1" applyFont="1" applyFill="1" applyBorder="1" applyAlignment="1"/>
    <xf numFmtId="37" fontId="45" fillId="10" borderId="17" xfId="9" applyNumberFormat="1" applyFont="1" applyFill="1" applyBorder="1" applyAlignment="1"/>
    <xf numFmtId="168" fontId="12" fillId="0" borderId="0" xfId="0" applyNumberFormat="1" applyFont="1"/>
    <xf numFmtId="169" fontId="12" fillId="0" borderId="0" xfId="0" applyNumberFormat="1" applyFont="1"/>
    <xf numFmtId="169" fontId="12" fillId="0" borderId="0" xfId="0" applyNumberFormat="1" applyFont="1" applyBorder="1"/>
    <xf numFmtId="168" fontId="12" fillId="0" borderId="0" xfId="0" applyNumberFormat="1" applyFont="1" applyBorder="1"/>
    <xf numFmtId="0" fontId="12" fillId="4" borderId="0" xfId="0" applyFont="1" applyFill="1" applyBorder="1"/>
    <xf numFmtId="0" fontId="14" fillId="8" borderId="0" xfId="0" applyFont="1" applyFill="1" applyAlignment="1">
      <alignment horizontal="center"/>
    </xf>
    <xf numFmtId="0" fontId="46" fillId="0" borderId="0" xfId="0" applyFont="1" applyAlignment="1">
      <alignment horizontal="center"/>
    </xf>
    <xf numFmtId="0" fontId="14" fillId="8" borderId="0" xfId="0" applyFont="1" applyFill="1" applyAlignment="1">
      <alignment horizontal="left"/>
    </xf>
    <xf numFmtId="0" fontId="14" fillId="0" borderId="0" xfId="0" applyFont="1" applyAlignment="1">
      <alignment horizontal="left"/>
    </xf>
    <xf numFmtId="171" fontId="14" fillId="8" borderId="0" xfId="2" applyNumberFormat="1" applyFont="1" applyFill="1" applyAlignment="1">
      <alignment horizontal="right"/>
    </xf>
    <xf numFmtId="174" fontId="14" fillId="0" borderId="0" xfId="0" applyNumberFormat="1" applyFont="1"/>
    <xf numFmtId="171" fontId="14" fillId="8" borderId="3" xfId="2" applyNumberFormat="1" applyFont="1" applyFill="1" applyBorder="1" applyAlignment="1">
      <alignment horizontal="right"/>
    </xf>
    <xf numFmtId="171" fontId="14" fillId="0" borderId="0" xfId="0" applyNumberFormat="1" applyFont="1"/>
    <xf numFmtId="43" fontId="14" fillId="8" borderId="0" xfId="2" applyFont="1" applyFill="1" applyBorder="1" applyAlignment="1">
      <alignment horizontal="right"/>
    </xf>
    <xf numFmtId="43" fontId="14" fillId="8" borderId="0" xfId="2" applyFont="1" applyFill="1" applyAlignment="1">
      <alignment horizontal="right"/>
    </xf>
    <xf numFmtId="43" fontId="14" fillId="0" borderId="0" xfId="2" applyFont="1" applyFill="1" applyAlignment="1">
      <alignment horizontal="right"/>
    </xf>
    <xf numFmtId="43" fontId="14" fillId="0" borderId="0" xfId="2" applyFont="1" applyFill="1" applyBorder="1" applyAlignment="1">
      <alignment horizontal="right"/>
    </xf>
    <xf numFmtId="43" fontId="14" fillId="8" borderId="3" xfId="2" applyFont="1" applyFill="1" applyBorder="1" applyAlignment="1">
      <alignment horizontal="right"/>
    </xf>
    <xf numFmtId="171" fontId="14" fillId="0" borderId="0" xfId="2" applyNumberFormat="1" applyFont="1" applyFill="1" applyAlignment="1">
      <alignment horizontal="right" vertical="top"/>
    </xf>
    <xf numFmtId="171" fontId="14" fillId="0" borderId="0" xfId="2" applyNumberFormat="1" applyFont="1" applyFill="1" applyBorder="1"/>
    <xf numFmtId="170" fontId="47" fillId="8" borderId="0" xfId="7" applyNumberFormat="1" applyFont="1" applyFill="1" applyBorder="1"/>
    <xf numFmtId="170" fontId="47" fillId="0" borderId="0" xfId="7" applyNumberFormat="1" applyFont="1" applyFill="1" applyBorder="1"/>
    <xf numFmtId="170" fontId="14" fillId="0" borderId="0" xfId="11" applyNumberFormat="1"/>
    <xf numFmtId="170" fontId="47" fillId="0" borderId="22" xfId="7" applyNumberFormat="1" applyFont="1" applyFill="1" applyBorder="1"/>
    <xf numFmtId="0" fontId="36" fillId="0" borderId="0" xfId="0" applyFont="1" applyFill="1"/>
    <xf numFmtId="0" fontId="20" fillId="4" borderId="0" xfId="0" applyFont="1" applyFill="1" applyAlignment="1">
      <alignment horizontal="left"/>
    </xf>
    <xf numFmtId="0" fontId="33" fillId="0" borderId="0" xfId="4"/>
    <xf numFmtId="0" fontId="0" fillId="0" borderId="0" xfId="0"/>
    <xf numFmtId="0" fontId="39" fillId="7" borderId="0" xfId="0" applyFont="1" applyFill="1" applyAlignment="1">
      <alignment horizontal="center"/>
    </xf>
    <xf numFmtId="0" fontId="4" fillId="4" borderId="0" xfId="0" applyNumberFormat="1" applyFont="1" applyFill="1" applyAlignment="1" applyProtection="1">
      <alignment horizontal="left" vertical="top" wrapText="1"/>
    </xf>
    <xf numFmtId="0" fontId="0" fillId="4" borderId="0" xfId="0" applyFill="1" applyAlignment="1">
      <alignment vertical="top" wrapText="1"/>
    </xf>
    <xf numFmtId="0" fontId="4" fillId="4" borderId="0" xfId="0" applyFont="1" applyFill="1" applyAlignment="1">
      <alignment vertical="top" wrapText="1"/>
    </xf>
    <xf numFmtId="0" fontId="15" fillId="4" borderId="0" xfId="0" applyNumberFormat="1" applyFont="1" applyFill="1" applyAlignment="1" applyProtection="1">
      <alignment horizontal="left" vertical="center"/>
    </xf>
    <xf numFmtId="0" fontId="0" fillId="4" borderId="0" xfId="0" applyFill="1" applyAlignment="1">
      <alignment vertical="center"/>
    </xf>
    <xf numFmtId="0" fontId="0" fillId="4" borderId="0" xfId="0" applyFill="1" applyAlignment="1">
      <alignment vertical="top"/>
    </xf>
    <xf numFmtId="0" fontId="12" fillId="4" borderId="0" xfId="0" quotePrefix="1" applyFont="1" applyFill="1" applyBorder="1" applyAlignment="1">
      <alignment horizontal="center"/>
    </xf>
    <xf numFmtId="0" fontId="12" fillId="0" borderId="0" xfId="0" applyFont="1" applyBorder="1" applyAlignment="1">
      <alignment horizontal="center"/>
    </xf>
    <xf numFmtId="0" fontId="14" fillId="4" borderId="0" xfId="1" applyFont="1" applyFill="1" applyBorder="1" applyAlignment="1">
      <alignment horizontal="left" wrapText="1"/>
    </xf>
    <xf numFmtId="0" fontId="0" fillId="0" borderId="0" xfId="0" applyAlignment="1">
      <alignment horizontal="left" wrapText="1"/>
    </xf>
    <xf numFmtId="0" fontId="0" fillId="0" borderId="0" xfId="0" applyBorder="1" applyAlignment="1">
      <alignment horizontal="center"/>
    </xf>
    <xf numFmtId="0" fontId="20" fillId="4" borderId="0" xfId="0" applyFont="1" applyFill="1" applyBorder="1" applyAlignment="1"/>
    <xf numFmtId="0" fontId="20" fillId="7" borderId="8" xfId="0" quotePrefix="1" applyFont="1" applyFill="1" applyBorder="1" applyAlignment="1">
      <alignment horizontal="left" wrapText="1"/>
    </xf>
    <xf numFmtId="0" fontId="20" fillId="7" borderId="0" xfId="0" applyFont="1" applyFill="1" applyAlignment="1"/>
    <xf numFmtId="0" fontId="20" fillId="7" borderId="9" xfId="0" applyFont="1" applyFill="1" applyBorder="1" applyAlignment="1"/>
    <xf numFmtId="0" fontId="20" fillId="4" borderId="8" xfId="0" applyFont="1" applyFill="1" applyBorder="1" applyAlignment="1">
      <alignment wrapText="1"/>
    </xf>
    <xf numFmtId="0" fontId="20" fillId="4" borderId="0" xfId="0" applyFont="1" applyFill="1" applyAlignment="1">
      <alignment wrapText="1"/>
    </xf>
    <xf numFmtId="0" fontId="20" fillId="4" borderId="9" xfId="0" applyFont="1" applyFill="1" applyBorder="1" applyAlignment="1">
      <alignment wrapText="1"/>
    </xf>
    <xf numFmtId="0" fontId="20" fillId="4" borderId="8" xfId="0" applyFont="1" applyFill="1" applyBorder="1" applyAlignment="1">
      <alignment vertical="top" wrapText="1"/>
    </xf>
    <xf numFmtId="0" fontId="0" fillId="4" borderId="9" xfId="0" applyFill="1" applyBorder="1" applyAlignment="1">
      <alignment vertical="top" wrapText="1"/>
    </xf>
    <xf numFmtId="0" fontId="14" fillId="0" borderId="0" xfId="0" applyFont="1" applyBorder="1" applyAlignment="1">
      <alignment horizontal="center"/>
    </xf>
    <xf numFmtId="0" fontId="0" fillId="0" borderId="0" xfId="0" applyAlignment="1">
      <alignment vertical="top"/>
    </xf>
    <xf numFmtId="0" fontId="0" fillId="0" borderId="0" xfId="0" applyAlignment="1">
      <alignment wrapText="1"/>
    </xf>
    <xf numFmtId="0" fontId="14" fillId="5" borderId="13" xfId="0" applyFont="1" applyFill="1" applyBorder="1" applyAlignment="1">
      <alignment horizontal="center"/>
    </xf>
    <xf numFmtId="0" fontId="14" fillId="5" borderId="1" xfId="0" applyFont="1" applyFill="1" applyBorder="1" applyAlignment="1">
      <alignment horizontal="center"/>
    </xf>
    <xf numFmtId="0" fontId="14" fillId="5" borderId="14" xfId="0" applyFont="1" applyFill="1" applyBorder="1" applyAlignment="1">
      <alignment horizontal="center"/>
    </xf>
    <xf numFmtId="0" fontId="0" fillId="5" borderId="13" xfId="0" applyFill="1" applyBorder="1" applyAlignment="1">
      <alignment horizontal="center"/>
    </xf>
    <xf numFmtId="0" fontId="0" fillId="5" borderId="1" xfId="0" applyFill="1" applyBorder="1" applyAlignment="1">
      <alignment horizontal="center"/>
    </xf>
  </cellXfs>
  <cellStyles count="12">
    <cellStyle name="columnheader1" xfId="10" xr:uid="{00000000-0005-0000-0000-000000000000}"/>
    <cellStyle name="Comma" xfId="2" builtinId="3"/>
    <cellStyle name="Comma 3" xfId="5" xr:uid="{00000000-0005-0000-0000-000002000000}"/>
    <cellStyle name="Hyperlink" xfId="4" builtinId="8"/>
    <cellStyle name="Normal" xfId="0" builtinId="0"/>
    <cellStyle name="Normal 2" xfId="9" xr:uid="{00000000-0005-0000-0000-000005000000}"/>
    <cellStyle name="Normal 3" xfId="6" xr:uid="{00000000-0005-0000-0000-000006000000}"/>
    <cellStyle name="Normal 5" xfId="8" xr:uid="{00000000-0005-0000-0000-000007000000}"/>
    <cellStyle name="Normal 5 4" xfId="11" xr:uid="{51F4B9CE-ECEC-4E12-9F04-35E7DE60F5DA}"/>
    <cellStyle name="Normal_2006gfa x" xfId="1" xr:uid="{00000000-0005-0000-0000-000008000000}"/>
    <cellStyle name="Percent" xfId="3" builtinId="5"/>
    <cellStyle name="Percent 3" xfId="7" xr:uid="{00000000-0005-0000-0000-00000A000000}"/>
  </cellStyles>
  <dxfs count="1">
    <dxf>
      <font>
        <b/>
        <i val="0"/>
        <color rgb="FFFF0000"/>
      </font>
      <fill>
        <patternFill>
          <bgColor rgb="FFFFFF00"/>
        </patternFill>
      </fill>
    </dxf>
  </dxfs>
  <tableStyles count="0" defaultTableStyle="TableStyleMedium9" defaultPivotStyle="PivotStyleLight16"/>
  <colors>
    <mruColors>
      <color rgb="FFB7FFD8"/>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10</xdr:row>
      <xdr:rowOff>66678</xdr:rowOff>
    </xdr:from>
    <xdr:to>
      <xdr:col>2</xdr:col>
      <xdr:colOff>1</xdr:colOff>
      <xdr:row>29</xdr:row>
      <xdr:rowOff>152401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704978"/>
          <a:ext cx="5191126" cy="316229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latin typeface="Arial" panose="020B0604020202020204" pitchFamily="34" charset="0"/>
              <a:cs typeface="Arial" panose="020B0604020202020204" pitchFamily="34" charset="0"/>
            </a:rPr>
            <a:t>This</a:t>
          </a:r>
          <a:r>
            <a:rPr lang="en-US" sz="950" baseline="0">
              <a:latin typeface="Arial" panose="020B0604020202020204" pitchFamily="34" charset="0"/>
              <a:cs typeface="Arial" panose="020B0604020202020204" pitchFamily="34" charset="0"/>
            </a:rPr>
            <a:t> template automatically generates the GASB 75 journal entries (13th period) and certain note disclosures (see below) for the following component units that participate in the Retiree Health Benefit Fund (RHBF): </a:t>
          </a:r>
        </a:p>
        <a:p>
          <a:endParaRPr lang="en-US" sz="8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University of North Carolina System (19)</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Community colleges (58)</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Housing Finance Agency</a:t>
          </a: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Education Assistance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State Health Plan</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State Ports Authority</a:t>
          </a:r>
          <a:endParaRPr lang="en-US" sz="950" baseline="300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50" baseline="0">
              <a:latin typeface="Arial" panose="020B0604020202020204" pitchFamily="34" charset="0"/>
              <a:cs typeface="Arial" panose="020B0604020202020204" pitchFamily="34" charset="0"/>
            </a:rPr>
            <a:t>N.C. Global TransPark Authority</a:t>
          </a:r>
        </a:p>
        <a:p>
          <a:pPr marL="171450" indent="-171450">
            <a:buFont typeface="Arial" panose="020B0604020202020204" pitchFamily="34" charset="0"/>
            <a:buChar char="•"/>
          </a:pPr>
          <a:endParaRPr lang="en-US" sz="800" baseline="0">
            <a:latin typeface="Arial" panose="020B0604020202020204" pitchFamily="34" charset="0"/>
            <a:cs typeface="Arial" panose="020B0604020202020204" pitchFamily="34" charset="0"/>
          </a:endParaRPr>
        </a:p>
        <a:p>
          <a:pPr marL="0" indent="0">
            <a:buFontTx/>
            <a:buNone/>
          </a:pPr>
          <a:r>
            <a:rPr lang="en-US" sz="950" baseline="0">
              <a:latin typeface="Arial" panose="020B0604020202020204" pitchFamily="34" charset="0"/>
              <a:cs typeface="Arial" panose="020B0604020202020204" pitchFamily="34" charset="0"/>
            </a:rPr>
            <a:t>This template provides note disclosures required by GASB 75, paragraphs 96h(1) thru (5), 96i(1), and 96i(2). It also provides information needed to complete CAFR worksheeet 310.</a:t>
          </a:r>
        </a:p>
        <a:p>
          <a:endParaRPr lang="en-US" sz="950" baseline="0">
            <a:latin typeface="Arial" panose="020B0604020202020204" pitchFamily="34" charset="0"/>
            <a:cs typeface="Arial" panose="020B0604020202020204" pitchFamily="34" charset="0"/>
          </a:endParaRPr>
        </a:p>
        <a:p>
          <a:r>
            <a:rPr lang="en-US" sz="950" baseline="0">
              <a:latin typeface="Arial" panose="020B0604020202020204" pitchFamily="34" charset="0"/>
              <a:cs typeface="Arial" panose="020B0604020202020204" pitchFamily="34" charset="0"/>
            </a:rPr>
            <a:t>The OPEB data in this template was obtained from the Department of State Treasurer. The Office of the State Auditor (OSA) has completed a financial audit of the </a:t>
          </a:r>
          <a:r>
            <a:rPr lang="en-US" sz="950" baseline="0">
              <a:solidFill>
                <a:sysClr val="windowText" lastClr="000000"/>
              </a:solidFill>
              <a:latin typeface="Arial" panose="020B0604020202020204" pitchFamily="34" charset="0"/>
              <a:cs typeface="Arial" panose="020B0604020202020204" pitchFamily="34" charset="0"/>
            </a:rPr>
            <a:t>RHBF</a:t>
          </a:r>
          <a:r>
            <a:rPr lang="en-US" sz="950" baseline="0">
              <a:latin typeface="Arial" panose="020B0604020202020204" pitchFamily="34" charset="0"/>
              <a:cs typeface="Arial" panose="020B0604020202020204" pitchFamily="34" charset="0"/>
            </a:rPr>
            <a:t> Schedule of Employer Allocations and the </a:t>
          </a:r>
          <a:r>
            <a:rPr lang="en-US" sz="950" baseline="0">
              <a:solidFill>
                <a:sysClr val="windowText" lastClr="000000"/>
              </a:solidFill>
              <a:latin typeface="Arial" panose="020B0604020202020204" pitchFamily="34" charset="0"/>
              <a:cs typeface="Arial" panose="020B0604020202020204" pitchFamily="34" charset="0"/>
            </a:rPr>
            <a:t>RHBF</a:t>
          </a:r>
          <a:r>
            <a:rPr lang="en-US" sz="950" baseline="0">
              <a:latin typeface="Arial" panose="020B0604020202020204" pitchFamily="34" charset="0"/>
              <a:cs typeface="Arial" panose="020B0604020202020204" pitchFamily="34" charset="0"/>
            </a:rPr>
            <a:t> Schedule of OPEB Amounts by Employer for the year ended June 30, 2019. Component units will report the FY2019 OPEB allocations for DIPNC in their FY2020 financial statements. </a:t>
          </a:r>
          <a:r>
            <a:rPr lang="en-US" sz="950" u="sng" baseline="0">
              <a:latin typeface="Arial" panose="020B0604020202020204" pitchFamily="34" charset="0"/>
              <a:cs typeface="Arial" panose="020B0604020202020204" pitchFamily="34" charset="0"/>
            </a:rPr>
            <a:t>Each component unit should verify that the OPEB amounts provided by this template agree with the OPEB schedules in OSA's audit report (see link below)</a:t>
          </a:r>
          <a:r>
            <a:rPr lang="en-US" sz="950" baseline="0">
              <a:latin typeface="Arial" panose="020B0604020202020204" pitchFamily="34" charset="0"/>
              <a:cs typeface="Arial" panose="020B0604020202020204" pitchFamily="34" charset="0"/>
            </a:rPr>
            <a:t>.</a:t>
          </a:r>
        </a:p>
        <a:p>
          <a:endParaRPr lang="en-US" sz="1000" baseline="0">
            <a:latin typeface="Arial" panose="020B0604020202020204" pitchFamily="34" charset="0"/>
            <a:cs typeface="Arial" panose="020B0604020202020204" pitchFamily="34" charset="0"/>
          </a:endParaRPr>
        </a:p>
        <a:p>
          <a:endParaRPr lang="en-US" sz="900" i="1"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uditor.nc.gov/EPSWeb/reports/financial/FIN-2019-3400E.pdf" TargetMode="External"/><Relationship Id="rId1" Type="http://schemas.openxmlformats.org/officeDocument/2006/relationships/hyperlink" Target="mailto:virginia.sisson@osc.nc.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
  <sheetViews>
    <sheetView showGridLines="0" tabSelected="1" zoomScaleNormal="100" workbookViewId="0">
      <selection activeCell="B5" sqref="B5"/>
    </sheetView>
  </sheetViews>
  <sheetFormatPr defaultRowHeight="13.2" x14ac:dyDescent="0.25"/>
  <cols>
    <col min="1" max="1" width="24.6640625" customWidth="1"/>
    <col min="2" max="2" width="53.6640625" customWidth="1"/>
    <col min="3" max="3" width="46.6640625" customWidth="1"/>
  </cols>
  <sheetData>
    <row r="1" spans="1:4" x14ac:dyDescent="0.25">
      <c r="A1" s="61" t="s">
        <v>235</v>
      </c>
      <c r="B1" s="20"/>
      <c r="C1" s="20"/>
      <c r="D1" s="2"/>
    </row>
    <row r="2" spans="1:4" x14ac:dyDescent="0.25">
      <c r="A2" s="61" t="s">
        <v>163</v>
      </c>
      <c r="B2" s="20"/>
    </row>
    <row r="3" spans="1:4" x14ac:dyDescent="0.25">
      <c r="A3" s="60" t="s">
        <v>742</v>
      </c>
      <c r="B3" s="20"/>
      <c r="C3" s="20"/>
    </row>
    <row r="4" spans="1:4" ht="14.1" customHeight="1" x14ac:dyDescent="0.3">
      <c r="A4" s="60"/>
      <c r="B4" s="20"/>
      <c r="C4" s="63"/>
    </row>
    <row r="5" spans="1:4" ht="13.8" x14ac:dyDescent="0.3">
      <c r="A5" s="64" t="s">
        <v>141</v>
      </c>
      <c r="B5" s="100" t="s">
        <v>37</v>
      </c>
      <c r="C5" s="189" t="s">
        <v>180</v>
      </c>
    </row>
    <row r="6" spans="1:4" ht="12.75" customHeight="1" x14ac:dyDescent="0.25">
      <c r="A6" s="20"/>
      <c r="B6" s="65"/>
      <c r="C6" s="66"/>
    </row>
    <row r="7" spans="1:4" s="183" customFormat="1" ht="12.75" customHeight="1" x14ac:dyDescent="0.3">
      <c r="A7" s="295" t="s">
        <v>747</v>
      </c>
      <c r="B7" s="295"/>
      <c r="C7" s="190"/>
    </row>
    <row r="8" spans="1:4" s="183" customFormat="1" ht="12.75" customHeight="1" x14ac:dyDescent="0.25">
      <c r="A8" s="20"/>
      <c r="B8" s="65"/>
      <c r="C8" s="66"/>
    </row>
    <row r="9" spans="1:4" x14ac:dyDescent="0.25">
      <c r="A9" s="107" t="s">
        <v>236</v>
      </c>
      <c r="B9" s="65">
        <f>VLOOKUP(B5,Data!A:B,2,FALSE)</f>
        <v>20100</v>
      </c>
      <c r="C9" s="67"/>
    </row>
    <row r="10" spans="1:4" s="104" customFormat="1" ht="13.8" hidden="1" x14ac:dyDescent="0.3">
      <c r="A10" s="107" t="s">
        <v>158</v>
      </c>
      <c r="B10" s="65">
        <f>VLOOKUP(B5,Data!A:X,24,FALSE)</f>
        <v>1</v>
      </c>
      <c r="C10" s="188" t="s">
        <v>179</v>
      </c>
    </row>
    <row r="11" spans="1:4" x14ac:dyDescent="0.25">
      <c r="A11" s="20"/>
      <c r="B11" s="20"/>
      <c r="C11" s="185"/>
    </row>
    <row r="12" spans="1:4" x14ac:dyDescent="0.25">
      <c r="A12" s="20"/>
      <c r="B12" s="20"/>
      <c r="C12" s="20"/>
    </row>
    <row r="13" spans="1:4" x14ac:dyDescent="0.25">
      <c r="A13" s="20"/>
      <c r="B13" s="20"/>
      <c r="C13" s="20"/>
    </row>
    <row r="14" spans="1:4" x14ac:dyDescent="0.25">
      <c r="A14" s="20"/>
      <c r="B14" s="20"/>
      <c r="C14" s="20"/>
    </row>
    <row r="15" spans="1:4" x14ac:dyDescent="0.25">
      <c r="A15" s="20"/>
      <c r="B15" s="20"/>
      <c r="C15" s="20"/>
    </row>
    <row r="16" spans="1:4" x14ac:dyDescent="0.25">
      <c r="A16" s="20"/>
      <c r="B16" s="20"/>
      <c r="C16" s="20"/>
    </row>
    <row r="17" spans="1:3" x14ac:dyDescent="0.25">
      <c r="A17" s="20"/>
      <c r="B17" s="20"/>
      <c r="C17" s="20"/>
    </row>
    <row r="18" spans="1:3" x14ac:dyDescent="0.25">
      <c r="A18" s="20"/>
      <c r="B18" s="20"/>
      <c r="C18" s="20"/>
    </row>
    <row r="19" spans="1:3" s="156" customFormat="1" x14ac:dyDescent="0.25">
      <c r="A19" s="20"/>
      <c r="B19" s="20"/>
      <c r="C19" s="20"/>
    </row>
    <row r="20" spans="1:3" x14ac:dyDescent="0.25">
      <c r="A20" s="20"/>
      <c r="B20" s="20"/>
      <c r="C20" s="20"/>
    </row>
    <row r="21" spans="1:3" x14ac:dyDescent="0.25">
      <c r="A21" s="20"/>
      <c r="B21" s="20"/>
      <c r="C21" s="20"/>
    </row>
    <row r="22" spans="1:3" s="161" customFormat="1" x14ac:dyDescent="0.25">
      <c r="A22" s="20"/>
      <c r="B22" s="20"/>
      <c r="C22" s="20"/>
    </row>
    <row r="23" spans="1:3" s="161" customFormat="1" x14ac:dyDescent="0.25">
      <c r="A23" s="20"/>
      <c r="B23" s="20"/>
      <c r="C23" s="20"/>
    </row>
    <row r="24" spans="1:3" s="162" customFormat="1" x14ac:dyDescent="0.25">
      <c r="A24" s="20"/>
      <c r="B24" s="20"/>
      <c r="C24" s="20"/>
    </row>
    <row r="25" spans="1:3" s="161" customFormat="1" x14ac:dyDescent="0.25">
      <c r="A25" s="20"/>
      <c r="B25" s="20"/>
      <c r="C25" s="20"/>
    </row>
    <row r="26" spans="1:3" x14ac:dyDescent="0.25">
      <c r="A26" s="20"/>
      <c r="B26" s="20"/>
      <c r="C26" s="20"/>
    </row>
    <row r="27" spans="1:3" s="161" customFormat="1" x14ac:dyDescent="0.25">
      <c r="A27" s="20"/>
      <c r="B27" s="20"/>
      <c r="C27" s="20"/>
    </row>
    <row r="28" spans="1:3" s="161" customFormat="1" x14ac:dyDescent="0.25">
      <c r="A28" s="20"/>
      <c r="B28" s="20"/>
      <c r="C28" s="20"/>
    </row>
    <row r="29" spans="1:3" x14ac:dyDescent="0.25">
      <c r="A29" s="20"/>
      <c r="B29" s="20"/>
      <c r="C29" s="20"/>
    </row>
    <row r="30" spans="1:3" s="161" customFormat="1" x14ac:dyDescent="0.25">
      <c r="A30" s="20"/>
      <c r="B30" s="20"/>
      <c r="C30" s="20"/>
    </row>
    <row r="31" spans="1:3" s="161" customFormat="1" x14ac:dyDescent="0.25">
      <c r="A31" s="20"/>
      <c r="B31" s="20"/>
      <c r="C31" s="20"/>
    </row>
    <row r="32" spans="1:3" s="161" customFormat="1" ht="12.75" customHeight="1" x14ac:dyDescent="0.25">
      <c r="A32" s="163" t="s">
        <v>167</v>
      </c>
      <c r="B32" s="20"/>
      <c r="C32" s="20"/>
    </row>
    <row r="33" spans="1:3" s="144" customFormat="1" ht="14.1" customHeight="1" x14ac:dyDescent="0.25">
      <c r="A33" s="164" t="s">
        <v>549</v>
      </c>
      <c r="B33" s="20"/>
      <c r="C33" s="224"/>
    </row>
    <row r="34" spans="1:3" s="144" customFormat="1" ht="12.75" customHeight="1" x14ac:dyDescent="0.25">
      <c r="A34" s="293" t="s">
        <v>870</v>
      </c>
      <c r="B34" s="293"/>
      <c r="C34" s="291"/>
    </row>
    <row r="35" spans="1:3" s="144" customFormat="1" ht="15.75" customHeight="1" x14ac:dyDescent="0.25">
      <c r="A35" s="145"/>
      <c r="B35" s="20"/>
      <c r="C35" s="20"/>
    </row>
    <row r="36" spans="1:3" ht="12" customHeight="1" x14ac:dyDescent="0.25">
      <c r="A36" s="292" t="s">
        <v>191</v>
      </c>
      <c r="B36" s="292"/>
      <c r="C36" s="20"/>
    </row>
    <row r="37" spans="1:3" ht="12" customHeight="1" x14ac:dyDescent="0.25">
      <c r="A37" s="292" t="s">
        <v>196</v>
      </c>
      <c r="B37" s="292"/>
      <c r="C37" s="20"/>
    </row>
    <row r="38" spans="1:3" ht="12" customHeight="1" x14ac:dyDescent="0.25">
      <c r="A38" s="293" t="s">
        <v>197</v>
      </c>
      <c r="B38" s="294"/>
      <c r="C38" s="20"/>
    </row>
    <row r="39" spans="1:3" x14ac:dyDescent="0.25">
      <c r="A39" s="6"/>
    </row>
  </sheetData>
  <sheetProtection algorithmName="SHA-512" hashValue="ULyBM5B5JebRazQoYzpMKy86OjQSP1RJDuLWQc+8rBei5IAb2iP1LmIYakCrpxLIQTUTMq50IJftSLJBmicVzw==" saltValue="obg5mpqwF4l5j1oso6Py8g==" spinCount="100000" sheet="1" objects="1" scenarios="1"/>
  <mergeCells count="5">
    <mergeCell ref="A36:B36"/>
    <mergeCell ref="A37:B37"/>
    <mergeCell ref="A38:B38"/>
    <mergeCell ref="A7:B7"/>
    <mergeCell ref="A34:B34"/>
  </mergeCells>
  <hyperlinks>
    <hyperlink ref="A38" r:id="rId1" xr:uid="{00000000-0004-0000-0000-000000000000}"/>
    <hyperlink ref="A34" r:id="rId2" xr:uid="{D661580D-45ED-4135-A47F-8238AF7EBB86}"/>
  </hyperlinks>
  <pageMargins left="0.7" right="0.7" top="0.75" bottom="0.75" header="0.3" footer="0.3"/>
  <pageSetup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Data!$A$4:$A$88</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3"/>
  <sheetViews>
    <sheetView showGridLines="0" zoomScaleNormal="100" workbookViewId="0"/>
  </sheetViews>
  <sheetFormatPr defaultColWidth="9.109375" defaultRowHeight="13.2" x14ac:dyDescent="0.25"/>
  <cols>
    <col min="1" max="1" width="4.44140625" style="20" customWidth="1"/>
    <col min="2" max="2" width="50.6640625" style="20" customWidth="1"/>
    <col min="3" max="3" width="7.6640625" style="20" customWidth="1"/>
    <col min="4" max="4" width="3.6640625" style="20" hidden="1" customWidth="1"/>
    <col min="5" max="6" width="10.5546875" style="20" bestFit="1" customWidth="1"/>
    <col min="7" max="7" width="40.6640625" style="20" customWidth="1"/>
    <col min="8" max="8" width="16.33203125" style="20" customWidth="1"/>
    <col min="9" max="9" width="14" style="20" customWidth="1"/>
    <col min="10" max="10" width="88.109375" style="20" customWidth="1"/>
    <col min="11" max="16384" width="9.109375" style="20"/>
  </cols>
  <sheetData>
    <row r="1" spans="1:9" x14ac:dyDescent="0.25">
      <c r="A1" s="60" t="str">
        <f>Info!B5</f>
        <v>APPALACHIAN STATE UNIVERSITY</v>
      </c>
    </row>
    <row r="2" spans="1:9" x14ac:dyDescent="0.25">
      <c r="A2" s="60" t="s">
        <v>237</v>
      </c>
    </row>
    <row r="3" spans="1:9" x14ac:dyDescent="0.25">
      <c r="A3" s="60" t="s">
        <v>742</v>
      </c>
    </row>
    <row r="4" spans="1:9" ht="9.9" customHeight="1" x14ac:dyDescent="0.3">
      <c r="A4" s="60"/>
      <c r="G4" s="63"/>
    </row>
    <row r="5" spans="1:9" ht="12" customHeight="1" x14ac:dyDescent="0.3">
      <c r="A5" s="31"/>
      <c r="B5" s="31"/>
      <c r="C5" s="54" t="str">
        <f>IF(Info!B$10=2,"Colleague","NCAS")</f>
        <v>NCAS</v>
      </c>
      <c r="D5" s="31"/>
      <c r="E5" s="31"/>
      <c r="F5" s="31"/>
      <c r="G5" s="31"/>
      <c r="H5" s="31"/>
      <c r="I5" s="31"/>
    </row>
    <row r="6" spans="1:9" ht="12" customHeight="1" x14ac:dyDescent="0.3">
      <c r="A6" s="32" t="s">
        <v>2</v>
      </c>
      <c r="B6" s="32" t="s">
        <v>142</v>
      </c>
      <c r="C6" s="33" t="s">
        <v>129</v>
      </c>
      <c r="D6" s="33" t="s">
        <v>14</v>
      </c>
      <c r="E6" s="33" t="s">
        <v>0</v>
      </c>
      <c r="F6" s="33" t="s">
        <v>1</v>
      </c>
      <c r="G6" s="33" t="s">
        <v>23</v>
      </c>
      <c r="H6" s="33" t="s">
        <v>3</v>
      </c>
      <c r="I6" s="33" t="s">
        <v>22</v>
      </c>
    </row>
    <row r="7" spans="1:9" ht="3" customHeight="1" x14ac:dyDescent="0.3">
      <c r="A7" s="34"/>
      <c r="B7" s="35"/>
      <c r="C7" s="36"/>
      <c r="D7" s="36"/>
      <c r="E7" s="33"/>
      <c r="F7" s="33"/>
      <c r="G7" s="31"/>
      <c r="H7" s="31"/>
      <c r="I7" s="31"/>
    </row>
    <row r="8" spans="1:9" ht="13.8" x14ac:dyDescent="0.3">
      <c r="A8" s="31"/>
      <c r="B8" s="19" t="s">
        <v>174</v>
      </c>
      <c r="C8" s="36"/>
      <c r="D8" s="36"/>
      <c r="E8" s="37"/>
      <c r="F8" s="37"/>
      <c r="G8" s="38"/>
      <c r="H8" s="38"/>
      <c r="I8" s="31"/>
    </row>
    <row r="9" spans="1:9" ht="3.9" customHeight="1" x14ac:dyDescent="0.3">
      <c r="A9" s="31"/>
      <c r="B9" s="39"/>
      <c r="C9" s="36"/>
      <c r="D9" s="36"/>
      <c r="E9" s="37"/>
      <c r="F9" s="37"/>
      <c r="G9" s="38"/>
      <c r="H9" s="38"/>
      <c r="I9" s="31"/>
    </row>
    <row r="10" spans="1:9" ht="12.6" customHeight="1" x14ac:dyDescent="0.3">
      <c r="A10" s="31"/>
      <c r="B10" s="35" t="s">
        <v>198</v>
      </c>
      <c r="C10" s="36"/>
      <c r="D10" s="36">
        <v>4</v>
      </c>
      <c r="E10" s="41">
        <f>VLOOKUP(Info!B9,Data!B:AU,32,FALSE)</f>
        <v>15813105</v>
      </c>
      <c r="F10" s="37"/>
      <c r="G10" s="196" t="s">
        <v>25</v>
      </c>
      <c r="H10" s="38"/>
      <c r="I10" s="31"/>
    </row>
    <row r="11" spans="1:9" ht="12.6" customHeight="1" x14ac:dyDescent="0.3">
      <c r="A11" s="31"/>
      <c r="B11" s="35" t="s">
        <v>198</v>
      </c>
      <c r="C11" s="36"/>
      <c r="D11" s="36">
        <v>2</v>
      </c>
      <c r="E11" s="41">
        <f>VLOOKUP(Info!B9,Data!B:AU,31,FALSE)</f>
        <v>0</v>
      </c>
      <c r="F11" s="37"/>
      <c r="G11" s="196" t="s">
        <v>133</v>
      </c>
      <c r="H11" s="38"/>
      <c r="I11" s="31"/>
    </row>
    <row r="12" spans="1:9" ht="12.6" customHeight="1" x14ac:dyDescent="0.3">
      <c r="A12" s="31"/>
      <c r="B12" s="35" t="s">
        <v>198</v>
      </c>
      <c r="C12" s="36"/>
      <c r="D12" s="36">
        <v>3</v>
      </c>
      <c r="E12" s="41">
        <f>VLOOKUP(Info!B9,Data!B:AU,30,FALSE)</f>
        <v>30867</v>
      </c>
      <c r="F12" s="37"/>
      <c r="G12" s="196" t="s">
        <v>26</v>
      </c>
      <c r="H12" s="38"/>
      <c r="I12" s="31"/>
    </row>
    <row r="13" spans="1:9" ht="12.6" customHeight="1" x14ac:dyDescent="0.3">
      <c r="A13" s="40"/>
      <c r="B13" s="35" t="s">
        <v>198</v>
      </c>
      <c r="C13" s="36"/>
      <c r="D13" s="36">
        <v>1</v>
      </c>
      <c r="E13" s="41">
        <f>VLOOKUP(Info!B9,Data!B:AU,29,FALSE)</f>
        <v>0</v>
      </c>
      <c r="F13" s="41"/>
      <c r="G13" s="196" t="s">
        <v>24</v>
      </c>
      <c r="H13" s="196"/>
      <c r="I13" s="196"/>
    </row>
    <row r="14" spans="1:9" ht="12.6" customHeight="1" x14ac:dyDescent="0.3">
      <c r="A14" s="40"/>
      <c r="B14" s="35" t="s">
        <v>198</v>
      </c>
      <c r="C14" s="36"/>
      <c r="D14" s="36"/>
      <c r="E14" s="41">
        <f>VLOOKUP(Info!B9,Data!B:AU,2,FALSE)+VLOOKUP(Info!B9,Data!B:AU,21,FALSE)</f>
        <v>11844685</v>
      </c>
      <c r="F14" s="41"/>
      <c r="G14" s="197" t="s">
        <v>743</v>
      </c>
      <c r="H14" s="196"/>
      <c r="I14" s="196" t="s">
        <v>135</v>
      </c>
    </row>
    <row r="15" spans="1:9" ht="13.8" x14ac:dyDescent="0.3">
      <c r="A15" s="40"/>
      <c r="B15" s="42" t="s">
        <v>199</v>
      </c>
      <c r="C15" s="36"/>
      <c r="D15" s="36"/>
      <c r="E15" s="41"/>
      <c r="F15" s="41">
        <f>VLOOKUP(Info!B9,Data!B:AU,28,FALSE)</f>
        <v>287017119</v>
      </c>
      <c r="G15" s="196" t="s">
        <v>201</v>
      </c>
      <c r="H15" s="196"/>
      <c r="I15" s="196"/>
    </row>
    <row r="16" spans="1:9" ht="13.8" x14ac:dyDescent="0.3">
      <c r="A16" s="40"/>
      <c r="B16" s="42" t="s">
        <v>200</v>
      </c>
      <c r="C16" s="36"/>
      <c r="D16" s="36">
        <v>6</v>
      </c>
      <c r="E16" s="41"/>
      <c r="F16" s="41">
        <f>VLOOKUP(Info!B9,Data!B:AU,33,FALSE)</f>
        <v>19627496</v>
      </c>
      <c r="G16" s="196" t="s">
        <v>24</v>
      </c>
      <c r="H16" s="196"/>
      <c r="I16" s="196"/>
    </row>
    <row r="17" spans="1:9" ht="13.8" x14ac:dyDescent="0.3">
      <c r="A17" s="40"/>
      <c r="B17" s="42" t="s">
        <v>200</v>
      </c>
      <c r="C17" s="36"/>
      <c r="D17" s="36">
        <v>8</v>
      </c>
      <c r="E17" s="41"/>
      <c r="F17" s="41">
        <f>VLOOKUP(Info!B9,Data!B:AU,34,FALSE)</f>
        <v>0</v>
      </c>
      <c r="G17" s="196" t="s">
        <v>26</v>
      </c>
      <c r="H17" s="196"/>
      <c r="I17" s="196"/>
    </row>
    <row r="18" spans="1:9" ht="13.8" x14ac:dyDescent="0.3">
      <c r="A18" s="40"/>
      <c r="B18" s="42" t="s">
        <v>200</v>
      </c>
      <c r="C18" s="36"/>
      <c r="D18" s="36">
        <v>7</v>
      </c>
      <c r="E18" s="41"/>
      <c r="F18" s="41">
        <f>VLOOKUP(Info!B9,Data!B:AU,35,FALSE)</f>
        <v>124342442</v>
      </c>
      <c r="G18" s="196" t="s">
        <v>133</v>
      </c>
      <c r="H18" s="196"/>
      <c r="I18" s="196"/>
    </row>
    <row r="19" spans="1:9" ht="13.8" x14ac:dyDescent="0.3">
      <c r="A19" s="40"/>
      <c r="B19" s="42" t="s">
        <v>200</v>
      </c>
      <c r="C19" s="36"/>
      <c r="D19" s="36">
        <v>9</v>
      </c>
      <c r="E19" s="41"/>
      <c r="F19" s="41">
        <f>VLOOKUP(Info!B9,Data!B:AU,36,FALSE)</f>
        <v>32618580</v>
      </c>
      <c r="G19" s="196" t="s">
        <v>25</v>
      </c>
      <c r="H19" s="196"/>
      <c r="I19" s="196"/>
    </row>
    <row r="20" spans="1:9" ht="5.0999999999999996" customHeight="1" x14ac:dyDescent="0.3">
      <c r="A20" s="40"/>
      <c r="B20" s="43"/>
      <c r="C20" s="37"/>
      <c r="D20" s="37"/>
      <c r="E20" s="44"/>
      <c r="F20" s="44"/>
      <c r="G20" s="196"/>
      <c r="H20" s="198"/>
      <c r="I20" s="198"/>
    </row>
    <row r="21" spans="1:9" ht="12.6" customHeight="1" x14ac:dyDescent="0.3">
      <c r="A21" s="40"/>
      <c r="B21" s="247" t="s">
        <v>744</v>
      </c>
      <c r="C21" s="37"/>
      <c r="D21" s="37"/>
      <c r="E21" s="252">
        <v>0</v>
      </c>
      <c r="F21" s="44"/>
      <c r="G21" s="197" t="s">
        <v>741</v>
      </c>
      <c r="H21" s="198"/>
      <c r="I21" s="198"/>
    </row>
    <row r="22" spans="1:9" ht="13.8" x14ac:dyDescent="0.3">
      <c r="A22" s="40"/>
      <c r="B22" s="19" t="s">
        <v>138</v>
      </c>
      <c r="C22" s="45"/>
      <c r="D22" s="45"/>
      <c r="E22" s="46"/>
      <c r="F22" s="46"/>
      <c r="G22" s="196"/>
      <c r="H22" s="196"/>
      <c r="I22" s="198"/>
    </row>
    <row r="23" spans="1:9" ht="3" customHeight="1" x14ac:dyDescent="0.3">
      <c r="A23" s="40"/>
      <c r="B23" s="35"/>
      <c r="C23" s="36"/>
      <c r="D23" s="36"/>
      <c r="E23" s="44"/>
      <c r="F23" s="44"/>
      <c r="G23" s="198"/>
      <c r="H23" s="198"/>
      <c r="I23" s="198"/>
    </row>
    <row r="24" spans="1:9" ht="13.8" x14ac:dyDescent="0.3">
      <c r="A24" s="47"/>
      <c r="B24" s="48" t="s">
        <v>178</v>
      </c>
      <c r="C24" s="32"/>
      <c r="D24" s="32"/>
      <c r="E24" s="49"/>
      <c r="F24" s="49"/>
      <c r="G24" s="198"/>
      <c r="H24" s="198"/>
      <c r="I24" s="198"/>
    </row>
    <row r="25" spans="1:9" ht="13.5" customHeight="1" x14ac:dyDescent="0.3">
      <c r="A25" s="40">
        <v>1</v>
      </c>
      <c r="B25" s="35" t="s">
        <v>202</v>
      </c>
      <c r="C25" s="36">
        <f>IF(Info!B$10=2,Summary!R9,Summary!Q9)</f>
        <v>129720</v>
      </c>
      <c r="D25" s="32"/>
      <c r="E25" s="49">
        <f>IF(E21=0,0,IF(E21&lt;E14,E14-E21,0))</f>
        <v>0</v>
      </c>
      <c r="F25" s="49"/>
      <c r="G25" s="196" t="s">
        <v>745</v>
      </c>
      <c r="H25" s="196"/>
      <c r="I25" s="196"/>
    </row>
    <row r="26" spans="1:9" ht="13.5" customHeight="1" x14ac:dyDescent="0.3">
      <c r="A26" s="47"/>
      <c r="B26" s="35" t="s">
        <v>175</v>
      </c>
      <c r="C26" s="36">
        <f>IF(Info!B$10=2,Summary!R14,Summary!Q14)</f>
        <v>535900</v>
      </c>
      <c r="D26" s="32"/>
      <c r="E26" s="49">
        <f>F27</f>
        <v>0</v>
      </c>
      <c r="F26" s="49"/>
      <c r="G26" s="196" t="s">
        <v>15</v>
      </c>
      <c r="H26" s="196" t="s">
        <v>190</v>
      </c>
      <c r="I26" s="198"/>
    </row>
    <row r="27" spans="1:9" ht="13.5" customHeight="1" x14ac:dyDescent="0.3">
      <c r="A27" s="47"/>
      <c r="B27" s="42" t="s">
        <v>202</v>
      </c>
      <c r="C27" s="36">
        <f>IF(Info!B$10=2,Summary!R9,Summary!Q9)</f>
        <v>129720</v>
      </c>
      <c r="D27" s="32"/>
      <c r="E27" s="49"/>
      <c r="F27" s="49">
        <f>IF(E21=0,0,IF(E21&gt;E14,E21-E14,0))</f>
        <v>0</v>
      </c>
      <c r="G27" s="196" t="s">
        <v>745</v>
      </c>
      <c r="H27" s="196"/>
      <c r="I27" s="198"/>
    </row>
    <row r="28" spans="1:9" ht="13.5" customHeight="1" x14ac:dyDescent="0.3">
      <c r="A28" s="47"/>
      <c r="B28" s="42" t="s">
        <v>176</v>
      </c>
      <c r="C28" s="36">
        <f>IF(Info!B$10=2,Summary!R15,Summary!Q15)</f>
        <v>437995</v>
      </c>
      <c r="D28" s="32"/>
      <c r="E28" s="182"/>
      <c r="F28" s="182">
        <f>E25</f>
        <v>0</v>
      </c>
      <c r="G28" s="196" t="s">
        <v>15</v>
      </c>
      <c r="H28" s="196" t="s">
        <v>190</v>
      </c>
      <c r="I28" s="198"/>
    </row>
    <row r="29" spans="1:9" ht="13.8" x14ac:dyDescent="0.3">
      <c r="A29" s="47"/>
      <c r="B29" s="42" t="s">
        <v>746</v>
      </c>
      <c r="C29" s="32"/>
      <c r="D29" s="32"/>
      <c r="E29" s="51">
        <f>SUM(E25:E28)</f>
        <v>0</v>
      </c>
      <c r="F29" s="51">
        <f>SUM(F25:F28)</f>
        <v>0</v>
      </c>
      <c r="G29" s="198"/>
      <c r="H29" s="198"/>
      <c r="I29" s="198"/>
    </row>
    <row r="30" spans="1:9" ht="3" customHeight="1" x14ac:dyDescent="0.3">
      <c r="A30" s="47"/>
      <c r="B30" s="48"/>
      <c r="C30" s="32"/>
      <c r="D30" s="32"/>
      <c r="E30" s="49"/>
      <c r="F30" s="49"/>
      <c r="G30" s="198"/>
      <c r="H30" s="198"/>
      <c r="I30" s="198"/>
    </row>
    <row r="31" spans="1:9" ht="13.8" x14ac:dyDescent="0.3">
      <c r="A31" s="47"/>
      <c r="B31" s="48" t="s">
        <v>203</v>
      </c>
      <c r="C31" s="32"/>
      <c r="D31" s="32"/>
      <c r="E31" s="49"/>
      <c r="F31" s="49"/>
      <c r="G31" s="198"/>
      <c r="H31" s="198"/>
      <c r="I31" s="198"/>
    </row>
    <row r="32" spans="1:9" ht="13.8" x14ac:dyDescent="0.3">
      <c r="A32" s="40"/>
      <c r="B32" s="35" t="s">
        <v>205</v>
      </c>
      <c r="C32" s="36">
        <f>IF(Info!B$10=2,Summary!R8,Summary!Q8)</f>
        <v>229160</v>
      </c>
      <c r="D32" s="36"/>
      <c r="E32" s="49">
        <f>IF(VLOOKUP(Info!B9,Data!B:AU,44,FALSE)&lt;0, -VLOOKUP(Info!B9,Data!B:AU,44,FALSE),0)</f>
        <v>0</v>
      </c>
      <c r="F32" s="49"/>
      <c r="G32" s="196" t="s">
        <v>210</v>
      </c>
      <c r="H32" s="196" t="s">
        <v>155</v>
      </c>
      <c r="I32" s="199"/>
    </row>
    <row r="33" spans="1:10" ht="13.8" x14ac:dyDescent="0.3">
      <c r="A33" s="40"/>
      <c r="B33" s="35" t="s">
        <v>198</v>
      </c>
      <c r="C33" s="36">
        <f>IF(Info!B$10=2,Summary!R9,Summary!Q9)</f>
        <v>129720</v>
      </c>
      <c r="D33" s="36">
        <v>1</v>
      </c>
      <c r="E33" s="49">
        <f>IF(VLOOKUP(Info!B9,Data!B:AU,40,FALSE)&gt;0, VLOOKUP(Info!B9,Data!B:AU,40,FALSE),0)</f>
        <v>0</v>
      </c>
      <c r="F33" s="49"/>
      <c r="G33" s="196" t="s">
        <v>24</v>
      </c>
      <c r="H33" s="196" t="s">
        <v>136</v>
      </c>
      <c r="I33" s="196"/>
    </row>
    <row r="34" spans="1:10" ht="13.8" x14ac:dyDescent="0.3">
      <c r="A34" s="40">
        <v>2</v>
      </c>
      <c r="B34" s="35" t="s">
        <v>200</v>
      </c>
      <c r="C34" s="36">
        <f>IF(Info!B$10=2,Summary!R10,Summary!Q10)</f>
        <v>229220</v>
      </c>
      <c r="D34" s="36">
        <v>6</v>
      </c>
      <c r="E34" s="49">
        <f>IF(VLOOKUP(Info!B9,Data!B:AU,41,FALSE)&lt;0, -VLOOKUP(Info!B9,Data!B:AU,41,FALSE),0)</f>
        <v>3053775</v>
      </c>
      <c r="F34" s="49"/>
      <c r="G34" s="196" t="s">
        <v>24</v>
      </c>
      <c r="H34" s="196" t="s">
        <v>136</v>
      </c>
      <c r="I34" s="196"/>
    </row>
    <row r="35" spans="1:10" ht="13.8" x14ac:dyDescent="0.3">
      <c r="A35" s="31"/>
      <c r="B35" s="35" t="s">
        <v>198</v>
      </c>
      <c r="C35" s="36">
        <f>IF(Info!B$10=2,Summary!R9,Summary!Q9)</f>
        <v>129720</v>
      </c>
      <c r="D35" s="36">
        <v>2</v>
      </c>
      <c r="E35" s="49">
        <f>IF(VLOOKUP(Info!B9,Data!B:AU,42,FALSE)&gt;0, VLOOKUP(Info!B9,Data!B:AU,42,FALSE),0)</f>
        <v>15801826</v>
      </c>
      <c r="F35" s="31"/>
      <c r="G35" s="196" t="s">
        <v>133</v>
      </c>
      <c r="H35" s="196" t="s">
        <v>185</v>
      </c>
      <c r="I35" s="199"/>
    </row>
    <row r="36" spans="1:10" ht="13.8" x14ac:dyDescent="0.3">
      <c r="A36" s="31"/>
      <c r="B36" s="35" t="s">
        <v>200</v>
      </c>
      <c r="C36" s="36">
        <f>IF(Info!B$10=2,Summary!R10,Summary!Q10)</f>
        <v>229220</v>
      </c>
      <c r="D36" s="36">
        <v>7</v>
      </c>
      <c r="E36" s="49">
        <f>IF(VLOOKUP(Info!B9,Data!B:AU,43,FALSE)&lt;0, -VLOOKUP(Info!B9,Data!B:AU,43,FALSE),0)</f>
        <v>25502327</v>
      </c>
      <c r="F36" s="31"/>
      <c r="G36" s="196" t="s">
        <v>133</v>
      </c>
      <c r="H36" s="196" t="s">
        <v>185</v>
      </c>
      <c r="I36" s="199"/>
    </row>
    <row r="37" spans="1:10" ht="13.8" x14ac:dyDescent="0.3">
      <c r="A37" s="40"/>
      <c r="B37" s="35" t="s">
        <v>198</v>
      </c>
      <c r="C37" s="36">
        <f>IF(Info!B$10=2,Summary!R9,Summary!Q9)</f>
        <v>129720</v>
      </c>
      <c r="D37" s="36">
        <v>4</v>
      </c>
      <c r="E37" s="49">
        <f>IF(VLOOKUP(Info!B9,Data!B:AU,38,FALSE)&gt;0, VLOOKUP(Info!B9,Data!B:AU,38,FALSE),0)</f>
        <v>8417449</v>
      </c>
      <c r="F37" s="49"/>
      <c r="G37" s="196" t="s">
        <v>25</v>
      </c>
      <c r="H37" s="196" t="s">
        <v>181</v>
      </c>
      <c r="I37" s="199"/>
    </row>
    <row r="38" spans="1:10" ht="13.8" x14ac:dyDescent="0.3">
      <c r="A38" s="40"/>
      <c r="B38" s="35" t="s">
        <v>200</v>
      </c>
      <c r="C38" s="36">
        <f>IF(Info!B$10=2,Summary!R10,Summary!Q10)</f>
        <v>229220</v>
      </c>
      <c r="D38" s="36">
        <v>9</v>
      </c>
      <c r="E38" s="49">
        <f>IF(VLOOKUP(Info!B9,Data!B:AU,39,FALSE)&lt;0, -VLOOKUP(Info!B9,Data!B:AU,39,FALSE),0)</f>
        <v>8154645</v>
      </c>
      <c r="F38" s="49"/>
      <c r="G38" s="196" t="s">
        <v>25</v>
      </c>
      <c r="H38" s="196" t="s">
        <v>181</v>
      </c>
      <c r="I38" s="199"/>
      <c r="J38" s="250"/>
    </row>
    <row r="39" spans="1:10" ht="13.8" x14ac:dyDescent="0.3">
      <c r="A39" s="40"/>
      <c r="B39" s="35" t="s">
        <v>198</v>
      </c>
      <c r="C39" s="36">
        <f>IF(Info!B$10=2,Summary!R9,Summary!Q9)</f>
        <v>129720</v>
      </c>
      <c r="D39" s="36">
        <v>3</v>
      </c>
      <c r="E39" s="49">
        <f>IF(VLOOKUP(Info!B9,Data!B:AU,45,FALSE)&gt;0, VLOOKUP(Info!B9,Data!B:AU,45,FALSE),0)</f>
        <v>188062</v>
      </c>
      <c r="F39" s="31"/>
      <c r="G39" s="196" t="s">
        <v>26</v>
      </c>
      <c r="H39" s="196" t="s">
        <v>136</v>
      </c>
      <c r="I39" s="199"/>
    </row>
    <row r="40" spans="1:10" ht="13.8" x14ac:dyDescent="0.3">
      <c r="A40" s="40"/>
      <c r="B40" s="35" t="s">
        <v>200</v>
      </c>
      <c r="C40" s="36">
        <f>IF(Info!B$10=2,Summary!R10,Summary!Q10)</f>
        <v>229220</v>
      </c>
      <c r="D40" s="36">
        <v>8</v>
      </c>
      <c r="E40" s="49">
        <f>IF(VLOOKUP(Info!B9,Data!B:AU,46,FALSE)&lt;0, -VLOOKUP(Info!B9,Data!B:AU,46,FALSE),0)</f>
        <v>0</v>
      </c>
      <c r="F40" s="49"/>
      <c r="G40" s="196" t="s">
        <v>26</v>
      </c>
      <c r="H40" s="196" t="s">
        <v>136</v>
      </c>
      <c r="I40" s="199"/>
    </row>
    <row r="41" spans="1:10" ht="13.8" x14ac:dyDescent="0.3">
      <c r="A41" s="40"/>
      <c r="B41" s="35" t="s">
        <v>204</v>
      </c>
      <c r="C41" s="36">
        <f>IF(Info!B$10=2,Summary!R11,Summary!Q11)</f>
        <v>531598</v>
      </c>
      <c r="D41" s="36"/>
      <c r="E41" s="49">
        <f>IF(VLOOKUP(Info!B9,Data!B:AU,15,FALSE)&gt;0, VLOOKUP(Info!B9,Data!B:AU,15,FALSE),0)</f>
        <v>0</v>
      </c>
      <c r="F41" s="49"/>
      <c r="G41" s="196" t="s">
        <v>209</v>
      </c>
      <c r="H41" s="200" t="s">
        <v>16</v>
      </c>
      <c r="I41" s="196"/>
    </row>
    <row r="42" spans="1:10" ht="13.8" x14ac:dyDescent="0.3">
      <c r="A42" s="40"/>
      <c r="B42" s="35" t="s">
        <v>204</v>
      </c>
      <c r="C42" s="36">
        <f>IF(Info!B$10=2,Summary!R11,Summary!Q11)</f>
        <v>531598</v>
      </c>
      <c r="D42" s="36"/>
      <c r="E42" s="49"/>
      <c r="F42" s="49">
        <f>IF(VLOOKUP(Info!B9,Data!B:AU,15,FALSE)&lt;0, -VLOOKUP(Info!B9,Data!B:AU,15,FALSE),0)</f>
        <v>7529020</v>
      </c>
      <c r="G42" s="196" t="s">
        <v>209</v>
      </c>
      <c r="H42" s="200" t="s">
        <v>16</v>
      </c>
      <c r="I42" s="196"/>
    </row>
    <row r="43" spans="1:10" ht="13.8" x14ac:dyDescent="0.3">
      <c r="A43" s="40"/>
      <c r="B43" s="42" t="s">
        <v>205</v>
      </c>
      <c r="C43" s="36">
        <f>IF(Info!B$10=2,Summary!R8,Summary!Q8)</f>
        <v>229160</v>
      </c>
      <c r="D43" s="36"/>
      <c r="E43" s="31"/>
      <c r="F43" s="49">
        <f>IF(VLOOKUP(Info!B9,Data!B:AU,44,FALSE)&gt;0, VLOOKUP(Info!B9,Data!B:AU,44,FALSE),0)</f>
        <v>41744379</v>
      </c>
      <c r="G43" s="196" t="s">
        <v>210</v>
      </c>
      <c r="H43" s="196" t="s">
        <v>155</v>
      </c>
      <c r="I43" s="196"/>
    </row>
    <row r="44" spans="1:10" ht="13.8" x14ac:dyDescent="0.3">
      <c r="A44" s="40"/>
      <c r="B44" s="42" t="s">
        <v>200</v>
      </c>
      <c r="C44" s="36">
        <f>IF(Info!B$10=2,Summary!R10,Summary!Q10)</f>
        <v>229220</v>
      </c>
      <c r="D44" s="36">
        <v>6</v>
      </c>
      <c r="E44" s="50"/>
      <c r="F44" s="49">
        <f>IF(VLOOKUP(Info!B9,Data!B:AU,41,FALSE)&gt;0, VLOOKUP(Info!B9,Data!B:AU,41,FALSE),0)</f>
        <v>0</v>
      </c>
      <c r="G44" s="196" t="s">
        <v>24</v>
      </c>
      <c r="H44" s="196" t="s">
        <v>182</v>
      </c>
      <c r="I44" s="198"/>
    </row>
    <row r="45" spans="1:10" ht="13.8" x14ac:dyDescent="0.3">
      <c r="A45" s="40"/>
      <c r="B45" s="42" t="s">
        <v>198</v>
      </c>
      <c r="C45" s="36">
        <f>IF(Info!B$10=2,Summary!R9,Summary!Q9)</f>
        <v>129720</v>
      </c>
      <c r="D45" s="36">
        <v>1</v>
      </c>
      <c r="E45" s="50"/>
      <c r="F45" s="49">
        <f>IF(VLOOKUP(Info!B9,Data!B:AU,40,FALSE)&lt;0, -VLOOKUP(Info!B9,Data!B:AU,40,FALSE),0)</f>
        <v>0</v>
      </c>
      <c r="G45" s="196" t="s">
        <v>24</v>
      </c>
      <c r="H45" s="196" t="s">
        <v>182</v>
      </c>
      <c r="I45" s="198"/>
    </row>
    <row r="46" spans="1:10" ht="13.8" x14ac:dyDescent="0.3">
      <c r="A46" s="40"/>
      <c r="B46" s="42" t="s">
        <v>200</v>
      </c>
      <c r="C46" s="36">
        <f>IF(Info!B$10=2,Summary!R10,Summary!Q10)</f>
        <v>229220</v>
      </c>
      <c r="D46" s="36">
        <v>7</v>
      </c>
      <c r="E46" s="50"/>
      <c r="F46" s="49">
        <f>IF(VLOOKUP(Info!B9,Data!B:AU,43,FALSE)&gt;0, VLOOKUP(Info!B9,Data!B:AU,43,FALSE),0)</f>
        <v>0</v>
      </c>
      <c r="G46" s="196" t="s">
        <v>133</v>
      </c>
      <c r="H46" s="196" t="s">
        <v>185</v>
      </c>
      <c r="I46" s="198"/>
    </row>
    <row r="47" spans="1:10" ht="13.8" x14ac:dyDescent="0.3">
      <c r="A47" s="40"/>
      <c r="B47" s="42" t="s">
        <v>198</v>
      </c>
      <c r="C47" s="36">
        <f>IF(Info!B$10=2,Summary!R9,Summary!Q9)</f>
        <v>129720</v>
      </c>
      <c r="D47" s="36">
        <v>2</v>
      </c>
      <c r="E47" s="50"/>
      <c r="F47" s="49">
        <f>IF(VLOOKUP(Info!B9,Data!B:AU,42,FALSE)&lt;0, -VLOOKUP(Info!B9,Data!B:AU,42,FALSE),0)</f>
        <v>0</v>
      </c>
      <c r="G47" s="196" t="s">
        <v>133</v>
      </c>
      <c r="H47" s="196" t="s">
        <v>185</v>
      </c>
      <c r="I47" s="198"/>
    </row>
    <row r="48" spans="1:10" ht="13.8" x14ac:dyDescent="0.3">
      <c r="A48" s="40"/>
      <c r="B48" s="42" t="s">
        <v>200</v>
      </c>
      <c r="C48" s="36">
        <f>IF(Info!B$10=2,Summary!R10,Summary!Q10)</f>
        <v>229220</v>
      </c>
      <c r="D48" s="36">
        <v>9</v>
      </c>
      <c r="E48" s="50"/>
      <c r="F48" s="49">
        <f>IF(VLOOKUP(Info!B9,Data!B:AU,39,FALSE)&gt;0, VLOOKUP(Info!B9,Data!B:AU,39,FALSE),0)</f>
        <v>0</v>
      </c>
      <c r="G48" s="196" t="s">
        <v>25</v>
      </c>
      <c r="H48" s="196" t="s">
        <v>181</v>
      </c>
      <c r="I48" s="198"/>
    </row>
    <row r="49" spans="1:9" ht="13.8" x14ac:dyDescent="0.3">
      <c r="A49" s="40"/>
      <c r="B49" s="42" t="s">
        <v>198</v>
      </c>
      <c r="C49" s="36">
        <f>IF(Info!B$10=2,Summary!R9,Summary!Q9)</f>
        <v>129720</v>
      </c>
      <c r="D49" s="36">
        <v>4</v>
      </c>
      <c r="E49" s="50"/>
      <c r="F49" s="49">
        <f>IF(VLOOKUP(Info!B9,Data!B:AU,38,FALSE)&lt;0, -VLOOKUP(Info!B9,Data!B:AU,38,FALSE),0)</f>
        <v>0</v>
      </c>
      <c r="G49" s="196" t="s">
        <v>25</v>
      </c>
      <c r="H49" s="196" t="s">
        <v>181</v>
      </c>
      <c r="I49" s="198"/>
    </row>
    <row r="50" spans="1:9" ht="13.8" x14ac:dyDescent="0.3">
      <c r="A50" s="40"/>
      <c r="B50" s="42" t="s">
        <v>200</v>
      </c>
      <c r="C50" s="36">
        <f>IF(Info!B$10=2,Summary!R10,Summary!Q10)</f>
        <v>229220</v>
      </c>
      <c r="D50" s="36">
        <v>8</v>
      </c>
      <c r="E50" s="50"/>
      <c r="F50" s="49">
        <f>IF(VLOOKUP(Info!B9,Data!B:AU,46,FALSE)&gt;0, VLOOKUP(Info!B9,Data!B:AU,46,FALSE),0)</f>
        <v>0</v>
      </c>
      <c r="G50" s="196" t="s">
        <v>26</v>
      </c>
      <c r="H50" s="196" t="s">
        <v>136</v>
      </c>
      <c r="I50" s="198"/>
    </row>
    <row r="51" spans="1:9" ht="13.8" x14ac:dyDescent="0.3">
      <c r="A51" s="40"/>
      <c r="B51" s="42" t="s">
        <v>198</v>
      </c>
      <c r="C51" s="36">
        <f>IF(Info!B$10=2,Summary!R9,Summary!Q9)</f>
        <v>129720</v>
      </c>
      <c r="D51" s="36">
        <v>3</v>
      </c>
      <c r="E51" s="50"/>
      <c r="F51" s="49">
        <f>IF(VLOOKUP(Info!B9,Data!B:AU,45,FALSE)&lt;0, -VLOOKUP(Info!B9,Data!B:AU,45,FALSE),0)</f>
        <v>0</v>
      </c>
      <c r="G51" s="196" t="s">
        <v>26</v>
      </c>
      <c r="H51" s="196" t="s">
        <v>136</v>
      </c>
      <c r="I51" s="198"/>
    </row>
    <row r="52" spans="1:9" ht="13.8" x14ac:dyDescent="0.3">
      <c r="A52" s="40"/>
      <c r="B52" s="42" t="s">
        <v>198</v>
      </c>
      <c r="C52" s="36">
        <f>IF(Info!B$10=2,Summary!R9,Summary!Q9)</f>
        <v>129720</v>
      </c>
      <c r="D52" s="36"/>
      <c r="E52" s="50"/>
      <c r="F52" s="49">
        <f>E14</f>
        <v>11844685</v>
      </c>
      <c r="G52" s="196" t="s">
        <v>177</v>
      </c>
      <c r="H52" s="196" t="s">
        <v>156</v>
      </c>
      <c r="I52" s="196" t="s">
        <v>135</v>
      </c>
    </row>
    <row r="53" spans="1:9" ht="13.8" x14ac:dyDescent="0.3">
      <c r="A53" s="40"/>
      <c r="B53" s="35" t="s">
        <v>206</v>
      </c>
      <c r="C53" s="36"/>
      <c r="D53" s="36"/>
      <c r="E53" s="51">
        <f>SUM(E32:E52)</f>
        <v>61118084</v>
      </c>
      <c r="F53" s="51">
        <f>SUM(F32:F52)</f>
        <v>61118084</v>
      </c>
      <c r="G53" s="198"/>
      <c r="H53" s="198"/>
      <c r="I53" s="198"/>
    </row>
    <row r="54" spans="1:9" ht="13.8" x14ac:dyDescent="0.3">
      <c r="A54" s="40"/>
      <c r="B54" s="35" t="s">
        <v>207</v>
      </c>
      <c r="C54" s="36"/>
      <c r="D54" s="36"/>
      <c r="E54" s="49"/>
      <c r="F54" s="50"/>
      <c r="G54" s="198"/>
      <c r="H54" s="198"/>
      <c r="I54" s="198"/>
    </row>
    <row r="55" spans="1:9" ht="3" customHeight="1" x14ac:dyDescent="0.3">
      <c r="A55" s="40"/>
      <c r="B55" s="43"/>
      <c r="C55" s="36"/>
      <c r="D55" s="36"/>
      <c r="E55" s="49"/>
      <c r="F55" s="50"/>
      <c r="G55" s="198"/>
      <c r="H55" s="198"/>
      <c r="I55" s="198"/>
    </row>
    <row r="56" spans="1:9" ht="13.8" x14ac:dyDescent="0.3">
      <c r="A56" s="40"/>
      <c r="B56" s="58" t="s">
        <v>139</v>
      </c>
      <c r="C56" s="37"/>
      <c r="D56" s="37"/>
      <c r="E56" s="44"/>
      <c r="F56" s="44"/>
      <c r="G56" s="198"/>
      <c r="H56" s="198"/>
      <c r="I56" s="198"/>
    </row>
    <row r="57" spans="1:9" ht="13.8" x14ac:dyDescent="0.3">
      <c r="A57" s="40">
        <v>3</v>
      </c>
      <c r="B57" s="187" t="s">
        <v>748</v>
      </c>
      <c r="C57" s="36">
        <f>IF(Info!B$10=2,Summary!R9,Summary!Q9)</f>
        <v>129720</v>
      </c>
      <c r="D57" s="36">
        <v>5</v>
      </c>
      <c r="E57" s="252">
        <v>0</v>
      </c>
      <c r="F57" s="44"/>
      <c r="G57" s="197" t="s">
        <v>749</v>
      </c>
      <c r="H57" s="199" t="str">
        <f>IF(E57=0,"ERROR – Enter Amount"," ")</f>
        <v>ERROR – Enter Amount</v>
      </c>
      <c r="I57" s="198"/>
    </row>
    <row r="58" spans="1:9" ht="13.8" x14ac:dyDescent="0.3">
      <c r="A58" s="40"/>
      <c r="B58" s="42" t="s">
        <v>238</v>
      </c>
      <c r="C58" s="36">
        <f>IF(Info!B$10=2,Summary!R12,Summary!Q12)</f>
        <v>531520</v>
      </c>
      <c r="D58" s="36"/>
      <c r="E58" s="44"/>
      <c r="F58" s="44">
        <f>E57</f>
        <v>0</v>
      </c>
      <c r="G58" s="196" t="s">
        <v>15</v>
      </c>
      <c r="H58" s="196" t="s">
        <v>189</v>
      </c>
      <c r="I58" s="198"/>
    </row>
    <row r="59" spans="1:9" ht="13.8" x14ac:dyDescent="0.3">
      <c r="A59" s="40"/>
      <c r="B59" s="35" t="s">
        <v>208</v>
      </c>
      <c r="C59" s="36"/>
      <c r="D59" s="36"/>
      <c r="E59" s="51">
        <f>SUM(E57:E58)</f>
        <v>0</v>
      </c>
      <c r="F59" s="51">
        <f>SUM(F57:F58)</f>
        <v>0</v>
      </c>
      <c r="G59" s="31"/>
      <c r="H59" s="31"/>
      <c r="I59" s="31"/>
    </row>
    <row r="60" spans="1:9" ht="12.6" customHeight="1" x14ac:dyDescent="0.3">
      <c r="A60" s="40"/>
      <c r="B60" s="147" t="s">
        <v>239</v>
      </c>
      <c r="C60" s="36"/>
      <c r="D60" s="36"/>
      <c r="E60" s="44"/>
      <c r="F60" s="44"/>
      <c r="G60" s="31"/>
      <c r="H60" s="31"/>
      <c r="I60" s="31"/>
    </row>
    <row r="61" spans="1:9" ht="12.6" customHeight="1" x14ac:dyDescent="0.3">
      <c r="A61" s="40"/>
      <c r="B61" s="147" t="s">
        <v>750</v>
      </c>
      <c r="C61" s="36"/>
      <c r="D61" s="36"/>
      <c r="E61" s="44"/>
      <c r="F61" s="44"/>
      <c r="G61" s="31"/>
      <c r="H61" s="31"/>
      <c r="I61" s="31"/>
    </row>
    <row r="62" spans="1:9" ht="13.8" x14ac:dyDescent="0.3">
      <c r="A62" s="40"/>
      <c r="B62" s="206"/>
      <c r="C62" s="36"/>
      <c r="D62" s="36"/>
      <c r="E62" s="201"/>
      <c r="F62" s="201"/>
      <c r="G62" s="31"/>
      <c r="H62" s="31"/>
      <c r="I62" s="31"/>
    </row>
    <row r="63" spans="1:9" ht="13.8" x14ac:dyDescent="0.3">
      <c r="A63" s="68"/>
      <c r="B63" s="69"/>
      <c r="C63" s="22"/>
      <c r="D63" s="22"/>
      <c r="E63" s="70"/>
      <c r="F63" s="70"/>
    </row>
    <row r="64" spans="1:9" ht="15.9" customHeight="1" x14ac:dyDescent="0.3">
      <c r="A64" s="299" t="s">
        <v>3</v>
      </c>
      <c r="B64" s="300"/>
      <c r="C64" s="22"/>
      <c r="D64" s="22"/>
      <c r="E64" s="71"/>
      <c r="F64" s="71"/>
    </row>
    <row r="65" spans="1:13" ht="54.75" customHeight="1" x14ac:dyDescent="0.25">
      <c r="A65" s="216"/>
      <c r="B65" s="298" t="s">
        <v>548</v>
      </c>
      <c r="C65" s="301"/>
      <c r="D65" s="301"/>
      <c r="E65" s="301"/>
      <c r="F65" s="301"/>
      <c r="G65" s="301"/>
    </row>
    <row r="66" spans="1:13" ht="6" customHeight="1" x14ac:dyDescent="0.25">
      <c r="A66" s="216"/>
      <c r="B66" s="217"/>
      <c r="C66" s="218"/>
      <c r="D66" s="218"/>
      <c r="E66" s="218"/>
      <c r="F66" s="218"/>
      <c r="G66" s="218"/>
    </row>
    <row r="67" spans="1:13" ht="54.9" customHeight="1" x14ac:dyDescent="0.25">
      <c r="A67" s="72" t="s">
        <v>183</v>
      </c>
      <c r="B67" s="298" t="s">
        <v>211</v>
      </c>
      <c r="C67" s="298"/>
      <c r="D67" s="298"/>
      <c r="E67" s="298"/>
      <c r="F67" s="298"/>
      <c r="G67" s="298"/>
      <c r="H67" s="73"/>
      <c r="I67" s="78"/>
    </row>
    <row r="68" spans="1:13" ht="6" customHeight="1" x14ac:dyDescent="0.3">
      <c r="A68" s="74"/>
      <c r="B68" s="75"/>
      <c r="C68" s="76"/>
      <c r="D68" s="76"/>
      <c r="E68" s="76"/>
      <c r="F68" s="76"/>
      <c r="G68" s="76"/>
      <c r="H68" s="76"/>
    </row>
    <row r="69" spans="1:13" ht="29.1" customHeight="1" x14ac:dyDescent="0.25">
      <c r="A69" s="72" t="s">
        <v>184</v>
      </c>
      <c r="B69" s="296" t="s">
        <v>212</v>
      </c>
      <c r="C69" s="297"/>
      <c r="D69" s="297"/>
      <c r="E69" s="297"/>
      <c r="F69" s="297"/>
      <c r="G69" s="297"/>
      <c r="H69" s="78"/>
      <c r="I69" s="73"/>
    </row>
    <row r="70" spans="1:13" ht="6" customHeight="1" x14ac:dyDescent="0.3">
      <c r="A70" s="74"/>
      <c r="B70" s="75"/>
      <c r="C70" s="76"/>
      <c r="D70" s="76"/>
      <c r="E70" s="76"/>
      <c r="F70" s="76"/>
      <c r="G70" s="76"/>
      <c r="H70" s="76"/>
    </row>
    <row r="71" spans="1:13" ht="67.2" customHeight="1" x14ac:dyDescent="0.25">
      <c r="A71" s="72" t="s">
        <v>17</v>
      </c>
      <c r="B71" s="298" t="s">
        <v>213</v>
      </c>
      <c r="C71" s="297"/>
      <c r="D71" s="297"/>
      <c r="E71" s="297"/>
      <c r="F71" s="297"/>
      <c r="G71" s="297"/>
      <c r="H71" s="78"/>
      <c r="I71" s="73"/>
    </row>
    <row r="72" spans="1:13" ht="6" customHeight="1" x14ac:dyDescent="0.3">
      <c r="A72" s="74"/>
      <c r="B72" s="73"/>
      <c r="C72" s="73"/>
      <c r="D72" s="73"/>
      <c r="E72" s="73"/>
      <c r="F72" s="73"/>
      <c r="G72" s="73"/>
      <c r="H72" s="73"/>
    </row>
    <row r="73" spans="1:13" ht="15" customHeight="1" x14ac:dyDescent="0.25">
      <c r="A73" s="72" t="s">
        <v>18</v>
      </c>
      <c r="B73" s="296" t="s">
        <v>214</v>
      </c>
      <c r="C73" s="297"/>
      <c r="D73" s="297"/>
      <c r="E73" s="297"/>
      <c r="F73" s="297"/>
      <c r="G73" s="297"/>
      <c r="H73" s="78"/>
      <c r="I73" s="76"/>
    </row>
    <row r="74" spans="1:13" ht="6" customHeight="1" x14ac:dyDescent="0.3">
      <c r="A74" s="74"/>
      <c r="B74" s="76"/>
      <c r="C74" s="73"/>
      <c r="D74" s="73"/>
      <c r="E74" s="73"/>
      <c r="F74" s="73"/>
      <c r="G74" s="73"/>
      <c r="H74" s="73"/>
    </row>
    <row r="75" spans="1:13" ht="54" customHeight="1" x14ac:dyDescent="0.25">
      <c r="A75" s="72" t="s">
        <v>185</v>
      </c>
      <c r="B75" s="298" t="s">
        <v>215</v>
      </c>
      <c r="C75" s="298"/>
      <c r="D75" s="298"/>
      <c r="E75" s="298"/>
      <c r="F75" s="298"/>
      <c r="G75" s="298"/>
      <c r="H75" s="77"/>
    </row>
    <row r="76" spans="1:13" ht="6" customHeight="1" x14ac:dyDescent="0.3">
      <c r="A76" s="74"/>
      <c r="B76" s="73"/>
      <c r="C76" s="73"/>
      <c r="D76" s="73"/>
      <c r="E76" s="73"/>
      <c r="F76" s="73"/>
      <c r="G76" s="73"/>
      <c r="H76" s="73"/>
      <c r="J76" s="25"/>
      <c r="L76" s="26"/>
      <c r="M76" s="26"/>
    </row>
    <row r="77" spans="1:13" ht="81.900000000000006" customHeight="1" x14ac:dyDescent="0.3">
      <c r="A77" s="79" t="s">
        <v>186</v>
      </c>
      <c r="B77" s="298" t="s">
        <v>216</v>
      </c>
      <c r="C77" s="301"/>
      <c r="D77" s="301"/>
      <c r="E77" s="301"/>
      <c r="F77" s="301"/>
      <c r="G77" s="301"/>
      <c r="H77" s="73"/>
      <c r="L77" s="26"/>
      <c r="M77" s="26"/>
    </row>
    <row r="78" spans="1:13" ht="6" customHeight="1" x14ac:dyDescent="0.3">
      <c r="A78" s="74"/>
      <c r="B78" s="73"/>
      <c r="C78" s="73"/>
      <c r="D78" s="73"/>
      <c r="E78" s="73"/>
      <c r="F78" s="73"/>
      <c r="G78" s="73"/>
      <c r="H78" s="73"/>
      <c r="J78" s="25"/>
      <c r="L78" s="26"/>
      <c r="M78" s="26"/>
    </row>
    <row r="79" spans="1:13" ht="95.1" customHeight="1" x14ac:dyDescent="0.3">
      <c r="A79" s="72" t="s">
        <v>187</v>
      </c>
      <c r="B79" s="298" t="s">
        <v>220</v>
      </c>
      <c r="C79" s="297"/>
      <c r="D79" s="297"/>
      <c r="E79" s="297"/>
      <c r="F79" s="297"/>
      <c r="G79" s="297"/>
      <c r="H79" s="78"/>
      <c r="J79" s="25"/>
      <c r="L79" s="26"/>
      <c r="M79" s="26"/>
    </row>
    <row r="80" spans="1:13" ht="6" customHeight="1" x14ac:dyDescent="0.3">
      <c r="A80" s="74"/>
      <c r="B80" s="73"/>
      <c r="C80" s="73"/>
      <c r="D80" s="73"/>
      <c r="E80" s="73"/>
      <c r="F80" s="73"/>
      <c r="G80" s="73"/>
      <c r="H80" s="73"/>
      <c r="J80" s="25"/>
      <c r="L80" s="26"/>
      <c r="M80" s="26"/>
    </row>
    <row r="81" spans="1:13" ht="27" customHeight="1" x14ac:dyDescent="0.3">
      <c r="A81" s="80" t="s">
        <v>188</v>
      </c>
      <c r="B81" s="296" t="s">
        <v>217</v>
      </c>
      <c r="C81" s="297"/>
      <c r="D81" s="297"/>
      <c r="E81" s="297"/>
      <c r="F81" s="297"/>
      <c r="G81" s="297"/>
      <c r="H81" s="78"/>
      <c r="J81" s="25"/>
      <c r="L81" s="26"/>
      <c r="M81" s="26"/>
    </row>
    <row r="82" spans="1:13" ht="6" customHeight="1" x14ac:dyDescent="0.3">
      <c r="A82" s="74"/>
      <c r="B82" s="73"/>
      <c r="C82" s="73"/>
      <c r="D82" s="73"/>
      <c r="E82" s="73"/>
      <c r="F82" s="73"/>
      <c r="G82" s="73"/>
      <c r="H82" s="73"/>
      <c r="J82" s="25"/>
      <c r="L82" s="26"/>
      <c r="M82" s="26"/>
    </row>
    <row r="83" spans="1:13" s="27" customFormat="1" ht="27" customHeight="1" x14ac:dyDescent="0.3">
      <c r="A83" s="80" t="s">
        <v>189</v>
      </c>
      <c r="B83" s="296" t="s">
        <v>218</v>
      </c>
      <c r="C83" s="297"/>
      <c r="D83" s="297"/>
      <c r="E83" s="297"/>
      <c r="F83" s="297"/>
      <c r="G83" s="297"/>
      <c r="H83" s="78"/>
      <c r="J83" s="28"/>
      <c r="L83" s="29"/>
      <c r="M83" s="29"/>
    </row>
    <row r="84" spans="1:13" s="27" customFormat="1" ht="6" customHeight="1" x14ac:dyDescent="0.3">
      <c r="A84" s="80"/>
      <c r="B84" s="81"/>
      <c r="C84" s="78"/>
      <c r="D84" s="78"/>
      <c r="E84" s="78"/>
      <c r="F84" s="78"/>
      <c r="G84" s="78"/>
      <c r="H84" s="78"/>
      <c r="J84" s="28"/>
      <c r="L84" s="29"/>
      <c r="M84" s="29"/>
    </row>
    <row r="85" spans="1:13" ht="42" customHeight="1" x14ac:dyDescent="0.3">
      <c r="A85" s="80" t="s">
        <v>16</v>
      </c>
      <c r="B85" s="296" t="s">
        <v>219</v>
      </c>
      <c r="C85" s="297"/>
      <c r="D85" s="297"/>
      <c r="E85" s="297"/>
      <c r="F85" s="297"/>
      <c r="G85" s="297"/>
      <c r="J85" s="25"/>
      <c r="L85" s="26"/>
      <c r="M85" s="26"/>
    </row>
    <row r="86" spans="1:13" ht="6" customHeight="1" x14ac:dyDescent="0.3">
      <c r="A86" s="80"/>
      <c r="B86" s="81"/>
      <c r="C86" s="78"/>
      <c r="D86" s="78"/>
      <c r="E86" s="78"/>
      <c r="F86" s="78"/>
      <c r="G86" s="78"/>
      <c r="J86" s="25"/>
      <c r="L86" s="26"/>
      <c r="M86" s="26"/>
    </row>
    <row r="87" spans="1:13" ht="30" customHeight="1" x14ac:dyDescent="0.3">
      <c r="A87" s="80"/>
      <c r="B87" s="296"/>
      <c r="C87" s="297"/>
      <c r="D87" s="297"/>
      <c r="E87" s="297"/>
      <c r="F87" s="297"/>
      <c r="G87" s="297"/>
      <c r="J87" s="25"/>
      <c r="L87" s="26"/>
      <c r="M87" s="26"/>
    </row>
    <row r="94" spans="1:13" ht="13.8" x14ac:dyDescent="0.3">
      <c r="C94" s="24"/>
      <c r="D94" s="24"/>
    </row>
    <row r="95" spans="1:13" ht="13.8" x14ac:dyDescent="0.3">
      <c r="C95" s="24"/>
      <c r="D95" s="24"/>
    </row>
    <row r="96" spans="1:13" ht="13.8" x14ac:dyDescent="0.3">
      <c r="C96" s="24"/>
      <c r="D96" s="24"/>
    </row>
    <row r="97" spans="3:4" ht="13.8" x14ac:dyDescent="0.3">
      <c r="C97" s="24"/>
      <c r="D97" s="24"/>
    </row>
    <row r="98" spans="3:4" ht="13.8" x14ac:dyDescent="0.3">
      <c r="C98" s="24"/>
      <c r="D98" s="24"/>
    </row>
    <row r="99" spans="3:4" ht="13.8" x14ac:dyDescent="0.3">
      <c r="C99" s="23"/>
      <c r="D99" s="23"/>
    </row>
    <row r="100" spans="3:4" ht="13.8" x14ac:dyDescent="0.3">
      <c r="C100" s="30"/>
      <c r="D100" s="30"/>
    </row>
    <row r="101" spans="3:4" ht="13.8" x14ac:dyDescent="0.3">
      <c r="C101" s="22"/>
      <c r="D101" s="22"/>
    </row>
    <row r="102" spans="3:4" ht="13.8" x14ac:dyDescent="0.3">
      <c r="C102" s="21"/>
      <c r="D102" s="21"/>
    </row>
    <row r="103" spans="3:4" ht="13.8" x14ac:dyDescent="0.3">
      <c r="C103" s="24"/>
      <c r="D103" s="24"/>
    </row>
    <row r="104" spans="3:4" ht="13.8" x14ac:dyDescent="0.3">
      <c r="C104" s="22"/>
      <c r="D104" s="22"/>
    </row>
    <row r="105" spans="3:4" ht="13.8" x14ac:dyDescent="0.3">
      <c r="C105" s="21"/>
      <c r="D105" s="21"/>
    </row>
    <row r="106" spans="3:4" ht="13.8" x14ac:dyDescent="0.3">
      <c r="C106" s="22"/>
      <c r="D106" s="22"/>
    </row>
    <row r="107" spans="3:4" ht="13.8" x14ac:dyDescent="0.3">
      <c r="C107" s="22"/>
      <c r="D107" s="22"/>
    </row>
    <row r="108" spans="3:4" ht="13.8" x14ac:dyDescent="0.3">
      <c r="C108" s="24"/>
      <c r="D108" s="24"/>
    </row>
    <row r="109" spans="3:4" ht="13.8" x14ac:dyDescent="0.3">
      <c r="C109" s="22"/>
      <c r="D109" s="22"/>
    </row>
    <row r="110" spans="3:4" ht="13.8" x14ac:dyDescent="0.3">
      <c r="C110" s="24"/>
      <c r="D110" s="24"/>
    </row>
    <row r="111" spans="3:4" ht="13.8" x14ac:dyDescent="0.3">
      <c r="C111" s="21"/>
      <c r="D111" s="21"/>
    </row>
    <row r="112" spans="3:4" ht="13.8" x14ac:dyDescent="0.3">
      <c r="C112" s="22"/>
      <c r="D112" s="22"/>
    </row>
    <row r="113" spans="3:4" ht="13.8" x14ac:dyDescent="0.3">
      <c r="C113" s="22"/>
      <c r="D113" s="22"/>
    </row>
    <row r="114" spans="3:4" ht="13.8" x14ac:dyDescent="0.3">
      <c r="C114" s="24"/>
      <c r="D114" s="24"/>
    </row>
    <row r="115" spans="3:4" ht="13.8" x14ac:dyDescent="0.3">
      <c r="C115" s="22"/>
      <c r="D115" s="22"/>
    </row>
    <row r="116" spans="3:4" ht="13.8" x14ac:dyDescent="0.3">
      <c r="C116" s="21"/>
      <c r="D116" s="21"/>
    </row>
    <row r="117" spans="3:4" ht="13.8" x14ac:dyDescent="0.3">
      <c r="C117" s="24"/>
      <c r="D117" s="24"/>
    </row>
    <row r="118" spans="3:4" ht="13.8" x14ac:dyDescent="0.3">
      <c r="C118" s="22"/>
      <c r="D118" s="22"/>
    </row>
    <row r="119" spans="3:4" ht="13.8" x14ac:dyDescent="0.3">
      <c r="C119" s="22"/>
      <c r="D119" s="22"/>
    </row>
    <row r="120" spans="3:4" ht="13.8" x14ac:dyDescent="0.3">
      <c r="C120" s="21"/>
      <c r="D120" s="21"/>
    </row>
    <row r="121" spans="3:4" ht="13.8" x14ac:dyDescent="0.3">
      <c r="C121" s="24"/>
      <c r="D121" s="24"/>
    </row>
    <row r="122" spans="3:4" ht="13.8" x14ac:dyDescent="0.3">
      <c r="C122" s="24"/>
      <c r="D122" s="24"/>
    </row>
    <row r="123" spans="3:4" ht="13.8" x14ac:dyDescent="0.3">
      <c r="C123" s="24"/>
      <c r="D123" s="24"/>
    </row>
    <row r="124" spans="3:4" ht="13.8" x14ac:dyDescent="0.3">
      <c r="C124" s="24"/>
      <c r="D124" s="24"/>
    </row>
    <row r="125" spans="3:4" ht="13.8" x14ac:dyDescent="0.3">
      <c r="C125" s="24"/>
      <c r="D125" s="24"/>
    </row>
    <row r="126" spans="3:4" ht="13.8" x14ac:dyDescent="0.3">
      <c r="C126" s="24"/>
      <c r="D126" s="24"/>
    </row>
    <row r="127" spans="3:4" ht="13.8" x14ac:dyDescent="0.3">
      <c r="C127" s="24"/>
      <c r="D127" s="24"/>
    </row>
    <row r="128" spans="3:4" ht="13.8" x14ac:dyDescent="0.3">
      <c r="C128" s="21"/>
      <c r="D128" s="21"/>
    </row>
    <row r="129" spans="3:4" ht="13.8" x14ac:dyDescent="0.3">
      <c r="C129" s="24"/>
      <c r="D129" s="24"/>
    </row>
    <row r="130" spans="3:4" ht="13.8" x14ac:dyDescent="0.3">
      <c r="C130" s="24"/>
      <c r="D130" s="24"/>
    </row>
    <row r="131" spans="3:4" ht="13.8" x14ac:dyDescent="0.3">
      <c r="C131" s="24"/>
      <c r="D131" s="24"/>
    </row>
    <row r="132" spans="3:4" ht="13.8" x14ac:dyDescent="0.3">
      <c r="C132" s="24"/>
      <c r="D132" s="24"/>
    </row>
    <row r="133" spans="3:4" ht="13.8" x14ac:dyDescent="0.3">
      <c r="C133" s="24"/>
      <c r="D133" s="24"/>
    </row>
    <row r="134" spans="3:4" ht="13.8" x14ac:dyDescent="0.3">
      <c r="C134" s="21"/>
      <c r="D134" s="21"/>
    </row>
    <row r="135" spans="3:4" ht="13.8" x14ac:dyDescent="0.3">
      <c r="C135" s="24"/>
      <c r="D135" s="24"/>
    </row>
    <row r="136" spans="3:4" ht="13.8" x14ac:dyDescent="0.3">
      <c r="C136" s="22"/>
      <c r="D136" s="22"/>
    </row>
    <row r="137" spans="3:4" ht="13.8" x14ac:dyDescent="0.3">
      <c r="C137" s="24"/>
      <c r="D137" s="24"/>
    </row>
    <row r="138" spans="3:4" ht="13.8" x14ac:dyDescent="0.3">
      <c r="C138" s="24"/>
      <c r="D138" s="24"/>
    </row>
    <row r="139" spans="3:4" ht="13.8" x14ac:dyDescent="0.3">
      <c r="C139" s="24"/>
      <c r="D139" s="24"/>
    </row>
    <row r="140" spans="3:4" ht="13.8" x14ac:dyDescent="0.3">
      <c r="C140" s="24"/>
      <c r="D140" s="24"/>
    </row>
    <row r="141" spans="3:4" ht="13.8" x14ac:dyDescent="0.3">
      <c r="C141" s="24"/>
      <c r="D141" s="24"/>
    </row>
    <row r="142" spans="3:4" ht="13.8" x14ac:dyDescent="0.3">
      <c r="C142" s="21"/>
      <c r="D142" s="21"/>
    </row>
    <row r="143" spans="3:4" ht="13.8" x14ac:dyDescent="0.3">
      <c r="C143" s="24"/>
      <c r="D143" s="24"/>
    </row>
    <row r="144" spans="3:4" ht="13.8" x14ac:dyDescent="0.3">
      <c r="C144" s="24"/>
      <c r="D144" s="24"/>
    </row>
    <row r="145" spans="3:4" ht="13.8" x14ac:dyDescent="0.3">
      <c r="C145" s="22"/>
      <c r="D145" s="22"/>
    </row>
    <row r="146" spans="3:4" ht="13.8" x14ac:dyDescent="0.3">
      <c r="C146" s="22"/>
      <c r="D146" s="22"/>
    </row>
    <row r="147" spans="3:4" ht="13.8" x14ac:dyDescent="0.3">
      <c r="C147" s="22"/>
      <c r="D147" s="22"/>
    </row>
    <row r="148" spans="3:4" ht="13.8" x14ac:dyDescent="0.3">
      <c r="C148" s="24"/>
      <c r="D148" s="24"/>
    </row>
    <row r="149" spans="3:4" ht="13.8" x14ac:dyDescent="0.3">
      <c r="C149" s="22"/>
      <c r="D149" s="22"/>
    </row>
    <row r="150" spans="3:4" ht="13.8" x14ac:dyDescent="0.3">
      <c r="C150" s="24"/>
      <c r="D150" s="24"/>
    </row>
    <row r="151" spans="3:4" ht="13.8" x14ac:dyDescent="0.3">
      <c r="C151" s="22"/>
      <c r="D151" s="22"/>
    </row>
    <row r="152" spans="3:4" ht="13.8" x14ac:dyDescent="0.3">
      <c r="C152" s="22"/>
      <c r="D152" s="22"/>
    </row>
    <row r="153" spans="3:4" ht="13.8" x14ac:dyDescent="0.3">
      <c r="C153" s="22"/>
      <c r="D153" s="22"/>
    </row>
  </sheetData>
  <sheetProtection algorithmName="SHA-512" hashValue="naHBc/9C9jmG8TI27VSQ9h/Gtx0EuQerURV5mO5VE+M634T85/nrQx0nWFBt31/qNnW4NEbGQPNdW/s+Po+fYw==" saltValue="0ZMF0NBYwB4k5Q/G/miMyg==" spinCount="100000" sheet="1" objects="1" scenarios="1"/>
  <mergeCells count="13">
    <mergeCell ref="A64:B64"/>
    <mergeCell ref="B77:G77"/>
    <mergeCell ref="B71:G71"/>
    <mergeCell ref="B81:G81"/>
    <mergeCell ref="B69:G69"/>
    <mergeCell ref="B67:G67"/>
    <mergeCell ref="B65:G65"/>
    <mergeCell ref="B87:G87"/>
    <mergeCell ref="B73:G73"/>
    <mergeCell ref="B85:G85"/>
    <mergeCell ref="B75:G75"/>
    <mergeCell ref="B79:G79"/>
    <mergeCell ref="B83:G83"/>
  </mergeCells>
  <phoneticPr fontId="9" type="noConversion"/>
  <conditionalFormatting sqref="H57">
    <cfRule type="expression" dxfId="0" priority="1">
      <formula>$E$57=0</formula>
    </cfRule>
  </conditionalFormatting>
  <pageMargins left="0.5" right="0.5" top="0.2" bottom="0.2" header="0.5" footer="0.15"/>
  <pageSetup orientation="landscape" r:id="rId1"/>
  <headerFooter alignWithMargins="0"/>
  <rowBreaks count="1" manualBreakCount="1">
    <brk id="63" max="8" man="1"/>
  </rowBreaks>
  <ignoredErrors>
    <ignoredError sqref="C26 C43:C49 C34:C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U31"/>
  <sheetViews>
    <sheetView showGridLines="0" workbookViewId="0"/>
  </sheetViews>
  <sheetFormatPr defaultRowHeight="13.2" x14ac:dyDescent="0.25"/>
  <cols>
    <col min="1" max="1" width="36.6640625" customWidth="1"/>
    <col min="2" max="2" width="1.33203125" customWidth="1"/>
    <col min="3" max="3" width="9.88671875" bestFit="1" customWidth="1"/>
    <col min="4" max="4" width="1.33203125" customWidth="1"/>
    <col min="5" max="5" width="14.6640625" customWidth="1"/>
    <col min="6" max="6" width="1.33203125" customWidth="1"/>
    <col min="7" max="7" width="14.6640625" customWidth="1"/>
    <col min="8" max="8" width="1.33203125" customWidth="1"/>
    <col min="9" max="9" width="15.44140625" bestFit="1" customWidth="1"/>
    <col min="10" max="10" width="6.6640625" customWidth="1"/>
    <col min="11" max="11" width="12.6640625" customWidth="1"/>
    <col min="12" max="12" width="1.33203125" style="148" customWidth="1"/>
    <col min="13" max="13" width="12.6640625" customWidth="1"/>
    <col min="14" max="14" width="1.33203125" style="148" customWidth="1"/>
    <col min="15" max="15" width="12.6640625" style="148" customWidth="1"/>
    <col min="16" max="16" width="6.6640625" style="148" customWidth="1"/>
    <col min="17" max="18" width="9.109375" hidden="1" customWidth="1"/>
  </cols>
  <sheetData>
    <row r="1" spans="1:21" x14ac:dyDescent="0.25">
      <c r="A1" s="60" t="str">
        <f>Info!B5</f>
        <v>APPALACHIAN STATE UNIVERSITY</v>
      </c>
      <c r="B1" s="60"/>
      <c r="C1" s="20"/>
      <c r="D1" s="20"/>
      <c r="E1" s="20"/>
      <c r="F1" s="20"/>
      <c r="G1" s="20"/>
      <c r="H1" s="20"/>
      <c r="I1" s="20"/>
      <c r="K1" s="1"/>
    </row>
    <row r="2" spans="1:21" ht="15" customHeight="1" x14ac:dyDescent="0.25">
      <c r="A2" s="61" t="s">
        <v>237</v>
      </c>
      <c r="B2" s="61"/>
      <c r="C2" s="20"/>
      <c r="D2" s="20"/>
      <c r="E2" s="20"/>
      <c r="F2" s="20"/>
      <c r="H2" s="20"/>
      <c r="I2" s="20"/>
    </row>
    <row r="3" spans="1:21" ht="15" customHeight="1" x14ac:dyDescent="0.25">
      <c r="A3" s="60" t="s">
        <v>742</v>
      </c>
      <c r="B3" s="60"/>
      <c r="C3" s="20"/>
      <c r="D3" s="20"/>
      <c r="E3" s="20"/>
      <c r="F3" s="20"/>
      <c r="G3" s="20"/>
      <c r="H3" s="20"/>
    </row>
    <row r="4" spans="1:21" ht="15" customHeight="1" x14ac:dyDescent="0.3">
      <c r="A4" s="60"/>
      <c r="B4" s="60"/>
      <c r="C4" s="20"/>
      <c r="D4" s="20"/>
      <c r="E4" s="20"/>
      <c r="F4" s="20"/>
      <c r="G4" s="99"/>
      <c r="H4" s="20"/>
    </row>
    <row r="5" spans="1:21" ht="15" customHeight="1" x14ac:dyDescent="0.25">
      <c r="A5" s="60"/>
      <c r="B5" s="60"/>
      <c r="C5" s="20"/>
      <c r="D5" s="20"/>
      <c r="E5" s="20"/>
      <c r="F5" s="20"/>
      <c r="G5" s="20"/>
      <c r="H5" s="20"/>
      <c r="I5" s="86" t="s">
        <v>144</v>
      </c>
      <c r="K5" s="302"/>
      <c r="L5" s="302"/>
      <c r="M5" s="302"/>
      <c r="N5" s="302"/>
      <c r="O5" s="302"/>
      <c r="P5" s="149"/>
      <c r="Q5" s="149"/>
      <c r="R5" s="149"/>
      <c r="S5" s="149"/>
      <c r="T5" s="149"/>
      <c r="U5" s="149"/>
    </row>
    <row r="6" spans="1:21" ht="15" customHeight="1" x14ac:dyDescent="0.25">
      <c r="A6" s="65"/>
      <c r="B6" s="65"/>
      <c r="C6" s="90" t="str">
        <f>IF(Info!B$10=2,"Colleague","NCAS")</f>
        <v>NCAS</v>
      </c>
      <c r="D6" s="65"/>
      <c r="E6" s="65"/>
      <c r="F6" s="65"/>
      <c r="G6" s="65"/>
      <c r="H6" s="65"/>
      <c r="I6" s="82" t="s">
        <v>154</v>
      </c>
      <c r="K6" s="303"/>
      <c r="L6" s="303"/>
      <c r="M6" s="303"/>
      <c r="N6" s="303"/>
      <c r="O6" s="303"/>
      <c r="Q6" s="225" t="s">
        <v>550</v>
      </c>
    </row>
    <row r="7" spans="1:21" ht="15" customHeight="1" x14ac:dyDescent="0.25">
      <c r="A7" s="88" t="s">
        <v>142</v>
      </c>
      <c r="B7" s="89"/>
      <c r="C7" s="88" t="s">
        <v>129</v>
      </c>
      <c r="D7" s="90"/>
      <c r="E7" s="88" t="s">
        <v>0</v>
      </c>
      <c r="F7" s="90"/>
      <c r="G7" s="88" t="s">
        <v>1</v>
      </c>
      <c r="H7" s="90"/>
      <c r="I7" s="83" t="s">
        <v>143</v>
      </c>
      <c r="J7" s="3"/>
      <c r="K7" s="87"/>
      <c r="L7" s="87"/>
      <c r="M7" s="87"/>
      <c r="N7" s="87"/>
      <c r="O7" s="87"/>
      <c r="P7" s="87"/>
      <c r="Q7" s="106" t="s">
        <v>128</v>
      </c>
      <c r="R7" s="105" t="s">
        <v>157</v>
      </c>
    </row>
    <row r="8" spans="1:21" ht="15" customHeight="1" x14ac:dyDescent="0.25">
      <c r="A8" s="91" t="s">
        <v>205</v>
      </c>
      <c r="B8" s="91"/>
      <c r="C8" s="92">
        <f>IF(Info!B$10=2,Summary!R8,Summary!Q8)</f>
        <v>229160</v>
      </c>
      <c r="D8" s="92"/>
      <c r="E8" s="93">
        <f>SUMIF(Detail!$C$8:$C$61,$C8,Detail!E$8:E$61)</f>
        <v>0</v>
      </c>
      <c r="F8" s="94"/>
      <c r="G8" s="93">
        <f>SUMIF(Detail!$C$8:$C$61,$C8,Detail!F$8:F$61)</f>
        <v>41744379</v>
      </c>
      <c r="H8" s="94"/>
      <c r="I8" s="52">
        <f t="shared" ref="I8:I16" si="0">E8-G8</f>
        <v>-41744379</v>
      </c>
      <c r="J8" s="267"/>
      <c r="K8" s="93"/>
      <c r="L8" s="93"/>
      <c r="M8" s="93"/>
      <c r="N8" s="150"/>
      <c r="O8" s="93"/>
      <c r="Q8" s="226">
        <v>229160</v>
      </c>
      <c r="R8">
        <v>242081</v>
      </c>
    </row>
    <row r="9" spans="1:21" ht="15" customHeight="1" x14ac:dyDescent="0.25">
      <c r="A9" s="91" t="s">
        <v>198</v>
      </c>
      <c r="B9" s="91"/>
      <c r="C9" s="92">
        <f>IF(Info!B$10=2,Summary!R9,Summary!Q9)</f>
        <v>129720</v>
      </c>
      <c r="D9" s="92"/>
      <c r="E9" s="57">
        <f>SUMIF(Detail!$C$8:$C$61,$C9,Detail!E$8:E$61)</f>
        <v>24407337</v>
      </c>
      <c r="F9" s="94"/>
      <c r="G9" s="57">
        <f>SUMIF(Detail!$C$8:$C$61,$C9,Detail!F$8:F$61)</f>
        <v>11844685</v>
      </c>
      <c r="H9" s="94"/>
      <c r="I9" s="53">
        <f>E9-G9</f>
        <v>12562652</v>
      </c>
      <c r="J9" s="268"/>
      <c r="K9" s="57"/>
      <c r="L9" s="57"/>
      <c r="M9" s="57"/>
      <c r="N9" s="150"/>
      <c r="O9" s="57"/>
      <c r="Q9" s="92">
        <v>129720</v>
      </c>
      <c r="R9">
        <v>124091</v>
      </c>
    </row>
    <row r="10" spans="1:21" ht="15" customHeight="1" x14ac:dyDescent="0.25">
      <c r="A10" s="91" t="s">
        <v>200</v>
      </c>
      <c r="B10" s="91"/>
      <c r="C10" s="92">
        <f>IF(Info!B$10=2,Summary!R10,Summary!Q10)</f>
        <v>229220</v>
      </c>
      <c r="D10" s="92"/>
      <c r="E10" s="57">
        <f>SUMIF(Detail!$C$8:$C$61,$C10,Detail!E$8:E$61)</f>
        <v>36710747</v>
      </c>
      <c r="F10" s="94"/>
      <c r="G10" s="57">
        <f>SUMIF(Detail!$C$8:$C$61,$C10,Detail!F$8:F$61)</f>
        <v>0</v>
      </c>
      <c r="H10" s="94"/>
      <c r="I10" s="53">
        <f>E10-G10</f>
        <v>36710747</v>
      </c>
      <c r="J10" s="268"/>
      <c r="K10" s="57"/>
      <c r="L10" s="57"/>
      <c r="M10" s="57"/>
      <c r="N10" s="150"/>
      <c r="O10" s="57"/>
      <c r="Q10" s="92">
        <v>229220</v>
      </c>
      <c r="R10">
        <v>242091</v>
      </c>
    </row>
    <row r="11" spans="1:21" ht="15" customHeight="1" x14ac:dyDescent="0.25">
      <c r="A11" s="91" t="s">
        <v>204</v>
      </c>
      <c r="B11" s="91"/>
      <c r="C11" s="92">
        <f>IF(Info!B$10=2,Summary!R11,Summary!Q11)</f>
        <v>531598</v>
      </c>
      <c r="D11" s="92"/>
      <c r="E11" s="57">
        <f>SUMIF(Detail!$C$8:$C$61,$C11,Detail!E$8:E$61)</f>
        <v>0</v>
      </c>
      <c r="F11" s="94"/>
      <c r="G11" s="57">
        <f>SUMIF(Detail!$C$8:$C$61,$C11,Detail!F$8:F$61)</f>
        <v>7529020</v>
      </c>
      <c r="H11" s="94"/>
      <c r="I11" s="53">
        <f t="shared" si="0"/>
        <v>-7529020</v>
      </c>
      <c r="J11" s="268"/>
      <c r="K11" s="57"/>
      <c r="L11" s="57"/>
      <c r="M11" s="57"/>
      <c r="N11" s="150"/>
      <c r="O11" s="57"/>
      <c r="Q11" s="92">
        <v>531598</v>
      </c>
      <c r="R11">
        <v>518251</v>
      </c>
    </row>
    <row r="12" spans="1:21" ht="15" customHeight="1" x14ac:dyDescent="0.25">
      <c r="A12" s="91" t="s">
        <v>238</v>
      </c>
      <c r="B12" s="91"/>
      <c r="C12" s="92">
        <f>IF(Info!B$10=2,Summary!R12,Summary!Q12)</f>
        <v>531520</v>
      </c>
      <c r="D12" s="92"/>
      <c r="E12" s="57">
        <f>SUMIF(Detail!$C$8:$C$61,$C12,Detail!E$8:E$61)</f>
        <v>0</v>
      </c>
      <c r="F12" s="94"/>
      <c r="G12" s="57">
        <f>SUMIF(Detail!$C$8:$C$61,$C12,Detail!F$8:F$61)</f>
        <v>0</v>
      </c>
      <c r="H12" s="94"/>
      <c r="I12" s="53">
        <f t="shared" si="0"/>
        <v>0</v>
      </c>
      <c r="J12" s="268"/>
      <c r="K12" s="57"/>
      <c r="L12" s="57"/>
      <c r="M12" s="57"/>
      <c r="N12" s="150"/>
      <c r="O12" s="57"/>
      <c r="Q12" s="92">
        <v>531520</v>
      </c>
      <c r="R12">
        <v>518200</v>
      </c>
    </row>
    <row r="13" spans="1:21" s="208" customFormat="1" ht="15" hidden="1" customHeight="1" x14ac:dyDescent="0.25">
      <c r="A13" s="91" t="s">
        <v>127</v>
      </c>
      <c r="B13" s="91"/>
      <c r="C13" s="92">
        <f>IF(Info!B$10=2,Summary!R13,Summary!Q13)</f>
        <v>330001</v>
      </c>
      <c r="D13" s="92"/>
      <c r="E13" s="57">
        <f>SUMIF(Detail!$C$8:$C$61,$C13,Detail!E$8:E$61)</f>
        <v>0</v>
      </c>
      <c r="F13" s="94"/>
      <c r="G13" s="57">
        <f>SUMIF(Detail!$C$8:$C$61,$C13,Detail!F$8:F$61)</f>
        <v>0</v>
      </c>
      <c r="H13" s="94"/>
      <c r="I13" s="53">
        <f>E13-G13</f>
        <v>0</v>
      </c>
      <c r="J13" s="268"/>
      <c r="K13" s="57"/>
      <c r="L13" s="57"/>
      <c r="M13" s="57"/>
      <c r="N13" s="150"/>
      <c r="O13" s="57"/>
      <c r="Q13" s="92">
        <v>330001</v>
      </c>
      <c r="R13" s="208">
        <v>379000</v>
      </c>
    </row>
    <row r="14" spans="1:21" s="181" customFormat="1" ht="15" customHeight="1" x14ac:dyDescent="0.25">
      <c r="A14" s="91" t="s">
        <v>192</v>
      </c>
      <c r="B14" s="91"/>
      <c r="C14" s="92">
        <f>IF(Info!B$10=2,Summary!R14,Summary!Q14)</f>
        <v>535900</v>
      </c>
      <c r="D14" s="92"/>
      <c r="E14" s="57">
        <f>SUMIF(Detail!$C$8:$C$61,$C14,Detail!E$8:E$61)</f>
        <v>0</v>
      </c>
      <c r="F14" s="94"/>
      <c r="G14" s="57">
        <f>SUMIF(Detail!$C$8:$C$61,$C14,Detail!F$8:F$61)</f>
        <v>0</v>
      </c>
      <c r="H14" s="94"/>
      <c r="I14" s="53">
        <f t="shared" si="0"/>
        <v>0</v>
      </c>
      <c r="J14" s="268"/>
      <c r="K14" s="57"/>
      <c r="L14" s="57"/>
      <c r="M14" s="57"/>
      <c r="N14" s="150"/>
      <c r="O14" s="57"/>
      <c r="Q14" s="192">
        <v>535900</v>
      </c>
      <c r="R14" s="193">
        <v>539600</v>
      </c>
    </row>
    <row r="15" spans="1:21" s="181" customFormat="1" ht="15" customHeight="1" x14ac:dyDescent="0.25">
      <c r="A15" s="91" t="s">
        <v>193</v>
      </c>
      <c r="B15" s="91"/>
      <c r="C15" s="192">
        <f>IF(Info!B$10=2,Summary!R15,Summary!Q15)</f>
        <v>437995</v>
      </c>
      <c r="D15" s="92"/>
      <c r="E15" s="57">
        <f>SUMIF(Detail!$C$8:$C$61,$C15,Detail!E$8:E$61)</f>
        <v>0</v>
      </c>
      <c r="F15" s="94"/>
      <c r="G15" s="57">
        <f>SUMIF(Detail!$C$8:$C$61,$C15,Detail!F$8:F$61)</f>
        <v>0</v>
      </c>
      <c r="H15" s="94"/>
      <c r="I15" s="53">
        <f t="shared" si="0"/>
        <v>0</v>
      </c>
      <c r="J15" s="268"/>
      <c r="K15" s="57"/>
      <c r="L15" s="57"/>
      <c r="M15" s="57"/>
      <c r="N15" s="150"/>
      <c r="O15" s="57"/>
      <c r="Q15" s="192">
        <v>437995</v>
      </c>
      <c r="R15" s="193">
        <v>493200</v>
      </c>
    </row>
    <row r="16" spans="1:21" ht="15" hidden="1" customHeight="1" x14ac:dyDescent="0.25">
      <c r="A16" s="91" t="s">
        <v>127</v>
      </c>
      <c r="B16" s="91"/>
      <c r="C16" s="92">
        <f>IF(Info!B$10=2,Summary!R16,Summary!Q16)</f>
        <v>330001</v>
      </c>
      <c r="D16" s="92"/>
      <c r="E16" s="57">
        <f>SUMIF(Detail!$C$24:$C$61,$C16,Detail!E$24:E$61)</f>
        <v>0</v>
      </c>
      <c r="F16" s="94"/>
      <c r="G16" s="57">
        <f>SUMIF(Detail!$C$24:$C$61,$C16,Detail!F$24:F$61)</f>
        <v>0</v>
      </c>
      <c r="H16" s="94"/>
      <c r="I16" s="84">
        <f t="shared" si="0"/>
        <v>0</v>
      </c>
      <c r="J16" s="269"/>
      <c r="K16" s="57"/>
      <c r="L16" s="57"/>
      <c r="M16" s="57"/>
      <c r="N16" s="57"/>
      <c r="O16" s="57"/>
      <c r="P16" s="57"/>
      <c r="Q16" s="92">
        <v>330001</v>
      </c>
      <c r="R16">
        <v>379000</v>
      </c>
    </row>
    <row r="17" spans="1:16" ht="15" customHeight="1" thickBot="1" x14ac:dyDescent="0.3">
      <c r="A17" s="96" t="s">
        <v>4</v>
      </c>
      <c r="B17" s="96"/>
      <c r="C17" s="97"/>
      <c r="D17" s="97"/>
      <c r="E17" s="98">
        <f>SUM(E8:E16)</f>
        <v>61118084</v>
      </c>
      <c r="F17" s="94"/>
      <c r="G17" s="98">
        <f>SUM(G8:G16)</f>
        <v>61118084</v>
      </c>
      <c r="H17" s="94"/>
      <c r="I17" s="85">
        <f>SUM(I8:I16)</f>
        <v>0</v>
      </c>
      <c r="J17" s="270"/>
      <c r="K17" s="93"/>
      <c r="L17" s="93"/>
      <c r="M17" s="93"/>
      <c r="N17" s="93"/>
      <c r="O17" s="93"/>
      <c r="P17" s="93"/>
    </row>
    <row r="18" spans="1:16" ht="15" customHeight="1" thickTop="1" x14ac:dyDescent="0.25"/>
    <row r="19" spans="1:16" ht="15" customHeight="1" x14ac:dyDescent="0.25">
      <c r="A19" s="194" t="s">
        <v>195</v>
      </c>
    </row>
    <row r="20" spans="1:16" ht="105" customHeight="1" x14ac:dyDescent="0.25">
      <c r="A20" s="304" t="s">
        <v>751</v>
      </c>
      <c r="B20" s="305"/>
      <c r="C20" s="305"/>
      <c r="D20" s="305"/>
      <c r="E20" s="305"/>
      <c r="F20" s="305"/>
      <c r="G20" s="305"/>
      <c r="H20" s="305"/>
      <c r="I20" s="305"/>
    </row>
    <row r="21" spans="1:16" ht="9.9" customHeight="1" x14ac:dyDescent="0.25"/>
    <row r="28" spans="1:16" x14ac:dyDescent="0.25">
      <c r="A28" s="195"/>
    </row>
    <row r="29" spans="1:16" x14ac:dyDescent="0.25">
      <c r="A29" s="195"/>
    </row>
    <row r="30" spans="1:16" x14ac:dyDescent="0.25">
      <c r="A30" s="195"/>
    </row>
    <row r="31" spans="1:16" x14ac:dyDescent="0.25">
      <c r="A31" s="195"/>
    </row>
  </sheetData>
  <sheetProtection algorithmName="SHA-512" hashValue="mShzFx99L3zbYlOLIVec5/tpNCDybQKO76CVxfjJgdwQ2KypeiPUdxh8b2JERaK1CowAvHFmlL1f6Go+I0NQAg==" saltValue="8zjrmOtQ9JzGfcKs2ASh1A==" spinCount="100000" sheet="1" objects="1" scenarios="1"/>
  <mergeCells count="3">
    <mergeCell ref="K5:O5"/>
    <mergeCell ref="K6:O6"/>
    <mergeCell ref="A20:I20"/>
  </mergeCells>
  <phoneticPr fontId="9" type="noConversion"/>
  <pageMargins left="0.5" right="0.5" top="0.3" bottom="0.35" header="0.5" footer="0.15"/>
  <pageSetup orientation="portrait" r:id="rId1"/>
  <headerFooter>
    <oddFooter>&amp;L&amp;"Arial Narrow,Regular"&amp;9&amp;Z&amp;F&amp;R&amp;"Arial Narrow,Regular"&amp;9&amp;D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81"/>
  <sheetViews>
    <sheetView showGridLines="0" workbookViewId="0"/>
  </sheetViews>
  <sheetFormatPr defaultRowHeight="13.2" x14ac:dyDescent="0.25"/>
  <cols>
    <col min="1" max="1" width="2.6640625" customWidth="1"/>
    <col min="2" max="2" width="35.6640625" customWidth="1"/>
    <col min="3" max="3" width="4.33203125" hidden="1" customWidth="1"/>
    <col min="4" max="4" width="15.6640625" customWidth="1"/>
    <col min="5" max="5" width="1.33203125" customWidth="1"/>
    <col min="6" max="6" width="4.33203125" hidden="1" customWidth="1"/>
    <col min="7" max="7" width="15.6640625" customWidth="1"/>
    <col min="8" max="8" width="4.6640625" customWidth="1"/>
    <col min="9" max="9" width="1.6640625" customWidth="1"/>
    <col min="10" max="10" width="15.5546875" bestFit="1" customWidth="1"/>
    <col min="11" max="11" width="1.6640625" style="144" customWidth="1"/>
    <col min="12" max="12" width="11.88671875" bestFit="1" customWidth="1"/>
    <col min="13" max="13" width="1.33203125" customWidth="1"/>
    <col min="14" max="14" width="15.6640625" customWidth="1"/>
    <col min="15" max="15" width="1.33203125" customWidth="1"/>
    <col min="16" max="16" width="15.6640625" customWidth="1"/>
    <col min="17" max="17" width="1.33203125" customWidth="1"/>
    <col min="18" max="18" width="11.88671875" customWidth="1"/>
    <col min="19" max="19" width="1.33203125" customWidth="1"/>
    <col min="20" max="20" width="11.88671875" customWidth="1"/>
    <col min="21" max="21" width="1.33203125" customWidth="1"/>
    <col min="22" max="22" width="11.88671875" customWidth="1"/>
    <col min="23" max="23" width="1.33203125" customWidth="1"/>
    <col min="24" max="24" width="11.88671875" bestFit="1" customWidth="1"/>
    <col min="25" max="25" width="1.33203125" style="152" customWidth="1"/>
    <col min="26" max="26" width="10.33203125" bestFit="1" customWidth="1"/>
  </cols>
  <sheetData>
    <row r="1" spans="1:26" x14ac:dyDescent="0.25">
      <c r="A1" s="1" t="str">
        <f>Info!B5</f>
        <v>APPALACHIAN STATE UNIVERSITY</v>
      </c>
    </row>
    <row r="2" spans="1:26" x14ac:dyDescent="0.25">
      <c r="A2" s="1" t="s">
        <v>240</v>
      </c>
    </row>
    <row r="3" spans="1:26" x14ac:dyDescent="0.25">
      <c r="A3" s="1" t="s">
        <v>742</v>
      </c>
    </row>
    <row r="4" spans="1:26" ht="17.399999999999999" x14ac:dyDescent="0.3">
      <c r="A4" s="1"/>
      <c r="G4" s="62"/>
    </row>
    <row r="5" spans="1:26" ht="8.1" customHeight="1" x14ac:dyDescent="0.25">
      <c r="A5" s="1"/>
    </row>
    <row r="6" spans="1:26" x14ac:dyDescent="0.25">
      <c r="A6" s="2" t="s">
        <v>27</v>
      </c>
      <c r="B6" s="108" t="s">
        <v>148</v>
      </c>
      <c r="C6" s="109"/>
      <c r="D6" s="109"/>
      <c r="E6" s="109"/>
      <c r="F6" s="109"/>
      <c r="G6" s="109"/>
      <c r="H6" s="110"/>
    </row>
    <row r="7" spans="1:26" x14ac:dyDescent="0.25">
      <c r="A7" s="2"/>
      <c r="B7" s="111" t="s">
        <v>221</v>
      </c>
      <c r="C7" s="65"/>
      <c r="D7" s="65"/>
      <c r="E7" s="65"/>
      <c r="F7" s="65"/>
      <c r="G7" s="65"/>
      <c r="H7" s="112"/>
      <c r="J7" s="4" t="s">
        <v>30</v>
      </c>
      <c r="K7" s="4"/>
    </row>
    <row r="8" spans="1:26" x14ac:dyDescent="0.25">
      <c r="B8" s="113"/>
      <c r="C8" s="65"/>
      <c r="D8" s="65"/>
      <c r="E8" s="65"/>
      <c r="F8" s="65"/>
      <c r="G8" s="65"/>
      <c r="H8" s="112"/>
      <c r="J8" s="6" t="s">
        <v>147</v>
      </c>
      <c r="K8" s="6"/>
      <c r="L8" s="306"/>
      <c r="M8" s="306"/>
      <c r="N8" s="306"/>
      <c r="O8" s="150"/>
      <c r="P8" s="150"/>
      <c r="Q8" s="150"/>
      <c r="R8" s="150"/>
      <c r="S8" s="150"/>
      <c r="T8" s="150"/>
      <c r="U8" s="150"/>
      <c r="V8" s="150"/>
      <c r="W8" s="150"/>
      <c r="X8" s="150"/>
      <c r="Y8" s="150"/>
      <c r="Z8" s="150"/>
    </row>
    <row r="9" spans="1:26" x14ac:dyDescent="0.25">
      <c r="B9" s="114"/>
      <c r="C9" s="115"/>
      <c r="D9" s="116" t="s">
        <v>6</v>
      </c>
      <c r="E9" s="115"/>
      <c r="F9" s="115"/>
      <c r="G9" s="116" t="s">
        <v>7</v>
      </c>
      <c r="H9" s="112"/>
      <c r="J9" s="4" t="s">
        <v>146</v>
      </c>
      <c r="K9" s="4"/>
      <c r="L9" s="306"/>
      <c r="M9" s="306"/>
      <c r="N9" s="306"/>
      <c r="O9" s="306"/>
      <c r="P9" s="306"/>
      <c r="Q9" s="150"/>
      <c r="R9" s="306"/>
      <c r="S9" s="306"/>
      <c r="T9" s="306"/>
      <c r="U9" s="306"/>
      <c r="V9" s="306"/>
      <c r="W9" s="150"/>
      <c r="X9" s="306"/>
      <c r="Y9" s="306"/>
      <c r="Z9" s="306"/>
    </row>
    <row r="10" spans="1:26" x14ac:dyDescent="0.25">
      <c r="B10" s="114"/>
      <c r="C10" s="117" t="s">
        <v>14</v>
      </c>
      <c r="D10" s="118" t="s">
        <v>5</v>
      </c>
      <c r="E10" s="116"/>
      <c r="F10" s="118" t="s">
        <v>14</v>
      </c>
      <c r="G10" s="118" t="s">
        <v>5</v>
      </c>
      <c r="H10" s="112"/>
      <c r="J10" s="15" t="s">
        <v>222</v>
      </c>
      <c r="K10" s="4"/>
      <c r="L10" s="5"/>
      <c r="M10" s="150"/>
      <c r="N10" s="5"/>
      <c r="O10" s="150"/>
      <c r="P10" s="5"/>
      <c r="Q10" s="150"/>
      <c r="R10" s="5"/>
      <c r="S10" s="150"/>
      <c r="T10" s="5"/>
      <c r="U10" s="150"/>
      <c r="V10" s="5"/>
      <c r="W10" s="150"/>
      <c r="X10" s="5"/>
      <c r="Y10" s="150"/>
      <c r="Z10" s="5"/>
    </row>
    <row r="11" spans="1:26" x14ac:dyDescent="0.25">
      <c r="B11" s="111" t="s">
        <v>8</v>
      </c>
      <c r="C11" s="119"/>
      <c r="D11" s="93"/>
      <c r="E11" s="65"/>
      <c r="F11" s="119"/>
      <c r="G11" s="120"/>
      <c r="H11" s="112"/>
      <c r="J11" s="16"/>
      <c r="K11" s="16"/>
      <c r="L11" s="150"/>
      <c r="M11" s="150"/>
      <c r="N11" s="150"/>
      <c r="O11" s="150"/>
      <c r="P11" s="150"/>
      <c r="Q11" s="150"/>
      <c r="R11" s="150"/>
      <c r="S11" s="150"/>
      <c r="T11" s="150"/>
      <c r="U11" s="150"/>
      <c r="V11" s="150"/>
      <c r="W11" s="150"/>
      <c r="X11" s="150"/>
      <c r="Y11" s="150"/>
      <c r="Z11" s="150"/>
    </row>
    <row r="12" spans="1:26" x14ac:dyDescent="0.25">
      <c r="B12" s="111" t="s">
        <v>9</v>
      </c>
      <c r="C12" s="119">
        <v>1</v>
      </c>
      <c r="D12" s="93">
        <f>Detail!E13+SUMIF(Detail!$D$24:$D$61,$C12,Detail!E$24:E$61)-SUMIF(Detail!$D$24:$D$61,$C12,Detail!F$24:F$61)</f>
        <v>0</v>
      </c>
      <c r="E12" s="65"/>
      <c r="F12" s="119">
        <v>6</v>
      </c>
      <c r="G12" s="120">
        <f>Detail!F16+SUMIF(Detail!$D$24:$D$61,$F12,Detail!F$24:F$61)-SUMIF(Detail!$D$24:$D$61,$F12,Detail!E$24:E$61)</f>
        <v>16573721</v>
      </c>
      <c r="H12" s="112"/>
      <c r="J12" s="16">
        <f>D12-G12</f>
        <v>-16573721</v>
      </c>
      <c r="K12" s="16"/>
      <c r="L12" s="93"/>
      <c r="M12" s="150"/>
      <c r="N12" s="93"/>
      <c r="O12" s="150"/>
      <c r="P12" s="93"/>
      <c r="Q12" s="150"/>
      <c r="R12" s="93"/>
      <c r="S12" s="150"/>
      <c r="T12" s="93"/>
      <c r="U12" s="150"/>
      <c r="V12" s="93"/>
      <c r="W12" s="150"/>
      <c r="X12" s="146"/>
      <c r="Y12" s="150"/>
      <c r="Z12" s="146"/>
    </row>
    <row r="13" spans="1:26" x14ac:dyDescent="0.25">
      <c r="B13" s="114"/>
      <c r="C13" s="119"/>
      <c r="D13" s="121"/>
      <c r="E13" s="65"/>
      <c r="F13" s="119"/>
      <c r="G13" s="122"/>
      <c r="H13" s="112"/>
      <c r="L13" s="150"/>
      <c r="M13" s="150"/>
      <c r="N13" s="150"/>
      <c r="O13" s="150"/>
      <c r="P13" s="150"/>
      <c r="Q13" s="150"/>
      <c r="R13" s="150"/>
      <c r="S13" s="150"/>
      <c r="T13" s="150"/>
      <c r="U13" s="150"/>
      <c r="V13" s="150"/>
      <c r="W13" s="150"/>
      <c r="X13" s="150"/>
      <c r="Y13" s="150"/>
      <c r="Z13" s="146"/>
    </row>
    <row r="14" spans="1:26" x14ac:dyDescent="0.25">
      <c r="B14" s="111" t="s">
        <v>133</v>
      </c>
      <c r="C14" s="119">
        <v>2</v>
      </c>
      <c r="D14" s="57">
        <f>Detail!E11+SUMIF(Detail!$D$24:$D$61,$C14,Detail!E$24:E$61)-SUMIF(Detail!$D$24:$D$61,$C14,Detail!F$24:F$61)</f>
        <v>15801826</v>
      </c>
      <c r="E14" s="65"/>
      <c r="F14" s="119">
        <v>7</v>
      </c>
      <c r="G14" s="57">
        <f>Detail!F18+SUMIF(Detail!$D$24:$D$61,$F14,Detail!F$24:F$61)-SUMIF(Detail!$D$24:$D$61,$F14,Detail!E$24:E$61)</f>
        <v>98840115</v>
      </c>
      <c r="H14" s="112"/>
      <c r="J14" s="57">
        <f>D14-G14</f>
        <v>-83038289</v>
      </c>
      <c r="K14" s="57"/>
      <c r="L14" s="57"/>
      <c r="M14" s="150"/>
      <c r="N14" s="57"/>
      <c r="O14" s="150"/>
      <c r="P14" s="57"/>
      <c r="Q14" s="150"/>
      <c r="R14" s="57"/>
      <c r="S14" s="150"/>
      <c r="T14" s="57"/>
      <c r="U14" s="150"/>
      <c r="V14" s="57"/>
      <c r="W14" s="150"/>
      <c r="X14" s="154"/>
      <c r="Y14" s="150"/>
      <c r="Z14" s="154"/>
    </row>
    <row r="15" spans="1:26" x14ac:dyDescent="0.25">
      <c r="B15" s="114"/>
      <c r="C15" s="119"/>
      <c r="D15" s="121"/>
      <c r="E15" s="65"/>
      <c r="F15" s="119"/>
      <c r="G15" s="122"/>
      <c r="H15" s="112"/>
      <c r="L15" s="150"/>
      <c r="M15" s="150"/>
      <c r="Q15" s="150"/>
      <c r="R15" s="150"/>
      <c r="S15" s="150"/>
      <c r="T15" s="150"/>
      <c r="U15" s="150"/>
      <c r="V15" s="150"/>
      <c r="W15" s="150"/>
      <c r="X15" s="154"/>
      <c r="Y15" s="150"/>
      <c r="Z15" s="146"/>
    </row>
    <row r="16" spans="1:26" ht="12.75" customHeight="1" x14ac:dyDescent="0.25">
      <c r="B16" s="184" t="s">
        <v>10</v>
      </c>
      <c r="C16" s="119"/>
      <c r="D16" s="57"/>
      <c r="E16" s="65"/>
      <c r="F16" s="119"/>
      <c r="G16" s="57"/>
      <c r="H16" s="112"/>
      <c r="J16" s="17"/>
      <c r="K16" s="17"/>
      <c r="L16" s="150"/>
      <c r="M16" s="150"/>
      <c r="N16" s="316"/>
      <c r="O16" s="316"/>
      <c r="P16" s="316"/>
      <c r="Q16" s="150"/>
      <c r="R16" s="150"/>
      <c r="S16" s="150"/>
      <c r="T16" s="150"/>
      <c r="U16" s="150"/>
      <c r="V16" s="150"/>
      <c r="W16" s="150"/>
      <c r="X16" s="154"/>
      <c r="Y16" s="150"/>
      <c r="Z16" s="146"/>
    </row>
    <row r="17" spans="2:26" x14ac:dyDescent="0.25">
      <c r="B17" s="184" t="s">
        <v>223</v>
      </c>
      <c r="C17" s="119"/>
      <c r="D17" s="121"/>
      <c r="E17" s="65"/>
      <c r="F17" s="119"/>
      <c r="G17" s="122"/>
      <c r="H17" s="112"/>
      <c r="L17" s="150"/>
      <c r="M17" s="150"/>
      <c r="N17" s="191"/>
      <c r="O17" s="186"/>
      <c r="P17" s="191"/>
      <c r="Q17" s="150"/>
      <c r="R17" s="150"/>
      <c r="S17" s="150"/>
      <c r="T17" s="150"/>
      <c r="U17" s="150"/>
      <c r="V17" s="150"/>
      <c r="W17" s="150"/>
      <c r="X17" s="154"/>
      <c r="Y17" s="150"/>
      <c r="Z17" s="146"/>
    </row>
    <row r="18" spans="2:26" x14ac:dyDescent="0.25">
      <c r="B18" s="184" t="s">
        <v>140</v>
      </c>
      <c r="C18" s="119">
        <v>3</v>
      </c>
      <c r="D18" s="57">
        <f>Detail!E12+SUMIF(Detail!$D$24:$D$61,$C18,Detail!E$24:E$61)-SUMIF(Detail!$D$24:$D$61,$C18,Detail!F$24:F$61)</f>
        <v>218929</v>
      </c>
      <c r="E18" s="65"/>
      <c r="F18" s="119">
        <v>8</v>
      </c>
      <c r="G18" s="57">
        <f>Detail!F17+SUMIF(Detail!$D$24:$D$61,$F18,Detail!F$24:F$61)-SUMIF(Detail!$D$24:$D$61,$F18,Detail!E$24:E$61)</f>
        <v>0</v>
      </c>
      <c r="H18" s="112"/>
      <c r="J18" s="57">
        <f>D18-G18</f>
        <v>218929</v>
      </c>
      <c r="K18" s="57"/>
      <c r="L18" s="57"/>
      <c r="M18" s="150"/>
      <c r="N18" s="57"/>
      <c r="O18" s="150"/>
      <c r="P18" s="57"/>
      <c r="Q18" s="150"/>
      <c r="R18" s="57"/>
      <c r="S18" s="150"/>
      <c r="T18" s="57"/>
      <c r="U18" s="150"/>
      <c r="V18" s="57"/>
      <c r="W18" s="150"/>
      <c r="X18" s="154"/>
      <c r="Y18" s="150"/>
      <c r="Z18" s="154"/>
    </row>
    <row r="19" spans="2:26" x14ac:dyDescent="0.25">
      <c r="B19" s="114"/>
      <c r="C19" s="119"/>
      <c r="D19" s="121"/>
      <c r="E19" s="65"/>
      <c r="F19" s="119"/>
      <c r="G19" s="122"/>
      <c r="H19" s="112"/>
      <c r="L19" s="150"/>
      <c r="M19" s="150"/>
      <c r="N19" s="150"/>
      <c r="O19" s="150"/>
      <c r="P19" s="150"/>
      <c r="Q19" s="150"/>
      <c r="R19" s="150"/>
      <c r="S19" s="150"/>
      <c r="T19" s="150"/>
      <c r="U19" s="150"/>
      <c r="V19" s="150"/>
      <c r="W19" s="150"/>
      <c r="X19" s="154"/>
      <c r="Y19" s="150"/>
      <c r="Z19" s="146"/>
    </row>
    <row r="20" spans="2:26" x14ac:dyDescent="0.25">
      <c r="B20" s="111" t="s">
        <v>19</v>
      </c>
      <c r="C20" s="119"/>
      <c r="D20" s="57"/>
      <c r="E20" s="65"/>
      <c r="F20" s="119"/>
      <c r="G20" s="57"/>
      <c r="H20" s="112"/>
      <c r="J20" s="17"/>
      <c r="K20" s="17"/>
      <c r="L20" s="150"/>
      <c r="M20" s="150"/>
      <c r="N20" s="150"/>
      <c r="O20" s="150"/>
      <c r="P20" s="150"/>
      <c r="Q20" s="150"/>
      <c r="R20" s="150"/>
      <c r="S20" s="150"/>
      <c r="T20" s="150"/>
      <c r="U20" s="150"/>
      <c r="V20" s="150"/>
      <c r="W20" s="150"/>
      <c r="X20" s="154"/>
      <c r="Y20" s="150"/>
      <c r="Z20" s="146"/>
    </row>
    <row r="21" spans="2:26" x14ac:dyDescent="0.25">
      <c r="B21" s="111" t="s">
        <v>20</v>
      </c>
      <c r="C21" s="119"/>
      <c r="D21" s="121"/>
      <c r="E21" s="65"/>
      <c r="F21" s="119"/>
      <c r="G21" s="122"/>
      <c r="H21" s="112"/>
      <c r="L21" s="150"/>
      <c r="M21" s="150"/>
      <c r="N21" s="150"/>
      <c r="O21" s="150"/>
      <c r="P21" s="150"/>
      <c r="Q21" s="150"/>
      <c r="R21" s="150"/>
      <c r="S21" s="150"/>
      <c r="T21" s="150"/>
      <c r="U21" s="150"/>
      <c r="V21" s="150"/>
      <c r="W21" s="150"/>
      <c r="X21" s="154"/>
      <c r="Y21" s="150"/>
      <c r="Z21" s="146"/>
    </row>
    <row r="22" spans="2:26" x14ac:dyDescent="0.25">
      <c r="B22" s="111" t="s">
        <v>21</v>
      </c>
      <c r="C22" s="119">
        <v>4</v>
      </c>
      <c r="D22" s="57">
        <f>Detail!E10+SUMIF(Detail!$D$24:$D$61,$C22,Detail!E$24:E$61)-SUMIF(Detail!$D$24:$D$61,$C22,Detail!F$24:F$61)</f>
        <v>24230554</v>
      </c>
      <c r="E22" s="65"/>
      <c r="F22" s="119">
        <v>9</v>
      </c>
      <c r="G22" s="57">
        <f>Detail!F19+SUMIF(Detail!$D$24:$D$61,$F22,Detail!F$24:F$61)-SUMIF(Detail!$D$24:$D$61,$F22,Detail!E$24:E$61)</f>
        <v>24463935</v>
      </c>
      <c r="H22" s="112"/>
      <c r="J22" s="95">
        <f>D22-G22</f>
        <v>-233381</v>
      </c>
      <c r="K22" s="57"/>
      <c r="L22" s="57"/>
      <c r="M22" s="150"/>
      <c r="N22" s="57"/>
      <c r="O22" s="150"/>
      <c r="P22" s="57"/>
      <c r="Q22" s="150"/>
      <c r="R22" s="57"/>
      <c r="S22" s="150"/>
      <c r="T22" s="57"/>
      <c r="U22" s="150"/>
      <c r="V22" s="57"/>
      <c r="W22" s="150"/>
      <c r="X22" s="154"/>
      <c r="Y22" s="150"/>
      <c r="Z22" s="154"/>
    </row>
    <row r="23" spans="2:26" ht="13.8" thickBot="1" x14ac:dyDescent="0.3">
      <c r="B23" s="111"/>
      <c r="C23" s="119"/>
      <c r="D23" s="121"/>
      <c r="E23" s="65"/>
      <c r="F23" s="119"/>
      <c r="G23" s="122"/>
      <c r="H23" s="112"/>
      <c r="J23" s="103">
        <f>J12+J14+J18+J22</f>
        <v>-99626462</v>
      </c>
      <c r="K23" s="146"/>
      <c r="L23" s="150"/>
      <c r="M23" s="150"/>
      <c r="N23" s="150"/>
      <c r="O23" s="150"/>
      <c r="P23" s="150"/>
      <c r="Q23" s="150"/>
      <c r="R23" s="150"/>
      <c r="S23" s="150"/>
      <c r="T23" s="150"/>
      <c r="U23" s="150"/>
      <c r="V23" s="150"/>
      <c r="W23" s="150"/>
      <c r="X23" s="146"/>
      <c r="Y23" s="150"/>
      <c r="Z23" s="146"/>
    </row>
    <row r="24" spans="2:26" ht="13.8" thickTop="1" x14ac:dyDescent="0.25">
      <c r="B24" s="111" t="s">
        <v>11</v>
      </c>
      <c r="C24" s="119"/>
      <c r="D24" s="57"/>
      <c r="E24" s="65"/>
      <c r="F24" s="119"/>
      <c r="G24" s="57"/>
      <c r="H24" s="112"/>
      <c r="J24" s="17"/>
      <c r="K24" s="17"/>
      <c r="L24" s="150"/>
      <c r="M24" s="150"/>
      <c r="N24" s="150"/>
      <c r="O24" s="150"/>
      <c r="P24" s="150"/>
      <c r="Q24" s="150"/>
      <c r="R24" s="150"/>
      <c r="S24" s="150"/>
      <c r="T24" s="150"/>
      <c r="U24" s="150"/>
      <c r="V24" s="150"/>
      <c r="W24" s="150"/>
      <c r="X24" s="154"/>
      <c r="Y24" s="150"/>
      <c r="Z24" s="150"/>
    </row>
    <row r="25" spans="2:26" ht="13.8" x14ac:dyDescent="0.3">
      <c r="B25" s="111" t="s">
        <v>12</v>
      </c>
      <c r="C25" s="119">
        <v>5</v>
      </c>
      <c r="D25" s="57">
        <f>SUMIF(Detail!$D$24:$D$61,$C25,Detail!E$24:E$61)</f>
        <v>0</v>
      </c>
      <c r="E25" s="65"/>
      <c r="F25" s="119"/>
      <c r="G25" s="57">
        <v>0</v>
      </c>
      <c r="H25" s="112"/>
      <c r="J25" s="57"/>
      <c r="K25" s="57"/>
      <c r="L25" s="155"/>
      <c r="M25" s="150"/>
      <c r="N25" s="155"/>
      <c r="O25" s="150"/>
      <c r="P25" s="57"/>
      <c r="Q25" s="150"/>
      <c r="R25" s="57"/>
      <c r="S25" s="150"/>
      <c r="T25" s="57"/>
      <c r="U25" s="150"/>
      <c r="V25" s="57"/>
      <c r="W25" s="150"/>
      <c r="X25" s="154"/>
      <c r="Y25" s="150"/>
      <c r="Z25" s="150"/>
    </row>
    <row r="26" spans="2:26" ht="14.4" customHeight="1" thickBot="1" x14ac:dyDescent="0.3">
      <c r="B26" s="123" t="s">
        <v>13</v>
      </c>
      <c r="C26" s="65"/>
      <c r="D26" s="124">
        <f>SUM(D12:D25)</f>
        <v>40251309</v>
      </c>
      <c r="E26" s="65"/>
      <c r="F26" s="65"/>
      <c r="G26" s="124">
        <f>SUM(G12:G25)</f>
        <v>139877771</v>
      </c>
      <c r="H26" s="112"/>
      <c r="J26" s="6"/>
      <c r="K26" s="6"/>
      <c r="L26" s="59"/>
      <c r="M26" s="150"/>
      <c r="N26" s="59"/>
      <c r="O26" s="150"/>
      <c r="P26" s="59"/>
      <c r="Q26" s="150"/>
      <c r="R26" s="59"/>
      <c r="S26" s="150"/>
      <c r="T26" s="59"/>
      <c r="U26" s="150"/>
      <c r="V26" s="59"/>
      <c r="W26" s="150"/>
      <c r="X26" s="150"/>
      <c r="Y26" s="150"/>
      <c r="Z26" s="150"/>
    </row>
    <row r="27" spans="2:26" ht="14.4" customHeight="1" thickTop="1" x14ac:dyDescent="0.25">
      <c r="B27" s="123"/>
      <c r="C27" s="65"/>
      <c r="D27" s="59"/>
      <c r="E27" s="65"/>
      <c r="F27" s="65"/>
      <c r="G27" s="59"/>
      <c r="H27" s="112"/>
      <c r="J27" s="59"/>
      <c r="K27" s="59"/>
    </row>
    <row r="28" spans="2:26" ht="63.9" customHeight="1" x14ac:dyDescent="0.25">
      <c r="B28" s="308" t="s">
        <v>224</v>
      </c>
      <c r="C28" s="309"/>
      <c r="D28" s="309"/>
      <c r="E28" s="309"/>
      <c r="F28" s="309"/>
      <c r="G28" s="309"/>
      <c r="H28" s="310"/>
      <c r="J28" s="59"/>
      <c r="K28" s="59"/>
      <c r="L28" s="307"/>
      <c r="M28" s="307"/>
      <c r="N28" s="307"/>
      <c r="O28" s="307"/>
      <c r="P28" s="307"/>
      <c r="Q28" s="307"/>
    </row>
    <row r="29" spans="2:26" x14ac:dyDescent="0.25">
      <c r="B29" s="123"/>
      <c r="C29" s="65"/>
      <c r="D29" s="59"/>
      <c r="E29" s="65"/>
      <c r="F29" s="65"/>
      <c r="G29" s="59"/>
      <c r="H29" s="112"/>
    </row>
    <row r="30" spans="2:26" x14ac:dyDescent="0.25">
      <c r="B30" s="125" t="s">
        <v>225</v>
      </c>
      <c r="C30" s="65"/>
      <c r="D30" s="59"/>
      <c r="E30" s="65"/>
      <c r="F30" s="65"/>
      <c r="G30" s="59"/>
      <c r="H30" s="112"/>
    </row>
    <row r="31" spans="2:26" ht="12.75" customHeight="1" x14ac:dyDescent="0.25">
      <c r="B31" s="126"/>
      <c r="C31" s="127"/>
      <c r="D31" s="127"/>
      <c r="E31" s="127"/>
      <c r="F31" s="127"/>
      <c r="G31" s="127"/>
      <c r="H31" s="128"/>
    </row>
    <row r="32" spans="2:26" ht="15.75" customHeight="1" x14ac:dyDescent="0.25">
      <c r="B32" s="2"/>
    </row>
    <row r="33" spans="1:25" x14ac:dyDescent="0.25">
      <c r="A33" s="2" t="s">
        <v>28</v>
      </c>
      <c r="B33" s="108" t="s">
        <v>149</v>
      </c>
      <c r="C33" s="109"/>
      <c r="D33" s="109"/>
      <c r="E33" s="109"/>
      <c r="F33" s="109"/>
      <c r="G33" s="109"/>
      <c r="H33" s="110"/>
    </row>
    <row r="34" spans="1:25" x14ac:dyDescent="0.25">
      <c r="A34" s="2"/>
      <c r="B34" s="111" t="s">
        <v>150</v>
      </c>
      <c r="C34" s="65"/>
      <c r="D34" s="65"/>
      <c r="E34" s="65"/>
      <c r="F34" s="65"/>
      <c r="G34" s="65"/>
      <c r="H34" s="112"/>
    </row>
    <row r="35" spans="1:25" s="102" customFormat="1" x14ac:dyDescent="0.25">
      <c r="A35" s="2"/>
      <c r="B35" s="111" t="s">
        <v>226</v>
      </c>
      <c r="C35" s="65"/>
      <c r="D35" s="65"/>
      <c r="E35" s="65"/>
      <c r="F35" s="65"/>
      <c r="G35" s="65"/>
      <c r="H35" s="112"/>
      <c r="K35" s="144"/>
      <c r="L35" s="150"/>
      <c r="M35" s="150"/>
      <c r="N35" s="150"/>
      <c r="O35" s="150"/>
      <c r="P35" s="150"/>
      <c r="Y35" s="152"/>
    </row>
    <row r="36" spans="1:25" x14ac:dyDescent="0.25">
      <c r="B36" s="129"/>
      <c r="C36" s="65"/>
      <c r="D36" s="65"/>
      <c r="E36" s="65"/>
      <c r="F36" s="65"/>
      <c r="G36" s="65"/>
      <c r="H36" s="112"/>
      <c r="L36" s="5"/>
      <c r="M36" s="150"/>
      <c r="N36" s="5"/>
      <c r="O36" s="150"/>
      <c r="P36" s="5"/>
    </row>
    <row r="37" spans="1:25" x14ac:dyDescent="0.25">
      <c r="B37" s="111" t="s">
        <v>29</v>
      </c>
      <c r="C37" s="65"/>
      <c r="D37" s="116"/>
      <c r="E37" s="65"/>
      <c r="F37" s="65"/>
      <c r="G37" s="65"/>
      <c r="H37" s="112"/>
      <c r="L37" s="150"/>
      <c r="M37" s="150"/>
      <c r="N37" s="150"/>
      <c r="O37" s="150"/>
      <c r="P37" s="150"/>
    </row>
    <row r="38" spans="1:25" ht="13.8" x14ac:dyDescent="0.3">
      <c r="B38" s="129">
        <v>2021</v>
      </c>
      <c r="C38" s="65"/>
      <c r="D38" s="93">
        <f>VLOOKUP(Info!B9,Data!B:X,16,FALSE)</f>
        <v>-34166924</v>
      </c>
      <c r="E38" s="65"/>
      <c r="F38" s="130"/>
      <c r="G38" s="65"/>
      <c r="H38" s="112"/>
      <c r="L38" s="93"/>
      <c r="M38" s="150"/>
      <c r="N38" s="93"/>
      <c r="O38" s="150"/>
      <c r="P38" s="146"/>
    </row>
    <row r="39" spans="1:25" ht="13.8" x14ac:dyDescent="0.3">
      <c r="B39" s="123">
        <v>2022</v>
      </c>
      <c r="C39" s="65"/>
      <c r="D39" s="131">
        <f>VLOOKUP(Info!B9,Data!B:X,17,FALSE)</f>
        <v>-34166924</v>
      </c>
      <c r="E39" s="65"/>
      <c r="F39" s="130"/>
      <c r="G39" s="65"/>
      <c r="H39" s="112"/>
      <c r="L39" s="131"/>
      <c r="M39" s="150"/>
      <c r="N39" s="131"/>
      <c r="O39" s="150"/>
      <c r="P39" s="131"/>
    </row>
    <row r="40" spans="1:25" ht="13.8" x14ac:dyDescent="0.3">
      <c r="B40" s="123">
        <v>2023</v>
      </c>
      <c r="C40" s="65"/>
      <c r="D40" s="131">
        <f>VLOOKUP(Info!B9,Data!B:X,18,FALSE)</f>
        <v>-34135271</v>
      </c>
      <c r="E40" s="65"/>
      <c r="F40" s="130"/>
      <c r="G40" s="65"/>
      <c r="H40" s="112"/>
      <c r="L40" s="131"/>
      <c r="M40" s="150"/>
      <c r="N40" s="131"/>
      <c r="O40" s="150"/>
      <c r="P40" s="131"/>
    </row>
    <row r="41" spans="1:25" ht="13.8" x14ac:dyDescent="0.3">
      <c r="B41" s="123">
        <v>2024</v>
      </c>
      <c r="C41" s="65"/>
      <c r="D41" s="131">
        <f>VLOOKUP(Info!B9,Data!B:X,19,FALSE)</f>
        <v>-2362427</v>
      </c>
      <c r="E41" s="65"/>
      <c r="F41" s="130"/>
      <c r="G41" s="115"/>
      <c r="H41" s="112"/>
      <c r="K41" s="2"/>
      <c r="L41" s="131"/>
      <c r="M41" s="150"/>
      <c r="N41" s="131"/>
      <c r="O41" s="150"/>
      <c r="P41" s="131"/>
    </row>
    <row r="42" spans="1:25" ht="13.8" x14ac:dyDescent="0.3">
      <c r="B42" s="123">
        <v>2025</v>
      </c>
      <c r="C42" s="65"/>
      <c r="D42" s="132">
        <f>VLOOKUP(Info!B9,Data!B:W,20,FALSE)+VLOOKUP(Info!B9,Data!B:W,22,FALSE)</f>
        <v>5205084</v>
      </c>
      <c r="E42" s="65"/>
      <c r="F42" s="130"/>
      <c r="G42" s="65"/>
      <c r="H42" s="112"/>
      <c r="J42" s="153" t="s">
        <v>135</v>
      </c>
      <c r="L42" s="131"/>
      <c r="M42" s="150"/>
      <c r="N42" s="131"/>
      <c r="O42" s="150"/>
      <c r="P42" s="131"/>
    </row>
    <row r="43" spans="1:25" ht="14.4" customHeight="1" thickBot="1" x14ac:dyDescent="0.35">
      <c r="B43" s="133" t="s">
        <v>13</v>
      </c>
      <c r="C43" s="65"/>
      <c r="D43" s="134">
        <f>SUM(D38:D42)</f>
        <v>-99626462</v>
      </c>
      <c r="E43" s="65"/>
      <c r="F43" s="130"/>
      <c r="G43" s="65"/>
      <c r="H43" s="112"/>
      <c r="L43" s="146"/>
      <c r="M43" s="150"/>
      <c r="N43" s="146"/>
      <c r="O43" s="150"/>
      <c r="P43" s="146"/>
    </row>
    <row r="44" spans="1:25" ht="8.1" customHeight="1" thickTop="1" x14ac:dyDescent="0.25">
      <c r="B44" s="114"/>
      <c r="C44" s="65"/>
      <c r="D44" s="65"/>
      <c r="E44" s="65"/>
      <c r="F44" s="65"/>
      <c r="G44" s="65"/>
      <c r="H44" s="112"/>
    </row>
    <row r="45" spans="1:25" x14ac:dyDescent="0.25">
      <c r="B45" s="111" t="s">
        <v>227</v>
      </c>
      <c r="C45" s="65"/>
      <c r="D45" s="65"/>
      <c r="E45" s="65"/>
      <c r="F45" s="65"/>
      <c r="G45" s="65"/>
      <c r="H45" s="112"/>
    </row>
    <row r="46" spans="1:25" x14ac:dyDescent="0.25">
      <c r="B46" s="111" t="s">
        <v>228</v>
      </c>
      <c r="C46" s="65"/>
      <c r="D46" s="65"/>
      <c r="E46" s="65"/>
      <c r="F46" s="65"/>
      <c r="G46" s="65"/>
      <c r="H46" s="112"/>
    </row>
    <row r="47" spans="1:25" x14ac:dyDescent="0.25">
      <c r="B47" s="111"/>
      <c r="C47" s="65"/>
      <c r="D47" s="65"/>
      <c r="E47" s="65"/>
      <c r="F47" s="65"/>
      <c r="G47" s="65"/>
      <c r="H47" s="112"/>
    </row>
    <row r="48" spans="1:25" x14ac:dyDescent="0.25">
      <c r="B48" s="135" t="s">
        <v>229</v>
      </c>
      <c r="C48" s="65"/>
      <c r="D48" s="65"/>
      <c r="E48" s="65"/>
      <c r="F48" s="65"/>
      <c r="G48" s="65"/>
      <c r="H48" s="112"/>
    </row>
    <row r="49" spans="1:25" ht="12.75" customHeight="1" x14ac:dyDescent="0.25">
      <c r="B49" s="136"/>
      <c r="C49" s="127"/>
      <c r="D49" s="127"/>
      <c r="E49" s="127"/>
      <c r="F49" s="127"/>
      <c r="G49" s="127"/>
      <c r="H49" s="128"/>
    </row>
    <row r="50" spans="1:25" ht="15.75" customHeight="1" x14ac:dyDescent="0.25"/>
    <row r="51" spans="1:25" x14ac:dyDescent="0.25">
      <c r="A51" s="2" t="s">
        <v>31</v>
      </c>
      <c r="B51" s="108" t="s">
        <v>151</v>
      </c>
      <c r="C51" s="109"/>
      <c r="D51" s="109"/>
      <c r="E51" s="109"/>
      <c r="F51" s="109"/>
      <c r="G51" s="109"/>
      <c r="H51" s="110"/>
    </row>
    <row r="52" spans="1:25" x14ac:dyDescent="0.25">
      <c r="A52" s="2"/>
      <c r="B52" s="111" t="s">
        <v>230</v>
      </c>
      <c r="C52" s="65"/>
      <c r="D52" s="65"/>
      <c r="E52" s="65"/>
      <c r="F52" s="65"/>
      <c r="G52" s="65"/>
      <c r="H52" s="112"/>
    </row>
    <row r="53" spans="1:25" s="102" customFormat="1" x14ac:dyDescent="0.25">
      <c r="A53" s="2"/>
      <c r="B53" s="137" t="s">
        <v>752</v>
      </c>
      <c r="C53" s="65"/>
      <c r="D53" s="65"/>
      <c r="E53" s="65"/>
      <c r="F53" s="65"/>
      <c r="G53" s="65"/>
      <c r="H53" s="112"/>
      <c r="K53" s="144"/>
      <c r="Y53" s="152"/>
    </row>
    <row r="54" spans="1:25" x14ac:dyDescent="0.25">
      <c r="B54" s="114"/>
      <c r="C54" s="65"/>
      <c r="D54" s="65"/>
      <c r="E54" s="65"/>
      <c r="F54" s="65"/>
      <c r="G54" s="65"/>
      <c r="H54" s="112"/>
      <c r="L54" s="5"/>
      <c r="M54" s="150"/>
      <c r="N54" s="5"/>
      <c r="O54" s="150"/>
      <c r="P54" s="5"/>
    </row>
    <row r="55" spans="1:25" ht="14.4" thickBot="1" x14ac:dyDescent="0.35">
      <c r="B55" s="111" t="s">
        <v>32</v>
      </c>
      <c r="C55" s="65"/>
      <c r="D55" s="138">
        <f>D25</f>
        <v>0</v>
      </c>
      <c r="E55" s="65"/>
      <c r="F55" s="130"/>
      <c r="G55" s="115"/>
      <c r="H55" s="112"/>
      <c r="J55" s="153" t="s">
        <v>134</v>
      </c>
      <c r="K55" s="2"/>
      <c r="L55" s="154"/>
      <c r="M55" s="150"/>
      <c r="N55" s="154"/>
      <c r="O55" s="150"/>
      <c r="P55" s="146"/>
    </row>
    <row r="56" spans="1:25" ht="13.8" thickTop="1" x14ac:dyDescent="0.25">
      <c r="B56" s="111"/>
      <c r="C56" s="65"/>
      <c r="D56" s="93"/>
      <c r="E56" s="65"/>
      <c r="F56" s="65"/>
      <c r="G56" s="65"/>
      <c r="H56" s="112"/>
    </row>
    <row r="57" spans="1:25" x14ac:dyDescent="0.25">
      <c r="B57" s="135" t="s">
        <v>231</v>
      </c>
      <c r="C57" s="65"/>
      <c r="D57" s="93"/>
      <c r="E57" s="65"/>
      <c r="F57" s="65"/>
      <c r="G57" s="65"/>
      <c r="H57" s="112"/>
    </row>
    <row r="58" spans="1:25" ht="12.75" customHeight="1" x14ac:dyDescent="0.25">
      <c r="B58" s="126"/>
      <c r="C58" s="127"/>
      <c r="D58" s="127"/>
      <c r="E58" s="127"/>
      <c r="F58" s="127"/>
      <c r="G58" s="127"/>
      <c r="H58" s="128"/>
    </row>
    <row r="59" spans="1:25" ht="15.75" customHeight="1" x14ac:dyDescent="0.25"/>
    <row r="60" spans="1:25" x14ac:dyDescent="0.25">
      <c r="A60" s="2" t="s">
        <v>123</v>
      </c>
      <c r="B60" s="139" t="s">
        <v>126</v>
      </c>
      <c r="C60" s="109"/>
      <c r="D60" s="109"/>
      <c r="E60" s="109"/>
      <c r="F60" s="109"/>
      <c r="G60" s="109"/>
      <c r="H60" s="110"/>
    </row>
    <row r="61" spans="1:25" x14ac:dyDescent="0.25">
      <c r="B61" s="114"/>
      <c r="C61" s="65"/>
      <c r="D61" s="65"/>
      <c r="E61" s="65"/>
      <c r="F61" s="65"/>
      <c r="G61" s="65"/>
      <c r="H61" s="112"/>
    </row>
    <row r="62" spans="1:25" x14ac:dyDescent="0.25">
      <c r="B62" s="140"/>
      <c r="C62" s="119"/>
      <c r="D62" s="207" t="s">
        <v>232</v>
      </c>
      <c r="E62" s="119"/>
      <c r="F62" s="119"/>
      <c r="G62" s="119"/>
      <c r="H62" s="112"/>
      <c r="I62" s="18"/>
      <c r="J62" s="18"/>
      <c r="K62" s="18"/>
      <c r="L62" s="316"/>
      <c r="M62" s="316"/>
      <c r="N62" s="316"/>
      <c r="O62" s="316"/>
      <c r="P62" s="316"/>
    </row>
    <row r="63" spans="1:25" x14ac:dyDescent="0.25">
      <c r="B63" s="140"/>
      <c r="C63" s="119"/>
      <c r="D63" s="141" t="s">
        <v>125</v>
      </c>
      <c r="E63" s="119"/>
      <c r="F63" s="119"/>
      <c r="G63" s="119"/>
      <c r="H63" s="112"/>
      <c r="I63" s="5"/>
      <c r="J63" s="5"/>
      <c r="K63" s="5"/>
      <c r="L63" s="5"/>
      <c r="M63" s="150"/>
      <c r="N63" s="5"/>
      <c r="O63" s="150"/>
      <c r="P63" s="4"/>
    </row>
    <row r="64" spans="1:25" x14ac:dyDescent="0.25">
      <c r="B64" s="111" t="s">
        <v>753</v>
      </c>
      <c r="C64" s="65"/>
      <c r="D64" s="142">
        <f>Detail!F15</f>
        <v>287017119</v>
      </c>
      <c r="E64" s="65"/>
      <c r="F64" s="65"/>
      <c r="G64" s="271"/>
      <c r="H64" s="112"/>
      <c r="L64" s="142"/>
      <c r="M64" s="150"/>
      <c r="N64" s="142"/>
      <c r="O64" s="150"/>
      <c r="P64" s="146"/>
    </row>
    <row r="65" spans="2:25" hidden="1" x14ac:dyDescent="0.25">
      <c r="B65" s="114" t="s">
        <v>152</v>
      </c>
      <c r="C65" s="65"/>
      <c r="D65" s="131">
        <v>0</v>
      </c>
      <c r="E65" s="65"/>
      <c r="F65" s="65"/>
      <c r="G65" s="271"/>
      <c r="H65" s="112"/>
      <c r="L65" s="131"/>
      <c r="M65" s="150"/>
      <c r="N65" s="131"/>
      <c r="O65" s="150"/>
      <c r="P65" s="131"/>
    </row>
    <row r="66" spans="2:25" x14ac:dyDescent="0.25">
      <c r="B66" s="205" t="s">
        <v>124</v>
      </c>
      <c r="C66" s="65"/>
      <c r="D66" s="131">
        <f>Detail!F43</f>
        <v>41744379</v>
      </c>
      <c r="E66" s="65"/>
      <c r="F66" s="65"/>
      <c r="G66" s="271"/>
      <c r="H66" s="112"/>
      <c r="L66" s="131"/>
      <c r="M66" s="150"/>
      <c r="N66" s="131"/>
      <c r="O66" s="150"/>
      <c r="P66" s="131"/>
    </row>
    <row r="67" spans="2:25" x14ac:dyDescent="0.25">
      <c r="B67" s="251" t="s">
        <v>145</v>
      </c>
      <c r="C67" s="65"/>
      <c r="D67" s="131">
        <f>-Detail!E32</f>
        <v>0</v>
      </c>
      <c r="E67" s="65"/>
      <c r="F67" s="65"/>
      <c r="G67" s="271"/>
      <c r="H67" s="112"/>
      <c r="L67" s="131"/>
      <c r="M67" s="150"/>
      <c r="N67" s="131"/>
      <c r="O67" s="150"/>
      <c r="P67" s="131"/>
    </row>
    <row r="68" spans="2:25" ht="14.4" customHeight="1" thickBot="1" x14ac:dyDescent="0.3">
      <c r="B68" s="111" t="s">
        <v>754</v>
      </c>
      <c r="C68" s="65"/>
      <c r="D68" s="134">
        <f>SUM(D64:D67)</f>
        <v>328761498</v>
      </c>
      <c r="E68" s="65"/>
      <c r="F68" s="65"/>
      <c r="G68" s="271"/>
      <c r="H68" s="112"/>
      <c r="L68" s="142"/>
      <c r="M68" s="150"/>
      <c r="N68" s="142"/>
      <c r="O68" s="150"/>
      <c r="P68" s="142"/>
      <c r="Q68" s="148"/>
      <c r="R68" s="151"/>
    </row>
    <row r="69" spans="2:25" ht="13.8" thickTop="1" x14ac:dyDescent="0.25">
      <c r="B69" s="114"/>
      <c r="C69" s="65"/>
      <c r="D69" s="142"/>
      <c r="E69" s="65"/>
      <c r="F69" s="65"/>
      <c r="G69" s="65"/>
      <c r="H69" s="112"/>
      <c r="L69" s="150"/>
      <c r="M69" s="150"/>
      <c r="N69" s="150"/>
      <c r="O69" s="150"/>
      <c r="P69" s="150"/>
      <c r="Q69" s="148"/>
      <c r="R69" s="151"/>
    </row>
    <row r="70" spans="2:25" x14ac:dyDescent="0.25">
      <c r="B70" s="111" t="s">
        <v>153</v>
      </c>
      <c r="C70" s="65"/>
      <c r="D70" s="143">
        <v>0</v>
      </c>
      <c r="E70" s="65"/>
      <c r="F70" s="65"/>
      <c r="G70" s="65"/>
      <c r="H70" s="112"/>
      <c r="L70" s="142"/>
      <c r="M70" s="150"/>
      <c r="N70" s="142"/>
      <c r="O70" s="150"/>
      <c r="P70" s="142"/>
      <c r="Q70" s="148"/>
    </row>
    <row r="71" spans="2:25" x14ac:dyDescent="0.25">
      <c r="B71" s="114"/>
      <c r="C71" s="65"/>
      <c r="D71" s="65"/>
      <c r="E71" s="65"/>
      <c r="F71" s="65"/>
      <c r="G71" s="65"/>
      <c r="H71" s="112"/>
    </row>
    <row r="72" spans="2:25" s="101" customFormat="1" ht="81.900000000000006" customHeight="1" x14ac:dyDescent="0.25">
      <c r="B72" s="314" t="s">
        <v>233</v>
      </c>
      <c r="C72" s="297"/>
      <c r="D72" s="297"/>
      <c r="E72" s="297"/>
      <c r="F72" s="297"/>
      <c r="G72" s="297"/>
      <c r="H72" s="315"/>
      <c r="K72" s="144"/>
      <c r="L72" s="317"/>
      <c r="M72" s="317"/>
      <c r="N72" s="317"/>
      <c r="O72" s="317"/>
      <c r="P72" s="317"/>
      <c r="Y72" s="152"/>
    </row>
    <row r="73" spans="2:25" ht="92.1" customHeight="1" x14ac:dyDescent="0.25">
      <c r="B73" s="311" t="s">
        <v>234</v>
      </c>
      <c r="C73" s="312"/>
      <c r="D73" s="312"/>
      <c r="E73" s="312"/>
      <c r="F73" s="312"/>
      <c r="G73" s="312"/>
      <c r="H73" s="313"/>
      <c r="L73" s="318"/>
      <c r="M73" s="318"/>
      <c r="N73" s="318"/>
      <c r="O73" s="318"/>
      <c r="P73" s="318"/>
    </row>
    <row r="74" spans="2:25" ht="12.75" customHeight="1" x14ac:dyDescent="0.25">
      <c r="B74" s="126"/>
      <c r="C74" s="127"/>
      <c r="D74" s="127"/>
      <c r="E74" s="127"/>
      <c r="F74" s="127"/>
      <c r="G74" s="127"/>
      <c r="H74" s="128"/>
    </row>
    <row r="81" spans="7:7" x14ac:dyDescent="0.25">
      <c r="G81" s="16"/>
    </row>
  </sheetData>
  <sheetProtection algorithmName="SHA-512" hashValue="PCeQ61WtgSHYzRzi3a2aJ7EhgEzPMZwmtLki9fLvhpFviR4K7QIWkv+dwylr3gtdXJt4FkCLriWen7pH6W3vRA==" saltValue="f3H6XOXpN5kNDoL80m4TuA==" spinCount="100000" sheet="1" objects="1" scenarios="1"/>
  <mergeCells count="12">
    <mergeCell ref="X9:Z9"/>
    <mergeCell ref="B73:H73"/>
    <mergeCell ref="B72:H72"/>
    <mergeCell ref="L62:P62"/>
    <mergeCell ref="L72:P72"/>
    <mergeCell ref="L73:P73"/>
    <mergeCell ref="N16:P16"/>
    <mergeCell ref="L8:N8"/>
    <mergeCell ref="L9:P9"/>
    <mergeCell ref="R9:V9"/>
    <mergeCell ref="L28:Q28"/>
    <mergeCell ref="B28:H28"/>
  </mergeCells>
  <pageMargins left="0.45" right="0.45" top="0.5" bottom="0.5" header="0.3" footer="0.3"/>
  <pageSetup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03"/>
  <sheetViews>
    <sheetView workbookViewId="0">
      <pane xSplit="2" ySplit="3" topLeftCell="C4" activePane="bottomRight" state="frozen"/>
      <selection pane="topRight" activeCell="C1" sqref="C1"/>
      <selection pane="bottomLeft" activeCell="A4" sqref="A4"/>
      <selection pane="bottomRight" activeCell="A85" sqref="A85:XFD92"/>
    </sheetView>
  </sheetViews>
  <sheetFormatPr defaultRowHeight="13.2" x14ac:dyDescent="0.25"/>
  <cols>
    <col min="1" max="1" width="49.6640625" bestFit="1" customWidth="1"/>
    <col min="2" max="2" width="11.6640625" bestFit="1" customWidth="1"/>
    <col min="3" max="3" width="15.6640625" customWidth="1"/>
    <col min="4" max="4" width="10.33203125" customWidth="1"/>
    <col min="5" max="5" width="13.44140625" customWidth="1"/>
    <col min="6" max="7" width="11.6640625" customWidth="1"/>
    <col min="8" max="8" width="13.33203125" customWidth="1"/>
    <col min="9" max="13" width="20.6640625" customWidth="1"/>
    <col min="14" max="14" width="11.6640625" customWidth="1"/>
    <col min="15" max="15" width="20.6640625" customWidth="1"/>
    <col min="16" max="16" width="11.6640625" customWidth="1"/>
    <col min="17" max="20" width="12.33203125" customWidth="1"/>
    <col min="21" max="21" width="12.44140625" customWidth="1"/>
    <col min="22" max="22" width="17.44140625" customWidth="1"/>
    <col min="23" max="23" width="14.109375" customWidth="1"/>
    <col min="24" max="24" width="6.6640625" customWidth="1"/>
    <col min="25" max="28" width="8.33203125" style="148" customWidth="1"/>
    <col min="29" max="29" width="14.44140625" bestFit="1" customWidth="1"/>
    <col min="30" max="31" width="11.6640625" customWidth="1"/>
    <col min="32" max="32" width="13.33203125" customWidth="1"/>
    <col min="33" max="37" width="20.6640625" customWidth="1"/>
    <col min="38" max="38" width="9.109375" customWidth="1"/>
    <col min="39" max="42" width="20.6640625" customWidth="1"/>
    <col min="43" max="44" width="21.44140625" customWidth="1"/>
    <col min="45" max="45" width="17.6640625" customWidth="1"/>
    <col min="46" max="46" width="17.6640625" style="227" customWidth="1"/>
    <col min="47" max="47" width="16.5546875" customWidth="1"/>
    <col min="48" max="48" width="9.109375" customWidth="1"/>
  </cols>
  <sheetData>
    <row r="1" spans="1:47" x14ac:dyDescent="0.25">
      <c r="B1" s="18">
        <v>1</v>
      </c>
      <c r="C1" s="18">
        <v>2</v>
      </c>
      <c r="D1" s="18">
        <v>3</v>
      </c>
      <c r="E1" s="18">
        <v>4</v>
      </c>
      <c r="F1" s="18">
        <v>5</v>
      </c>
      <c r="G1" s="18">
        <v>6</v>
      </c>
      <c r="H1" s="18">
        <v>7</v>
      </c>
      <c r="I1" s="18">
        <v>8</v>
      </c>
      <c r="J1" s="18">
        <v>9</v>
      </c>
      <c r="K1" s="18">
        <v>10</v>
      </c>
      <c r="L1" s="18">
        <v>11</v>
      </c>
      <c r="M1" s="18">
        <v>12</v>
      </c>
      <c r="N1" s="18">
        <v>13</v>
      </c>
      <c r="O1" s="18">
        <v>14</v>
      </c>
      <c r="P1" s="18">
        <v>15</v>
      </c>
      <c r="Q1" s="18">
        <v>16</v>
      </c>
      <c r="R1" s="18">
        <v>17</v>
      </c>
      <c r="S1" s="18">
        <v>18</v>
      </c>
      <c r="T1" s="18">
        <v>19</v>
      </c>
      <c r="U1" s="18">
        <v>20</v>
      </c>
      <c r="V1" s="18">
        <v>21</v>
      </c>
      <c r="W1" s="18">
        <v>22</v>
      </c>
      <c r="X1" s="18">
        <v>23</v>
      </c>
      <c r="Y1" s="18">
        <v>24</v>
      </c>
      <c r="Z1" s="18">
        <v>25</v>
      </c>
      <c r="AA1" s="18">
        <v>26</v>
      </c>
      <c r="AB1" s="18">
        <v>27</v>
      </c>
      <c r="AC1" s="18">
        <v>28</v>
      </c>
      <c r="AD1" s="18">
        <v>29</v>
      </c>
      <c r="AE1" s="18">
        <v>30</v>
      </c>
      <c r="AF1" s="18">
        <v>31</v>
      </c>
      <c r="AG1" s="18">
        <v>32</v>
      </c>
      <c r="AH1" s="18">
        <v>33</v>
      </c>
      <c r="AI1" s="18">
        <v>34</v>
      </c>
      <c r="AJ1" s="18">
        <v>35</v>
      </c>
      <c r="AK1" s="18">
        <v>36</v>
      </c>
      <c r="AL1" s="18">
        <v>37</v>
      </c>
      <c r="AM1" s="18">
        <v>38</v>
      </c>
      <c r="AN1" s="18">
        <v>39</v>
      </c>
      <c r="AO1" s="18">
        <v>40</v>
      </c>
      <c r="AP1" s="18">
        <v>41</v>
      </c>
      <c r="AQ1" s="18">
        <v>42</v>
      </c>
      <c r="AR1" s="18">
        <v>43</v>
      </c>
      <c r="AS1" s="18">
        <v>44</v>
      </c>
      <c r="AT1" s="18">
        <v>45</v>
      </c>
      <c r="AU1" s="18">
        <v>46</v>
      </c>
    </row>
    <row r="2" spans="1:47" x14ac:dyDescent="0.25">
      <c r="F2" s="319" t="s">
        <v>757</v>
      </c>
      <c r="G2" s="320"/>
      <c r="H2" s="320"/>
      <c r="I2" s="321"/>
      <c r="J2" s="319" t="s">
        <v>758</v>
      </c>
      <c r="K2" s="320"/>
      <c r="L2" s="320"/>
      <c r="M2" s="321"/>
      <c r="N2" s="322" t="s">
        <v>222</v>
      </c>
      <c r="O2" s="323"/>
      <c r="P2" s="323"/>
      <c r="Q2" s="319" t="s">
        <v>121</v>
      </c>
      <c r="R2" s="320"/>
      <c r="S2" s="320"/>
      <c r="T2" s="320"/>
      <c r="U2" s="321"/>
      <c r="AC2" s="178"/>
      <c r="AD2" s="319" t="s">
        <v>552</v>
      </c>
      <c r="AE2" s="320"/>
      <c r="AF2" s="320"/>
      <c r="AG2" s="321"/>
      <c r="AH2" s="319" t="s">
        <v>553</v>
      </c>
      <c r="AI2" s="320"/>
      <c r="AJ2" s="320"/>
      <c r="AK2" s="321"/>
      <c r="AM2" s="180" t="s">
        <v>172</v>
      </c>
      <c r="AN2" s="180" t="s">
        <v>173</v>
      </c>
      <c r="AO2" s="180" t="s">
        <v>172</v>
      </c>
      <c r="AP2" s="180" t="s">
        <v>173</v>
      </c>
      <c r="AQ2" s="209" t="s">
        <v>172</v>
      </c>
      <c r="AR2" s="210" t="s">
        <v>173</v>
      </c>
      <c r="AS2" s="211" t="s">
        <v>242</v>
      </c>
      <c r="AT2" s="248" t="s">
        <v>172</v>
      </c>
      <c r="AU2" s="248" t="s">
        <v>173</v>
      </c>
    </row>
    <row r="3" spans="1:47" ht="120" customHeight="1" x14ac:dyDescent="0.3">
      <c r="A3" s="14" t="s">
        <v>34</v>
      </c>
      <c r="B3" s="14" t="s">
        <v>33</v>
      </c>
      <c r="C3" s="11" t="s">
        <v>35</v>
      </c>
      <c r="D3" s="11" t="s">
        <v>755</v>
      </c>
      <c r="E3" s="13" t="s">
        <v>756</v>
      </c>
      <c r="F3" s="167" t="s">
        <v>116</v>
      </c>
      <c r="G3" s="167" t="s">
        <v>117</v>
      </c>
      <c r="H3" s="167" t="s">
        <v>131</v>
      </c>
      <c r="I3" s="167" t="s">
        <v>115</v>
      </c>
      <c r="J3" s="167" t="s">
        <v>116</v>
      </c>
      <c r="K3" s="167" t="s">
        <v>117</v>
      </c>
      <c r="L3" s="167" t="s">
        <v>131</v>
      </c>
      <c r="M3" s="167" t="s">
        <v>115</v>
      </c>
      <c r="N3" s="12" t="s">
        <v>245</v>
      </c>
      <c r="O3" s="12" t="s">
        <v>119</v>
      </c>
      <c r="P3" s="12" t="s">
        <v>244</v>
      </c>
      <c r="Q3" s="9">
        <v>2021</v>
      </c>
      <c r="R3" s="9">
        <v>2022</v>
      </c>
      <c r="S3" s="9">
        <v>2023</v>
      </c>
      <c r="T3" s="9">
        <v>2024</v>
      </c>
      <c r="U3" s="9">
        <v>2025</v>
      </c>
      <c r="V3" s="11" t="s">
        <v>243</v>
      </c>
      <c r="W3" s="11" t="s">
        <v>122</v>
      </c>
      <c r="X3" s="11" t="s">
        <v>137</v>
      </c>
      <c r="Y3" s="11" t="s">
        <v>194</v>
      </c>
      <c r="Z3" s="11" t="s">
        <v>194</v>
      </c>
      <c r="AA3" s="11" t="s">
        <v>194</v>
      </c>
      <c r="AB3" s="11" t="s">
        <v>194</v>
      </c>
      <c r="AC3" s="220" t="s">
        <v>551</v>
      </c>
      <c r="AD3" s="179" t="s">
        <v>116</v>
      </c>
      <c r="AE3" s="179" t="s">
        <v>117</v>
      </c>
      <c r="AF3" s="179" t="s">
        <v>131</v>
      </c>
      <c r="AG3" s="179" t="s">
        <v>115</v>
      </c>
      <c r="AH3" s="179" t="s">
        <v>116</v>
      </c>
      <c r="AI3" s="179" t="s">
        <v>117</v>
      </c>
      <c r="AJ3" s="179" t="s">
        <v>131</v>
      </c>
      <c r="AK3" s="179" t="s">
        <v>115</v>
      </c>
      <c r="AL3" s="179" t="s">
        <v>194</v>
      </c>
      <c r="AM3" s="179" t="s">
        <v>115</v>
      </c>
      <c r="AN3" s="179" t="s">
        <v>115</v>
      </c>
      <c r="AO3" s="179" t="s">
        <v>116</v>
      </c>
      <c r="AP3" s="179" t="s">
        <v>116</v>
      </c>
      <c r="AQ3" t="s">
        <v>241</v>
      </c>
      <c r="AR3" t="s">
        <v>241</v>
      </c>
      <c r="AS3" t="s">
        <v>242</v>
      </c>
      <c r="AT3" s="249" t="s">
        <v>117</v>
      </c>
      <c r="AU3" s="179" t="s">
        <v>117</v>
      </c>
    </row>
    <row r="4" spans="1:47" x14ac:dyDescent="0.25">
      <c r="A4" t="s">
        <v>37</v>
      </c>
      <c r="B4">
        <v>20100</v>
      </c>
      <c r="C4" s="7">
        <f>VLOOKUP(B4,'ER Contributions'!A:D,4,FALSE)</f>
        <v>11844684</v>
      </c>
      <c r="D4" s="8">
        <f>VLOOKUP(B4,'ER Contributions'!A:D,3,FALSE)</f>
        <v>1.03909E-2</v>
      </c>
      <c r="E4" s="10">
        <f>VLOOKUP(B4,'75 - Summary Exhibit'!A:N,3,FALSE)</f>
        <v>328761498</v>
      </c>
      <c r="F4" s="10">
        <f>VLOOKUP(B4,'75 - Summary Exhibit'!A:N,4,FALSE)</f>
        <v>0</v>
      </c>
      <c r="G4" s="10">
        <f>VLOOKUP(B4,'75 - Summary Exhibit'!A:N,5,FALSE)</f>
        <v>218929</v>
      </c>
      <c r="H4" s="10">
        <f>VLOOKUP(B4,'75 - Summary Exhibit'!A:N,6,FALSE)</f>
        <v>15801826</v>
      </c>
      <c r="I4" s="7">
        <f>VLOOKUP(B4,'75 - Summary Exhibit'!A:N,7,FALSE)</f>
        <v>24230554</v>
      </c>
      <c r="J4" s="7">
        <f>VLOOKUP(B4,'75 - Summary Exhibit'!A:N,8,FALSE)</f>
        <v>16573721</v>
      </c>
      <c r="K4" s="7">
        <f>VLOOKUP(B4,'75 - Summary Exhibit'!A:N,9,FALSE)</f>
        <v>0</v>
      </c>
      <c r="L4" s="7">
        <f>VLOOKUP(B4,'75 - Summary Exhibit'!A:N,10,FALSE)</f>
        <v>98840115</v>
      </c>
      <c r="M4" s="7">
        <f>VLOOKUP(B4,'75 - Summary Exhibit'!A:N,11,FALSE)</f>
        <v>24463935</v>
      </c>
      <c r="N4" s="7">
        <f>VLOOKUP(B4,'75 - Summary Exhibit'!A:N,12,FALSE)</f>
        <v>-4853008</v>
      </c>
      <c r="O4" s="7">
        <f>VLOOKUP(B4,'75 - Summary Exhibit'!A:N,13,FALSE)</f>
        <v>-2676012</v>
      </c>
      <c r="P4" s="7">
        <f t="shared" ref="P4:P34" si="0">N4+O4</f>
        <v>-7529020</v>
      </c>
      <c r="Q4" s="7">
        <f>VLOOKUP(B4,'75- Deferred Amortization'!A:G,3,FALSE)</f>
        <v>-34166924</v>
      </c>
      <c r="R4" s="7">
        <f>VLOOKUP(B4,'75- Deferred Amortization'!A:G,4,FALSE)</f>
        <v>-34166924</v>
      </c>
      <c r="S4" s="7">
        <f>VLOOKUP(B4,'75- Deferred Amortization'!A:G,5,FALSE)</f>
        <v>-34135271</v>
      </c>
      <c r="T4" s="7">
        <f>VLOOKUP(B4,'75- Deferred Amortization'!A:G,6,FALSE)</f>
        <v>-2362427</v>
      </c>
      <c r="U4" s="7">
        <f>VLOOKUP(B4,'75- Deferred Amortization'!A:G,7,FALSE)</f>
        <v>5205083</v>
      </c>
      <c r="V4" s="7">
        <f>ROUND(((F4-AD4)+(G4-AE4)+(H4-AF4)+(I4-AG4)+(AI4-K4)+P4-(E4-AC4)-(J4-AH4)-(L4-AJ4)-(M4-AK4)-C4),0)</f>
        <v>1</v>
      </c>
      <c r="W4" s="7">
        <f t="shared" ref="W4:W35" si="1">ROUND((F4+G4+H4+I4-J4-K4-L4-M4-Q4-R4-S4-T4-U4),0)</f>
        <v>1</v>
      </c>
      <c r="X4">
        <v>1</v>
      </c>
      <c r="AC4" s="10">
        <v>287017119</v>
      </c>
      <c r="AD4" s="10">
        <v>0</v>
      </c>
      <c r="AE4" s="10">
        <v>30867</v>
      </c>
      <c r="AF4" s="10">
        <v>0</v>
      </c>
      <c r="AG4" s="7">
        <v>15813105</v>
      </c>
      <c r="AH4" s="7">
        <v>19627496</v>
      </c>
      <c r="AI4" s="7">
        <v>0</v>
      </c>
      <c r="AJ4" s="7">
        <v>124342442</v>
      </c>
      <c r="AK4" s="7">
        <v>32618580</v>
      </c>
      <c r="AM4" s="7">
        <f>I4-AG4</f>
        <v>8417449</v>
      </c>
      <c r="AN4" s="7">
        <f>M4-AK4</f>
        <v>-8154645</v>
      </c>
      <c r="AO4" s="10">
        <f>F4-AD4</f>
        <v>0</v>
      </c>
      <c r="AP4" s="7">
        <f>J4-AH4</f>
        <v>-3053775</v>
      </c>
      <c r="AQ4" s="10">
        <f>H4-AF4</f>
        <v>15801826</v>
      </c>
      <c r="AR4" s="7">
        <f>L4-AJ4</f>
        <v>-25502327</v>
      </c>
      <c r="AS4" s="10">
        <f>E4-AC4</f>
        <v>41744379</v>
      </c>
      <c r="AT4" s="10">
        <f>G4-AE4</f>
        <v>188062</v>
      </c>
      <c r="AU4" s="7">
        <f>K4-AI4</f>
        <v>0</v>
      </c>
    </row>
    <row r="5" spans="1:47" x14ac:dyDescent="0.25">
      <c r="A5" t="s">
        <v>39</v>
      </c>
      <c r="B5">
        <v>20300</v>
      </c>
      <c r="C5" s="7">
        <f>VLOOKUP(B5,'ER Contributions'!A:D,4,FALSE)</f>
        <v>27087694</v>
      </c>
      <c r="D5" s="8">
        <f>VLOOKUP(B5,'ER Contributions'!A:D,3,FALSE)</f>
        <v>2.43634E-2</v>
      </c>
      <c r="E5" s="10">
        <f>VLOOKUP(B5,'75 - Summary Exhibit'!A:N,3,FALSE)</f>
        <v>770846234</v>
      </c>
      <c r="F5" s="10">
        <f>VLOOKUP(B5,'75 - Summary Exhibit'!A:N,4,FALSE)</f>
        <v>0</v>
      </c>
      <c r="G5" s="10">
        <f>VLOOKUP(B5,'75 - Summary Exhibit'!A:N,5,FALSE)</f>
        <v>513322</v>
      </c>
      <c r="H5" s="10">
        <f>VLOOKUP(B5,'75 - Summary Exhibit'!A:N,6,FALSE)</f>
        <v>37050500</v>
      </c>
      <c r="I5" s="7">
        <f>VLOOKUP(B5,'75 - Summary Exhibit'!A:N,7,FALSE)</f>
        <v>47583304</v>
      </c>
      <c r="J5" s="7">
        <f>VLOOKUP(B5,'75 - Summary Exhibit'!A:N,8,FALSE)</f>
        <v>38860361</v>
      </c>
      <c r="K5" s="7">
        <f>VLOOKUP(B5,'75 - Summary Exhibit'!A:N,9,FALSE)</f>
        <v>0</v>
      </c>
      <c r="L5" s="7">
        <f>VLOOKUP(B5,'75 - Summary Exhibit'!A:N,10,FALSE)</f>
        <v>231750163</v>
      </c>
      <c r="M5" s="7">
        <f>VLOOKUP(B5,'75 - Summary Exhibit'!A:N,11,FALSE)</f>
        <v>72031992</v>
      </c>
      <c r="N5" s="7">
        <f>VLOOKUP(B5,'75 - Summary Exhibit'!A:N,12,FALSE)</f>
        <v>-11378836</v>
      </c>
      <c r="O5" s="7">
        <f>VLOOKUP(B5,'75 - Summary Exhibit'!A:N,13,FALSE)</f>
        <v>-12344108</v>
      </c>
      <c r="P5" s="7">
        <f t="shared" si="0"/>
        <v>-23722944</v>
      </c>
      <c r="Q5" s="7">
        <f>VLOOKUP(B5,'75- Deferred Amortization'!A:G,3,FALSE)</f>
        <v>-86180777</v>
      </c>
      <c r="R5" s="7">
        <f>VLOOKUP(B5,'75- Deferred Amortization'!A:G,4,FALSE)</f>
        <v>-86180777</v>
      </c>
      <c r="S5" s="7">
        <f>VLOOKUP(B5,'75- Deferred Amortization'!A:G,5,FALSE)</f>
        <v>-86106560</v>
      </c>
      <c r="T5" s="7">
        <f>VLOOKUP(B5,'75- Deferred Amortization'!A:G,6,FALSE)</f>
        <v>-6718368</v>
      </c>
      <c r="U5" s="7">
        <f>VLOOKUP(B5,'75- Deferred Amortization'!A:G,7,FALSE)</f>
        <v>7691093</v>
      </c>
      <c r="V5" s="7">
        <f>ROUND(((F5-AD5)+(G5-AE5)+(H5-AF5)+(I5-AG5)+(AI5-K5)+P5-(E5-AC5)-(J5-AH5)-(L5-AJ5)-(M5-AK5)-C5),0)</f>
        <v>-1</v>
      </c>
      <c r="W5" s="7">
        <f t="shared" si="1"/>
        <v>-1</v>
      </c>
      <c r="X5">
        <v>1</v>
      </c>
      <c r="Z5" s="7"/>
      <c r="AC5" s="10">
        <v>690547382</v>
      </c>
      <c r="AD5" s="10">
        <v>0</v>
      </c>
      <c r="AE5" s="10">
        <v>74265</v>
      </c>
      <c r="AF5" s="10">
        <v>0</v>
      </c>
      <c r="AG5" s="7">
        <v>53747255</v>
      </c>
      <c r="AH5" s="7">
        <v>47222675</v>
      </c>
      <c r="AI5" s="7">
        <v>0</v>
      </c>
      <c r="AJ5" s="7">
        <v>299161068</v>
      </c>
      <c r="AK5" s="7">
        <v>96042656</v>
      </c>
      <c r="AM5" s="7">
        <f t="shared" ref="AM5:AM30" si="2">I5-AG5</f>
        <v>-6163951</v>
      </c>
      <c r="AN5" s="7">
        <f t="shared" ref="AN5:AN30" si="3">M5-AK5</f>
        <v>-24010664</v>
      </c>
      <c r="AO5" s="10">
        <f t="shared" ref="AO5:AO68" si="4">F5-AD5</f>
        <v>0</v>
      </c>
      <c r="AP5" s="7">
        <f t="shared" ref="AP5:AP68" si="5">J5-AH5</f>
        <v>-8362314</v>
      </c>
      <c r="AQ5" s="10">
        <f t="shared" ref="AQ5:AQ68" si="6">H5-AF5</f>
        <v>37050500</v>
      </c>
      <c r="AR5" s="7">
        <f t="shared" ref="AR5:AR68" si="7">L5-AJ5</f>
        <v>-67410905</v>
      </c>
      <c r="AS5" s="10">
        <f t="shared" ref="AS5:AS68" si="8">E5-AC5</f>
        <v>80298852</v>
      </c>
      <c r="AT5" s="10">
        <f t="shared" ref="AT5:AT68" si="9">G5-AE5</f>
        <v>439057</v>
      </c>
      <c r="AU5" s="7">
        <f t="shared" ref="AU5:AU68" si="10">K5-AI5</f>
        <v>0</v>
      </c>
    </row>
    <row r="6" spans="1:47" x14ac:dyDescent="0.25">
      <c r="A6" t="s">
        <v>40</v>
      </c>
      <c r="B6">
        <v>20400</v>
      </c>
      <c r="C6" s="7">
        <f>VLOOKUP(B6,'ER Contributions'!A:D,4,FALSE)</f>
        <v>1402858</v>
      </c>
      <c r="D6" s="8">
        <f>VLOOKUP(B6,'ER Contributions'!A:D,3,FALSE)</f>
        <v>1.1263E-3</v>
      </c>
      <c r="E6" s="10">
        <f>VLOOKUP(B6,'75 - Summary Exhibit'!A:N,3,FALSE)</f>
        <v>35634493</v>
      </c>
      <c r="F6" s="10">
        <f>VLOOKUP(B6,'75 - Summary Exhibit'!A:N,4,FALSE)</f>
        <v>0</v>
      </c>
      <c r="G6" s="10">
        <f>VLOOKUP(B6,'75 - Summary Exhibit'!A:N,5,FALSE)</f>
        <v>23730</v>
      </c>
      <c r="H6" s="10">
        <f>VLOOKUP(B6,'75 - Summary Exhibit'!A:N,6,FALSE)</f>
        <v>1712762</v>
      </c>
      <c r="I6" s="7">
        <f>VLOOKUP(B6,'75 - Summary Exhibit'!A:N,7,FALSE)</f>
        <v>967151</v>
      </c>
      <c r="J6" s="7">
        <f>VLOOKUP(B6,'75 - Summary Exhibit'!A:N,8,FALSE)</f>
        <v>1796427</v>
      </c>
      <c r="K6" s="7">
        <f>VLOOKUP(B6,'75 - Summary Exhibit'!A:N,9,FALSE)</f>
        <v>0</v>
      </c>
      <c r="L6" s="7">
        <f>VLOOKUP(B6,'75 - Summary Exhibit'!A:N,10,FALSE)</f>
        <v>10713290</v>
      </c>
      <c r="M6" s="7">
        <f>VLOOKUP(B6,'75 - Summary Exhibit'!A:N,11,FALSE)</f>
        <v>3658434</v>
      </c>
      <c r="N6" s="7">
        <f>VLOOKUP(B6,'75 - Summary Exhibit'!A:N,12,FALSE)</f>
        <v>-526018</v>
      </c>
      <c r="O6" s="7">
        <f>VLOOKUP(B6,'75 - Summary Exhibit'!A:N,13,FALSE)</f>
        <v>-981273</v>
      </c>
      <c r="P6" s="7">
        <f t="shared" si="0"/>
        <v>-1507291</v>
      </c>
      <c r="Q6" s="7">
        <f>VLOOKUP(B6,'75- Deferred Amortization'!A:G,3,FALSE)</f>
        <v>-4394576</v>
      </c>
      <c r="R6" s="7">
        <f>VLOOKUP(B6,'75- Deferred Amortization'!A:G,4,FALSE)</f>
        <v>-4394576</v>
      </c>
      <c r="S6" s="7">
        <f>VLOOKUP(B6,'75- Deferred Amortization'!A:G,5,FALSE)</f>
        <v>-4391146</v>
      </c>
      <c r="T6" s="7">
        <f>VLOOKUP(B6,'75- Deferred Amortization'!A:G,6,FALSE)</f>
        <v>-611689</v>
      </c>
      <c r="U6" s="7">
        <f>VLOOKUP(B6,'75- Deferred Amortization'!A:G,7,FALSE)</f>
        <v>327477</v>
      </c>
      <c r="V6" s="7">
        <f>ROUND(((F6-AD6)+(G6-AE6)+(H6-AF6)+(I6-AG6)+(AI6-K6)+P6-(E6-AC6)-(J6-AH6)-(L6-AJ6)-(M6-AK6)-C6),0)</f>
        <v>2</v>
      </c>
      <c r="W6" s="7">
        <f t="shared" si="1"/>
        <v>2</v>
      </c>
      <c r="X6">
        <v>1</v>
      </c>
      <c r="AC6" s="10">
        <v>32134939</v>
      </c>
      <c r="AD6" s="10">
        <v>0</v>
      </c>
      <c r="AE6" s="10">
        <v>3456</v>
      </c>
      <c r="AF6" s="10">
        <v>0</v>
      </c>
      <c r="AG6" s="7">
        <v>1119370</v>
      </c>
      <c r="AH6" s="7">
        <v>2197529</v>
      </c>
      <c r="AI6" s="7">
        <v>0</v>
      </c>
      <c r="AJ6" s="7">
        <v>13921597</v>
      </c>
      <c r="AK6" s="7">
        <v>4877913</v>
      </c>
      <c r="AM6" s="7">
        <f t="shared" si="2"/>
        <v>-152219</v>
      </c>
      <c r="AN6" s="7">
        <f t="shared" si="3"/>
        <v>-1219479</v>
      </c>
      <c r="AO6" s="10">
        <f t="shared" si="4"/>
        <v>0</v>
      </c>
      <c r="AP6" s="7">
        <f t="shared" si="5"/>
        <v>-401102</v>
      </c>
      <c r="AQ6" s="10">
        <f t="shared" si="6"/>
        <v>1712762</v>
      </c>
      <c r="AR6" s="7">
        <f t="shared" si="7"/>
        <v>-3208307</v>
      </c>
      <c r="AS6" s="10">
        <f t="shared" si="8"/>
        <v>3499554</v>
      </c>
      <c r="AT6" s="10">
        <f t="shared" si="9"/>
        <v>20274</v>
      </c>
      <c r="AU6" s="7">
        <f t="shared" si="10"/>
        <v>0</v>
      </c>
    </row>
    <row r="7" spans="1:47" x14ac:dyDescent="0.25">
      <c r="A7" t="s">
        <v>41</v>
      </c>
      <c r="B7">
        <v>20600</v>
      </c>
      <c r="C7" s="7">
        <f>VLOOKUP(B7,'ER Contributions'!A:D,4,FALSE)</f>
        <v>3362040</v>
      </c>
      <c r="D7" s="8">
        <f>VLOOKUP(B7,'ER Contributions'!A:D,3,FALSE)</f>
        <v>2.9204999999999999E-3</v>
      </c>
      <c r="E7" s="10">
        <f>VLOOKUP(B7,'75 - Summary Exhibit'!A:N,3,FALSE)</f>
        <v>92401935</v>
      </c>
      <c r="F7" s="10">
        <f>VLOOKUP(B7,'75 - Summary Exhibit'!A:N,4,FALSE)</f>
        <v>0</v>
      </c>
      <c r="G7" s="10">
        <f>VLOOKUP(B7,'75 - Summary Exhibit'!A:N,5,FALSE)</f>
        <v>61532</v>
      </c>
      <c r="H7" s="10">
        <f>VLOOKUP(B7,'75 - Summary Exhibit'!A:N,6,FALSE)</f>
        <v>4441272</v>
      </c>
      <c r="I7" s="7">
        <f>VLOOKUP(B7,'75 - Summary Exhibit'!A:N,7,FALSE)</f>
        <v>10390746</v>
      </c>
      <c r="J7" s="7">
        <f>VLOOKUP(B7,'75 - Summary Exhibit'!A:N,8,FALSE)</f>
        <v>4658222</v>
      </c>
      <c r="K7" s="7">
        <f>VLOOKUP(B7,'75 - Summary Exhibit'!A:N,9,FALSE)</f>
        <v>0</v>
      </c>
      <c r="L7" s="7">
        <f>VLOOKUP(B7,'75 - Summary Exhibit'!A:N,10,FALSE)</f>
        <v>27780072</v>
      </c>
      <c r="M7" s="7">
        <f>VLOOKUP(B7,'75 - Summary Exhibit'!A:N,11,FALSE)</f>
        <v>5093928</v>
      </c>
      <c r="N7" s="7">
        <f>VLOOKUP(B7,'75 - Summary Exhibit'!A:N,12,FALSE)</f>
        <v>-1363990</v>
      </c>
      <c r="O7" s="7">
        <f>VLOOKUP(B7,'75 - Summary Exhibit'!A:N,13,FALSE)</f>
        <v>768702</v>
      </c>
      <c r="P7" s="7">
        <f t="shared" si="0"/>
        <v>-595288</v>
      </c>
      <c r="Q7" s="7">
        <f>VLOOKUP(B7,'75- Deferred Amortization'!A:G,3,FALSE)</f>
        <v>-8082153</v>
      </c>
      <c r="R7" s="7">
        <f>VLOOKUP(B7,'75- Deferred Amortization'!A:G,4,FALSE)</f>
        <v>-8082153</v>
      </c>
      <c r="S7" s="7">
        <f>VLOOKUP(B7,'75- Deferred Amortization'!A:G,5,FALSE)</f>
        <v>-8073257</v>
      </c>
      <c r="T7" s="7">
        <f>VLOOKUP(B7,'75- Deferred Amortization'!A:G,6,FALSE)</f>
        <v>262867</v>
      </c>
      <c r="U7" s="7">
        <f>VLOOKUP(B7,'75- Deferred Amortization'!A:G,7,FALSE)</f>
        <v>1336026</v>
      </c>
      <c r="V7" s="7">
        <f t="shared" ref="V7:V70" si="11">ROUND(((F7-AD7)+(G7-AE7)+(H7-AF7)+(I7-AG7)+(AI7-K7)+P7-(E7-AC7)-(J7-AH7)-(L7-AJ7)-(M7-AK7)-C7),0)</f>
        <v>-2</v>
      </c>
      <c r="W7" s="7">
        <f t="shared" si="1"/>
        <v>-2</v>
      </c>
      <c r="X7">
        <v>1</v>
      </c>
      <c r="AC7" s="10">
        <v>81198354</v>
      </c>
      <c r="AD7" s="10">
        <v>0</v>
      </c>
      <c r="AE7" s="10">
        <v>8732</v>
      </c>
      <c r="AF7" s="10">
        <v>0</v>
      </c>
      <c r="AG7" s="7">
        <v>9713295</v>
      </c>
      <c r="AH7" s="7">
        <v>5552701</v>
      </c>
      <c r="AI7" s="7">
        <v>0</v>
      </c>
      <c r="AJ7" s="7">
        <v>35177001</v>
      </c>
      <c r="AK7" s="7">
        <v>6791904</v>
      </c>
      <c r="AM7" s="7">
        <f t="shared" si="2"/>
        <v>677451</v>
      </c>
      <c r="AN7" s="7">
        <f t="shared" si="3"/>
        <v>-1697976</v>
      </c>
      <c r="AO7" s="10">
        <f t="shared" si="4"/>
        <v>0</v>
      </c>
      <c r="AP7" s="7">
        <f t="shared" si="5"/>
        <v>-894479</v>
      </c>
      <c r="AQ7" s="10">
        <f t="shared" si="6"/>
        <v>4441272</v>
      </c>
      <c r="AR7" s="7">
        <f t="shared" si="7"/>
        <v>-7396929</v>
      </c>
      <c r="AS7" s="10">
        <f t="shared" si="8"/>
        <v>11203581</v>
      </c>
      <c r="AT7" s="10">
        <f t="shared" si="9"/>
        <v>52800</v>
      </c>
      <c r="AU7" s="7">
        <f t="shared" si="10"/>
        <v>0</v>
      </c>
    </row>
    <row r="8" spans="1:47" x14ac:dyDescent="0.25">
      <c r="A8" t="s">
        <v>43</v>
      </c>
      <c r="B8">
        <v>20800</v>
      </c>
      <c r="C8" s="7">
        <f>VLOOKUP(B8,'ER Contributions'!A:D,4,FALSE)</f>
        <v>5435779</v>
      </c>
      <c r="D8" s="8">
        <f>VLOOKUP(B8,'ER Contributions'!A:D,3,FALSE)</f>
        <v>4.4494000000000001E-3</v>
      </c>
      <c r="E8" s="10">
        <f>VLOOKUP(B8,'75 - Summary Exhibit'!A:N,3,FALSE)</f>
        <v>140777132</v>
      </c>
      <c r="F8" s="10">
        <f>VLOOKUP(B8,'75 - Summary Exhibit'!A:N,4,FALSE)</f>
        <v>0</v>
      </c>
      <c r="G8" s="10">
        <f>VLOOKUP(B8,'75 - Summary Exhibit'!A:N,5,FALSE)</f>
        <v>93746</v>
      </c>
      <c r="H8" s="10">
        <f>VLOOKUP(B8,'75 - Summary Exhibit'!A:N,6,FALSE)</f>
        <v>6766412</v>
      </c>
      <c r="I8" s="7">
        <f>VLOOKUP(B8,'75 - Summary Exhibit'!A:N,7,FALSE)</f>
        <v>3567188</v>
      </c>
      <c r="J8" s="7">
        <f>VLOOKUP(B8,'75 - Summary Exhibit'!A:N,8,FALSE)</f>
        <v>7096941</v>
      </c>
      <c r="K8" s="7">
        <f>VLOOKUP(B8,'75 - Summary Exhibit'!A:N,9,FALSE)</f>
        <v>0</v>
      </c>
      <c r="L8" s="7">
        <f>VLOOKUP(B8,'75 - Summary Exhibit'!A:N,10,FALSE)</f>
        <v>42323776</v>
      </c>
      <c r="M8" s="7">
        <f>VLOOKUP(B8,'75 - Summary Exhibit'!A:N,11,FALSE)</f>
        <v>12501870</v>
      </c>
      <c r="N8" s="7">
        <f>VLOOKUP(B8,'75 - Summary Exhibit'!A:N,12,FALSE)</f>
        <v>-2078080</v>
      </c>
      <c r="O8" s="7">
        <f>VLOOKUP(B8,'75 - Summary Exhibit'!A:N,13,FALSE)</f>
        <v>-3143234</v>
      </c>
      <c r="P8" s="7">
        <f t="shared" si="0"/>
        <v>-5221314</v>
      </c>
      <c r="Q8" s="7">
        <f>VLOOKUP(B8,'75- Deferred Amortization'!A:G,3,FALSE)</f>
        <v>-16627788</v>
      </c>
      <c r="R8" s="7">
        <f>VLOOKUP(B8,'75- Deferred Amortization'!A:G,4,FALSE)</f>
        <v>-16627788</v>
      </c>
      <c r="S8" s="7">
        <f>VLOOKUP(B8,'75- Deferred Amortization'!A:G,5,FALSE)</f>
        <v>-16614234</v>
      </c>
      <c r="T8" s="7">
        <f>VLOOKUP(B8,'75- Deferred Amortization'!A:G,6,FALSE)</f>
        <v>-2664162</v>
      </c>
      <c r="U8" s="7">
        <f>VLOOKUP(B8,'75- Deferred Amortization'!A:G,7,FALSE)</f>
        <v>1038731</v>
      </c>
      <c r="V8" s="7">
        <f t="shared" si="11"/>
        <v>-1</v>
      </c>
      <c r="W8" s="7">
        <f t="shared" si="1"/>
        <v>0</v>
      </c>
      <c r="X8">
        <v>1</v>
      </c>
      <c r="AC8" s="10">
        <v>127899991</v>
      </c>
      <c r="AD8" s="10">
        <v>0</v>
      </c>
      <c r="AE8" s="10">
        <v>13755</v>
      </c>
      <c r="AF8" s="10">
        <v>0</v>
      </c>
      <c r="AG8" s="7">
        <v>4458985</v>
      </c>
      <c r="AH8" s="7">
        <v>8746365</v>
      </c>
      <c r="AI8" s="7">
        <v>0</v>
      </c>
      <c r="AJ8" s="7">
        <v>55409229</v>
      </c>
      <c r="AK8" s="7">
        <v>15346620</v>
      </c>
      <c r="AM8" s="7">
        <f t="shared" si="2"/>
        <v>-891797</v>
      </c>
      <c r="AN8" s="7">
        <f t="shared" si="3"/>
        <v>-2844750</v>
      </c>
      <c r="AO8" s="10">
        <f t="shared" si="4"/>
        <v>0</v>
      </c>
      <c r="AP8" s="7">
        <f t="shared" si="5"/>
        <v>-1649424</v>
      </c>
      <c r="AQ8" s="10">
        <f t="shared" si="6"/>
        <v>6766412</v>
      </c>
      <c r="AR8" s="7">
        <f t="shared" si="7"/>
        <v>-13085453</v>
      </c>
      <c r="AS8" s="10">
        <f t="shared" si="8"/>
        <v>12877141</v>
      </c>
      <c r="AT8" s="10">
        <f t="shared" si="9"/>
        <v>79991</v>
      </c>
      <c r="AU8" s="7">
        <f t="shared" si="10"/>
        <v>0</v>
      </c>
    </row>
    <row r="9" spans="1:47" x14ac:dyDescent="0.25">
      <c r="A9" t="s">
        <v>36</v>
      </c>
      <c r="B9">
        <v>10950</v>
      </c>
      <c r="C9" s="7">
        <f>VLOOKUP(B9,'ER Contributions'!A:D,4,FALSE)</f>
        <v>874246</v>
      </c>
      <c r="D9" s="8">
        <f>VLOOKUP(B9,'ER Contributions'!A:D,3,FALSE)</f>
        <v>7.8209999999999998E-4</v>
      </c>
      <c r="E9" s="10">
        <f>VLOOKUP(B9,'75 - Summary Exhibit'!A:N,3,FALSE)</f>
        <v>24745719</v>
      </c>
      <c r="F9" s="10">
        <f>VLOOKUP(B9,'75 - Summary Exhibit'!A:N,4,FALSE)</f>
        <v>0</v>
      </c>
      <c r="G9" s="10">
        <f>VLOOKUP(B9,'75 - Summary Exhibit'!A:N,5,FALSE)</f>
        <v>16479</v>
      </c>
      <c r="H9" s="10">
        <f>VLOOKUP(B9,'75 - Summary Exhibit'!A:N,6,FALSE)</f>
        <v>1189396</v>
      </c>
      <c r="I9" s="7">
        <f>VLOOKUP(B9,'75 - Summary Exhibit'!A:N,7,FALSE)</f>
        <v>2185586</v>
      </c>
      <c r="J9" s="7">
        <f>VLOOKUP(B9,'75 - Summary Exhibit'!A:N,8,FALSE)</f>
        <v>1247496</v>
      </c>
      <c r="K9" s="7">
        <f>VLOOKUP(B9,'75 - Summary Exhibit'!A:N,9,FALSE)</f>
        <v>0</v>
      </c>
      <c r="L9" s="7">
        <f>VLOOKUP(B9,'75 - Summary Exhibit'!A:N,10,FALSE)</f>
        <v>7439648</v>
      </c>
      <c r="M9" s="7">
        <f>VLOOKUP(B9,'75 - Summary Exhibit'!A:N,11,FALSE)</f>
        <v>577116</v>
      </c>
      <c r="N9" s="7">
        <f>VLOOKUP(B9,'75 - Summary Exhibit'!A:N,12,FALSE)</f>
        <v>-365284</v>
      </c>
      <c r="O9" s="7">
        <f>VLOOKUP(B9,'75 - Summary Exhibit'!A:N,13,FALSE)</f>
        <v>244760</v>
      </c>
      <c r="P9" s="7">
        <f t="shared" si="0"/>
        <v>-120524</v>
      </c>
      <c r="Q9" s="7">
        <f>VLOOKUP(B9,'75- Deferred Amortization'!A:G,3,FALSE)</f>
        <v>-2125549</v>
      </c>
      <c r="R9" s="7">
        <f>VLOOKUP(B9,'75- Deferred Amortization'!A:G,4,FALSE)</f>
        <v>-2125549</v>
      </c>
      <c r="S9" s="7">
        <f>VLOOKUP(B9,'75- Deferred Amortization'!A:G,5,FALSE)</f>
        <v>-2123166</v>
      </c>
      <c r="T9" s="7">
        <f>VLOOKUP(B9,'75- Deferred Amortization'!A:G,6,FALSE)</f>
        <v>-153064</v>
      </c>
      <c r="U9" s="7">
        <f>VLOOKUP(B9,'75- Deferred Amortization'!A:G,7,FALSE)</f>
        <v>654529</v>
      </c>
      <c r="V9" s="7">
        <f t="shared" si="11"/>
        <v>1</v>
      </c>
      <c r="W9" s="7">
        <f t="shared" si="1"/>
        <v>0</v>
      </c>
      <c r="X9">
        <v>1</v>
      </c>
      <c r="AC9" s="10">
        <v>20542189</v>
      </c>
      <c r="AD9" s="10">
        <v>0</v>
      </c>
      <c r="AE9" s="10">
        <v>2209</v>
      </c>
      <c r="AF9" s="10">
        <v>0</v>
      </c>
      <c r="AG9" s="7">
        <v>295</v>
      </c>
      <c r="AH9" s="7">
        <v>1404765</v>
      </c>
      <c r="AI9" s="7">
        <v>0</v>
      </c>
      <c r="AJ9" s="7">
        <v>8899351</v>
      </c>
      <c r="AK9" s="7">
        <v>769488</v>
      </c>
      <c r="AM9" s="7">
        <f t="shared" si="2"/>
        <v>2185291</v>
      </c>
      <c r="AN9" s="7">
        <f t="shared" si="3"/>
        <v>-192372</v>
      </c>
      <c r="AO9" s="10">
        <f t="shared" si="4"/>
        <v>0</v>
      </c>
      <c r="AP9" s="7">
        <f t="shared" si="5"/>
        <v>-157269</v>
      </c>
      <c r="AQ9" s="10">
        <f t="shared" si="6"/>
        <v>1189396</v>
      </c>
      <c r="AR9" s="7">
        <f t="shared" si="7"/>
        <v>-1459703</v>
      </c>
      <c r="AS9" s="10">
        <f t="shared" si="8"/>
        <v>4203530</v>
      </c>
      <c r="AT9" s="10">
        <f t="shared" si="9"/>
        <v>14270</v>
      </c>
      <c r="AU9" s="7">
        <f t="shared" si="10"/>
        <v>0</v>
      </c>
    </row>
    <row r="10" spans="1:47" x14ac:dyDescent="0.25">
      <c r="A10" t="s">
        <v>38</v>
      </c>
      <c r="B10">
        <v>20200</v>
      </c>
      <c r="C10" s="7">
        <f>VLOOKUP(B10,'ER Contributions'!A:D,4,FALSE)</f>
        <v>1865282</v>
      </c>
      <c r="D10" s="8">
        <f>VLOOKUP(B10,'ER Contributions'!A:D,3,FALSE)</f>
        <v>1.5545999999999999E-3</v>
      </c>
      <c r="E10" s="10">
        <f>VLOOKUP(B10,'75 - Summary Exhibit'!A:N,3,FALSE)</f>
        <v>49185946</v>
      </c>
      <c r="F10" s="10">
        <f>VLOOKUP(B10,'75 - Summary Exhibit'!A:N,4,FALSE)</f>
        <v>0</v>
      </c>
      <c r="G10" s="10">
        <f>VLOOKUP(B10,'75 - Summary Exhibit'!A:N,5,FALSE)</f>
        <v>32754</v>
      </c>
      <c r="H10" s="10">
        <f>VLOOKUP(B10,'75 - Summary Exhibit'!A:N,6,FALSE)</f>
        <v>2364108</v>
      </c>
      <c r="I10" s="7">
        <f>VLOOKUP(B10,'75 - Summary Exhibit'!A:N,7,FALSE)</f>
        <v>6639179</v>
      </c>
      <c r="J10" s="7">
        <f>VLOOKUP(B10,'75 - Summary Exhibit'!A:N,8,FALSE)</f>
        <v>2479591</v>
      </c>
      <c r="K10" s="7">
        <f>VLOOKUP(B10,'75 - Summary Exhibit'!A:N,9,FALSE)</f>
        <v>0</v>
      </c>
      <c r="L10" s="7">
        <f>VLOOKUP(B10,'75 - Summary Exhibit'!A:N,10,FALSE)</f>
        <v>14787451</v>
      </c>
      <c r="M10" s="7">
        <f>VLOOKUP(B10,'75 - Summary Exhibit'!A:N,11,FALSE)</f>
        <v>733704</v>
      </c>
      <c r="N10" s="7">
        <f>VLOOKUP(B10,'75 - Summary Exhibit'!A:N,12,FALSE)</f>
        <v>-726058</v>
      </c>
      <c r="O10" s="7">
        <f>VLOOKUP(B10,'75 - Summary Exhibit'!A:N,13,FALSE)</f>
        <v>1237796</v>
      </c>
      <c r="P10" s="7">
        <f t="shared" si="0"/>
        <v>511738</v>
      </c>
      <c r="Q10" s="7">
        <f>VLOOKUP(B10,'75- Deferred Amortization'!A:G,3,FALSE)</f>
        <v>-3473550</v>
      </c>
      <c r="R10" s="7">
        <f>VLOOKUP(B10,'75- Deferred Amortization'!A:G,4,FALSE)</f>
        <v>-3473550</v>
      </c>
      <c r="S10" s="7">
        <f>VLOOKUP(B10,'75- Deferred Amortization'!A:G,5,FALSE)</f>
        <v>-3468814</v>
      </c>
      <c r="T10" s="7">
        <f>VLOOKUP(B10,'75- Deferred Amortization'!A:G,6,FALSE)</f>
        <v>309268</v>
      </c>
      <c r="U10" s="7">
        <f>VLOOKUP(B10,'75- Deferred Amortization'!A:G,7,FALSE)</f>
        <v>1141940</v>
      </c>
      <c r="V10" s="7">
        <f t="shared" si="11"/>
        <v>1</v>
      </c>
      <c r="W10" s="7">
        <f t="shared" si="1"/>
        <v>1</v>
      </c>
      <c r="X10">
        <v>1</v>
      </c>
      <c r="AC10" s="10">
        <v>41551270</v>
      </c>
      <c r="AD10" s="10">
        <v>0</v>
      </c>
      <c r="AE10" s="10">
        <v>4469</v>
      </c>
      <c r="AF10" s="10">
        <v>0</v>
      </c>
      <c r="AG10" s="7">
        <v>3863305</v>
      </c>
      <c r="AH10" s="7">
        <v>2841459</v>
      </c>
      <c r="AI10" s="7">
        <v>0</v>
      </c>
      <c r="AJ10" s="7">
        <v>18000969</v>
      </c>
      <c r="AK10" s="7">
        <v>978272</v>
      </c>
      <c r="AM10" s="7">
        <f t="shared" si="2"/>
        <v>2775874</v>
      </c>
      <c r="AN10" s="7">
        <f t="shared" si="3"/>
        <v>-244568</v>
      </c>
      <c r="AO10" s="10">
        <f t="shared" si="4"/>
        <v>0</v>
      </c>
      <c r="AP10" s="7">
        <f t="shared" si="5"/>
        <v>-361868</v>
      </c>
      <c r="AQ10" s="10">
        <f t="shared" si="6"/>
        <v>2364108</v>
      </c>
      <c r="AR10" s="7">
        <f t="shared" si="7"/>
        <v>-3213518</v>
      </c>
      <c r="AS10" s="10">
        <f t="shared" si="8"/>
        <v>7634676</v>
      </c>
      <c r="AT10" s="10">
        <f t="shared" si="9"/>
        <v>28285</v>
      </c>
      <c r="AU10" s="7">
        <f t="shared" si="10"/>
        <v>0</v>
      </c>
    </row>
    <row r="11" spans="1:47" x14ac:dyDescent="0.25">
      <c r="A11" t="s">
        <v>46</v>
      </c>
      <c r="B11">
        <v>21300</v>
      </c>
      <c r="C11" s="7">
        <f>VLOOKUP(B11,'ER Contributions'!A:D,4,FALSE)</f>
        <v>42096863</v>
      </c>
      <c r="D11" s="8">
        <f>VLOOKUP(B11,'ER Contributions'!A:D,3,FALSE)</f>
        <v>3.8835599999999998E-2</v>
      </c>
      <c r="E11" s="10">
        <f>VLOOKUP(B11,'75 - Summary Exhibit'!A:N,3,FALSE)</f>
        <v>1228738701</v>
      </c>
      <c r="F11" s="10">
        <f>VLOOKUP(B11,'75 - Summary Exhibit'!A:N,4,FALSE)</f>
        <v>0</v>
      </c>
      <c r="G11" s="10">
        <f>VLOOKUP(B11,'75 - Summary Exhibit'!A:N,5,FALSE)</f>
        <v>818242</v>
      </c>
      <c r="H11" s="10">
        <f>VLOOKUP(B11,'75 - Summary Exhibit'!A:N,6,FALSE)</f>
        <v>59058967</v>
      </c>
      <c r="I11" s="7">
        <f>VLOOKUP(B11,'75 - Summary Exhibit'!A:N,7,FALSE)</f>
        <v>102582219</v>
      </c>
      <c r="J11" s="7">
        <f>VLOOKUP(B11,'75 - Summary Exhibit'!A:N,8,FALSE)</f>
        <v>61943909</v>
      </c>
      <c r="K11" s="7">
        <f>VLOOKUP(B11,'75 - Summary Exhibit'!A:N,9,FALSE)</f>
        <v>0</v>
      </c>
      <c r="L11" s="7">
        <f>VLOOKUP(B11,'75 - Summary Exhibit'!A:N,10,FALSE)</f>
        <v>369412706</v>
      </c>
      <c r="M11" s="7">
        <f>VLOOKUP(B11,'75 - Summary Exhibit'!A:N,11,FALSE)</f>
        <v>93181800</v>
      </c>
      <c r="N11" s="7">
        <f>VLOOKUP(B11,'75 - Summary Exhibit'!A:N,12,FALSE)</f>
        <v>-18138009</v>
      </c>
      <c r="O11" s="7">
        <f>VLOOKUP(B11,'75 - Summary Exhibit'!A:N,13,FALSE)</f>
        <v>-6203610</v>
      </c>
      <c r="P11" s="7">
        <f t="shared" si="0"/>
        <v>-24341619</v>
      </c>
      <c r="Q11" s="7">
        <f>VLOOKUP(B11,'75- Deferred Amortization'!A:G,3,FALSE)</f>
        <v>-123900191</v>
      </c>
      <c r="R11" s="7">
        <f>VLOOKUP(B11,'75- Deferred Amortization'!A:G,4,FALSE)</f>
        <v>-123900191</v>
      </c>
      <c r="S11" s="7">
        <f>VLOOKUP(B11,'75- Deferred Amortization'!A:G,5,FALSE)</f>
        <v>-123781889</v>
      </c>
      <c r="T11" s="7">
        <f>VLOOKUP(B11,'75- Deferred Amortization'!A:G,6,FALSE)</f>
        <v>-4448804</v>
      </c>
      <c r="U11" s="7">
        <f>VLOOKUP(B11,'75- Deferred Amortization'!A:G,7,FALSE)</f>
        <v>13952089</v>
      </c>
      <c r="V11" s="7">
        <f t="shared" si="11"/>
        <v>1</v>
      </c>
      <c r="W11" s="7">
        <f t="shared" si="1"/>
        <v>-1</v>
      </c>
      <c r="X11">
        <v>1</v>
      </c>
      <c r="AC11" s="10">
        <v>1093258395</v>
      </c>
      <c r="AD11" s="10">
        <v>0</v>
      </c>
      <c r="AE11" s="10">
        <v>117574</v>
      </c>
      <c r="AF11" s="10">
        <v>0</v>
      </c>
      <c r="AG11" s="7">
        <v>108513655</v>
      </c>
      <c r="AH11" s="7">
        <v>74761830</v>
      </c>
      <c r="AI11" s="7">
        <v>0</v>
      </c>
      <c r="AJ11" s="7">
        <v>473624775</v>
      </c>
      <c r="AK11" s="7">
        <v>124242400</v>
      </c>
      <c r="AM11" s="7">
        <f t="shared" si="2"/>
        <v>-5931436</v>
      </c>
      <c r="AN11" s="7">
        <f t="shared" si="3"/>
        <v>-31060600</v>
      </c>
      <c r="AO11" s="10">
        <f t="shared" si="4"/>
        <v>0</v>
      </c>
      <c r="AP11" s="7">
        <f t="shared" si="5"/>
        <v>-12817921</v>
      </c>
      <c r="AQ11" s="10">
        <f t="shared" si="6"/>
        <v>59058967</v>
      </c>
      <c r="AR11" s="7">
        <f t="shared" si="7"/>
        <v>-104212069</v>
      </c>
      <c r="AS11" s="10">
        <f t="shared" si="8"/>
        <v>135480306</v>
      </c>
      <c r="AT11" s="10">
        <f t="shared" si="9"/>
        <v>700668</v>
      </c>
      <c r="AU11" s="7">
        <f t="shared" si="10"/>
        <v>0</v>
      </c>
    </row>
    <row r="12" spans="1:47" x14ac:dyDescent="0.25">
      <c r="A12" t="s">
        <v>42</v>
      </c>
      <c r="B12">
        <v>20700</v>
      </c>
      <c r="C12" s="7">
        <f>VLOOKUP(B12,'ER Contributions'!A:D,4,FALSE)</f>
        <v>7178911</v>
      </c>
      <c r="D12" s="8">
        <f>VLOOKUP(B12,'ER Contributions'!A:D,3,FALSE)</f>
        <v>5.8561999999999998E-3</v>
      </c>
      <c r="E12" s="10">
        <f>VLOOKUP(B12,'75 - Summary Exhibit'!A:N,3,FALSE)</f>
        <v>185288154</v>
      </c>
      <c r="F12" s="10">
        <f>VLOOKUP(B12,'75 - Summary Exhibit'!A:N,4,FALSE)</f>
        <v>0</v>
      </c>
      <c r="G12" s="10">
        <f>VLOOKUP(B12,'75 - Summary Exhibit'!A:N,5,FALSE)</f>
        <v>123387</v>
      </c>
      <c r="H12" s="10">
        <f>VLOOKUP(B12,'75 - Summary Exhibit'!A:N,6,FALSE)</f>
        <v>8905821</v>
      </c>
      <c r="I12" s="7">
        <f>VLOOKUP(B12,'75 - Summary Exhibit'!A:N,7,FALSE)</f>
        <v>13286636</v>
      </c>
      <c r="J12" s="7">
        <f>VLOOKUP(B12,'75 - Summary Exhibit'!A:N,8,FALSE)</f>
        <v>9340857</v>
      </c>
      <c r="K12" s="7">
        <f>VLOOKUP(B12,'75 - Summary Exhibit'!A:N,9,FALSE)</f>
        <v>0</v>
      </c>
      <c r="L12" s="7">
        <f>VLOOKUP(B12,'75 - Summary Exhibit'!A:N,10,FALSE)</f>
        <v>55705740</v>
      </c>
      <c r="M12" s="7">
        <f>VLOOKUP(B12,'75 - Summary Exhibit'!A:N,11,FALSE)</f>
        <v>16446897</v>
      </c>
      <c r="N12" s="7">
        <f>VLOOKUP(B12,'75 - Summary Exhibit'!A:N,12,FALSE)</f>
        <v>-2735128</v>
      </c>
      <c r="O12" s="7">
        <f>VLOOKUP(B12,'75 - Summary Exhibit'!A:N,13,FALSE)</f>
        <v>-2315464</v>
      </c>
      <c r="P12" s="7">
        <f t="shared" si="0"/>
        <v>-5050592</v>
      </c>
      <c r="Q12" s="7">
        <f>VLOOKUP(B12,'75- Deferred Amortization'!A:G,3,FALSE)</f>
        <v>-20063566</v>
      </c>
      <c r="R12" s="7">
        <f>VLOOKUP(B12,'75- Deferred Amortization'!A:G,4,FALSE)</f>
        <v>-20063566</v>
      </c>
      <c r="S12" s="7">
        <f>VLOOKUP(B12,'75- Deferred Amortization'!A:G,5,FALSE)</f>
        <v>-20045727</v>
      </c>
      <c r="T12" s="7">
        <f>VLOOKUP(B12,'75- Deferred Amortization'!A:G,6,FALSE)</f>
        <v>-1252342</v>
      </c>
      <c r="U12" s="7">
        <f>VLOOKUP(B12,'75- Deferred Amortization'!A:G,7,FALSE)</f>
        <v>2247551</v>
      </c>
      <c r="V12" s="7">
        <f t="shared" si="11"/>
        <v>-1</v>
      </c>
      <c r="W12" s="7">
        <f t="shared" si="1"/>
        <v>0</v>
      </c>
      <c r="X12">
        <v>1</v>
      </c>
      <c r="AC12" s="10">
        <v>164837738</v>
      </c>
      <c r="AD12" s="10">
        <v>0</v>
      </c>
      <c r="AE12" s="10">
        <v>17727</v>
      </c>
      <c r="AF12" s="10">
        <v>0</v>
      </c>
      <c r="AG12" s="7">
        <v>12737745</v>
      </c>
      <c r="AH12" s="7">
        <v>11272331</v>
      </c>
      <c r="AI12" s="7">
        <v>0</v>
      </c>
      <c r="AJ12" s="7">
        <v>71411513</v>
      </c>
      <c r="AK12" s="7">
        <v>21929196</v>
      </c>
      <c r="AM12" s="7">
        <f t="shared" si="2"/>
        <v>548891</v>
      </c>
      <c r="AN12" s="7">
        <f t="shared" si="3"/>
        <v>-5482299</v>
      </c>
      <c r="AO12" s="10">
        <f t="shared" si="4"/>
        <v>0</v>
      </c>
      <c r="AP12" s="7">
        <f t="shared" si="5"/>
        <v>-1931474</v>
      </c>
      <c r="AQ12" s="10">
        <f t="shared" si="6"/>
        <v>8905821</v>
      </c>
      <c r="AR12" s="7">
        <f t="shared" si="7"/>
        <v>-15705773</v>
      </c>
      <c r="AS12" s="10">
        <f t="shared" si="8"/>
        <v>20450416</v>
      </c>
      <c r="AT12" s="10">
        <f t="shared" si="9"/>
        <v>105660</v>
      </c>
      <c r="AU12" s="7">
        <f t="shared" si="10"/>
        <v>0</v>
      </c>
    </row>
    <row r="13" spans="1:47" x14ac:dyDescent="0.25">
      <c r="A13" t="s">
        <v>45</v>
      </c>
      <c r="B13">
        <v>21200</v>
      </c>
      <c r="C13" s="7">
        <f>VLOOKUP(B13,'ER Contributions'!A:D,4,FALSE)</f>
        <v>3428775</v>
      </c>
      <c r="D13" s="8">
        <f>VLOOKUP(B13,'ER Contributions'!A:D,3,FALSE)</f>
        <v>3.0558999999999998E-3</v>
      </c>
      <c r="E13" s="10">
        <f>VLOOKUP(B13,'75 - Summary Exhibit'!A:N,3,FALSE)</f>
        <v>96687793</v>
      </c>
      <c r="F13" s="10">
        <f>VLOOKUP(B13,'75 - Summary Exhibit'!A:N,4,FALSE)</f>
        <v>0</v>
      </c>
      <c r="G13" s="10">
        <f>VLOOKUP(B13,'75 - Summary Exhibit'!A:N,5,FALSE)</f>
        <v>64386</v>
      </c>
      <c r="H13" s="10">
        <f>VLOOKUP(B13,'75 - Summary Exhibit'!A:N,6,FALSE)</f>
        <v>4647271</v>
      </c>
      <c r="I13" s="7">
        <f>VLOOKUP(B13,'75 - Summary Exhibit'!A:N,7,FALSE)</f>
        <v>6416221</v>
      </c>
      <c r="J13" s="7">
        <f>VLOOKUP(B13,'75 - Summary Exhibit'!A:N,8,FALSE)</f>
        <v>4874283</v>
      </c>
      <c r="K13" s="7">
        <f>VLOOKUP(B13,'75 - Summary Exhibit'!A:N,9,FALSE)</f>
        <v>0</v>
      </c>
      <c r="L13" s="7">
        <f>VLOOKUP(B13,'75 - Summary Exhibit'!A:N,10,FALSE)</f>
        <v>29068588</v>
      </c>
      <c r="M13" s="7">
        <f>VLOOKUP(B13,'75 - Summary Exhibit'!A:N,11,FALSE)</f>
        <v>10105719</v>
      </c>
      <c r="N13" s="7">
        <f>VLOOKUP(B13,'75 - Summary Exhibit'!A:N,12,FALSE)</f>
        <v>-1427255</v>
      </c>
      <c r="O13" s="7">
        <f>VLOOKUP(B13,'75 - Summary Exhibit'!A:N,13,FALSE)</f>
        <v>-1864620</v>
      </c>
      <c r="P13" s="7">
        <f t="shared" si="0"/>
        <v>-3291875</v>
      </c>
      <c r="Q13" s="7">
        <f>VLOOKUP(B13,'75- Deferred Amortization'!A:G,3,FALSE)</f>
        <v>-11126003</v>
      </c>
      <c r="R13" s="7">
        <f>VLOOKUP(B13,'75- Deferred Amortization'!A:G,4,FALSE)</f>
        <v>-11126003</v>
      </c>
      <c r="S13" s="7">
        <f>VLOOKUP(B13,'75- Deferred Amortization'!A:G,5,FALSE)</f>
        <v>-11116694</v>
      </c>
      <c r="T13" s="7">
        <f>VLOOKUP(B13,'75- Deferred Amortization'!A:G,6,FALSE)</f>
        <v>-802078</v>
      </c>
      <c r="U13" s="7">
        <f>VLOOKUP(B13,'75- Deferred Amortization'!A:G,7,FALSE)</f>
        <v>1250068</v>
      </c>
      <c r="V13" s="7">
        <f t="shared" si="11"/>
        <v>0</v>
      </c>
      <c r="W13" s="7">
        <f t="shared" si="1"/>
        <v>-2</v>
      </c>
      <c r="X13">
        <v>1</v>
      </c>
      <c r="AC13" s="10">
        <v>85496262</v>
      </c>
      <c r="AD13" s="10">
        <v>0</v>
      </c>
      <c r="AE13" s="10">
        <v>9195</v>
      </c>
      <c r="AF13" s="10">
        <v>0</v>
      </c>
      <c r="AG13" s="7">
        <v>5517770</v>
      </c>
      <c r="AH13" s="7">
        <v>5846611</v>
      </c>
      <c r="AI13" s="7">
        <v>0</v>
      </c>
      <c r="AJ13" s="7">
        <v>37038955</v>
      </c>
      <c r="AK13" s="7">
        <v>13474292</v>
      </c>
      <c r="AM13" s="7">
        <f t="shared" si="2"/>
        <v>898451</v>
      </c>
      <c r="AN13" s="7">
        <f t="shared" si="3"/>
        <v>-3368573</v>
      </c>
      <c r="AO13" s="10">
        <f t="shared" si="4"/>
        <v>0</v>
      </c>
      <c r="AP13" s="7">
        <f t="shared" si="5"/>
        <v>-972328</v>
      </c>
      <c r="AQ13" s="10">
        <f t="shared" si="6"/>
        <v>4647271</v>
      </c>
      <c r="AR13" s="7">
        <f t="shared" si="7"/>
        <v>-7970367</v>
      </c>
      <c r="AS13" s="10">
        <f t="shared" si="8"/>
        <v>11191531</v>
      </c>
      <c r="AT13" s="10">
        <f t="shared" si="9"/>
        <v>55191</v>
      </c>
      <c r="AU13" s="7">
        <f t="shared" si="10"/>
        <v>0</v>
      </c>
    </row>
    <row r="14" spans="1:47" x14ac:dyDescent="0.25">
      <c r="A14" t="s">
        <v>48</v>
      </c>
      <c r="B14">
        <v>21550</v>
      </c>
      <c r="C14" s="7">
        <f>VLOOKUP(B14,'ER Contributions'!A:D,4,FALSE)</f>
        <v>44299977</v>
      </c>
      <c r="D14" s="8">
        <f>VLOOKUP(B14,'ER Contributions'!A:D,3,FALSE)</f>
        <v>4.2226699999999999E-2</v>
      </c>
      <c r="E14" s="10">
        <f>VLOOKUP(B14,'75 - Summary Exhibit'!A:N,3,FALSE)</f>
        <v>1336032684</v>
      </c>
      <c r="F14" s="10">
        <f>VLOOKUP(B14,'75 - Summary Exhibit'!A:N,4,FALSE)</f>
        <v>0</v>
      </c>
      <c r="G14" s="10">
        <f>VLOOKUP(B14,'75 - Summary Exhibit'!A:N,5,FALSE)</f>
        <v>889692</v>
      </c>
      <c r="H14" s="10">
        <f>VLOOKUP(B14,'75 - Summary Exhibit'!A:N,6,FALSE)</f>
        <v>64216021</v>
      </c>
      <c r="I14" s="7">
        <f>VLOOKUP(B14,'75 - Summary Exhibit'!A:N,7,FALSE)</f>
        <v>124225400</v>
      </c>
      <c r="J14" s="7">
        <f>VLOOKUP(B14,'75 - Summary Exhibit'!A:N,8,FALSE)</f>
        <v>67352878</v>
      </c>
      <c r="K14" s="7">
        <f>VLOOKUP(B14,'75 - Summary Exhibit'!A:N,9,FALSE)</f>
        <v>0</v>
      </c>
      <c r="L14" s="7">
        <f>VLOOKUP(B14,'75 - Summary Exhibit'!A:N,10,FALSE)</f>
        <v>401669980</v>
      </c>
      <c r="M14" s="7">
        <f>VLOOKUP(B14,'75 - Summary Exhibit'!A:N,11,FALSE)</f>
        <v>12083031</v>
      </c>
      <c r="N14" s="7">
        <f>VLOOKUP(B14,'75 - Summary Exhibit'!A:N,12,FALSE)</f>
        <v>-19721827</v>
      </c>
      <c r="O14" s="7">
        <f>VLOOKUP(B14,'75 - Summary Exhibit'!A:N,13,FALSE)</f>
        <v>21190526</v>
      </c>
      <c r="P14" s="7">
        <f t="shared" si="0"/>
        <v>1468699</v>
      </c>
      <c r="Q14" s="7">
        <f>VLOOKUP(B14,'75- Deferred Amortization'!A:G,3,FALSE)</f>
        <v>-106783368</v>
      </c>
      <c r="R14" s="7">
        <f>VLOOKUP(B14,'75- Deferred Amortization'!A:G,4,FALSE)</f>
        <v>-106783368</v>
      </c>
      <c r="S14" s="7">
        <f>VLOOKUP(B14,'75- Deferred Amortization'!A:G,5,FALSE)</f>
        <v>-106654735</v>
      </c>
      <c r="T14" s="7">
        <f>VLOOKUP(B14,'75- Deferred Amortization'!A:G,6,FALSE)</f>
        <v>-6646583</v>
      </c>
      <c r="U14" s="7">
        <f>VLOOKUP(B14,'75- Deferred Amortization'!A:G,7,FALSE)</f>
        <v>35093277</v>
      </c>
      <c r="V14" s="7">
        <f t="shared" si="11"/>
        <v>1</v>
      </c>
      <c r="W14" s="7">
        <f t="shared" si="1"/>
        <v>1</v>
      </c>
      <c r="X14">
        <v>1</v>
      </c>
      <c r="AC14" s="10">
        <v>1108129361</v>
      </c>
      <c r="AD14" s="10">
        <v>0</v>
      </c>
      <c r="AE14" s="10">
        <v>119174</v>
      </c>
      <c r="AF14" s="10">
        <v>0</v>
      </c>
      <c r="AG14" s="7">
        <v>9328150</v>
      </c>
      <c r="AH14" s="7">
        <v>75778772</v>
      </c>
      <c r="AI14" s="7">
        <v>0</v>
      </c>
      <c r="AJ14" s="7">
        <v>480067222</v>
      </c>
      <c r="AK14" s="7">
        <v>16110708</v>
      </c>
      <c r="AM14" s="7">
        <f t="shared" si="2"/>
        <v>114897250</v>
      </c>
      <c r="AN14" s="7">
        <f t="shared" si="3"/>
        <v>-4027677</v>
      </c>
      <c r="AO14" s="10">
        <f t="shared" si="4"/>
        <v>0</v>
      </c>
      <c r="AP14" s="7">
        <f t="shared" si="5"/>
        <v>-8425894</v>
      </c>
      <c r="AQ14" s="10">
        <f t="shared" si="6"/>
        <v>64216021</v>
      </c>
      <c r="AR14" s="7">
        <f t="shared" si="7"/>
        <v>-78397242</v>
      </c>
      <c r="AS14" s="10">
        <f t="shared" si="8"/>
        <v>227903323</v>
      </c>
      <c r="AT14" s="10">
        <f t="shared" si="9"/>
        <v>770518</v>
      </c>
      <c r="AU14" s="7">
        <f t="shared" si="10"/>
        <v>0</v>
      </c>
    </row>
    <row r="15" spans="1:47" x14ac:dyDescent="0.25">
      <c r="A15" t="s">
        <v>47</v>
      </c>
      <c r="B15">
        <v>21520</v>
      </c>
      <c r="C15" s="7">
        <f>VLOOKUP(B15,'ER Contributions'!A:D,4,FALSE)</f>
        <v>75448968</v>
      </c>
      <c r="D15" s="8">
        <f>VLOOKUP(B15,'ER Contributions'!A:D,3,FALSE)</f>
        <v>6.9092200000000006E-2</v>
      </c>
      <c r="E15" s="10">
        <f>VLOOKUP(B15,'75 - Summary Exhibit'!A:N,3,FALSE)</f>
        <v>2186043474</v>
      </c>
      <c r="F15" s="10">
        <f>VLOOKUP(B15,'75 - Summary Exhibit'!A:N,4,FALSE)</f>
        <v>0</v>
      </c>
      <c r="G15" s="10">
        <f>VLOOKUP(B15,'75 - Summary Exhibit'!A:N,5,FALSE)</f>
        <v>1455731</v>
      </c>
      <c r="H15" s="10">
        <f>VLOOKUP(B15,'75 - Summary Exhibit'!A:N,6,FALSE)</f>
        <v>105071542</v>
      </c>
      <c r="I15" s="7">
        <f>VLOOKUP(B15,'75 - Summary Exhibit'!A:N,7,FALSE)</f>
        <v>170131046</v>
      </c>
      <c r="J15" s="7">
        <f>VLOOKUP(B15,'75 - Summary Exhibit'!A:N,8,FALSE)</f>
        <v>110204130</v>
      </c>
      <c r="K15" s="7">
        <f>VLOOKUP(B15,'75 - Summary Exhibit'!A:N,9,FALSE)</f>
        <v>0</v>
      </c>
      <c r="L15" s="7">
        <f>VLOOKUP(B15,'75 - Summary Exhibit'!A:N,10,FALSE)</f>
        <v>657220478</v>
      </c>
      <c r="M15" s="7">
        <f>VLOOKUP(B15,'75 - Summary Exhibit'!A:N,11,FALSE)</f>
        <v>191112627</v>
      </c>
      <c r="N15" s="7">
        <f>VLOOKUP(B15,'75 - Summary Exhibit'!A:N,12,FALSE)</f>
        <v>-32269249</v>
      </c>
      <c r="O15" s="7">
        <f>VLOOKUP(B15,'75 - Summary Exhibit'!A:N,13,FALSE)</f>
        <v>-23732293</v>
      </c>
      <c r="P15" s="7">
        <f t="shared" si="0"/>
        <v>-56001542</v>
      </c>
      <c r="Q15" s="7">
        <f>VLOOKUP(B15,'75- Deferred Amortization'!A:G,3,FALSE)</f>
        <v>-233125751</v>
      </c>
      <c r="R15" s="7">
        <f>VLOOKUP(B15,'75- Deferred Amortization'!A:G,4,FALSE)</f>
        <v>-233125751</v>
      </c>
      <c r="S15" s="7">
        <f>VLOOKUP(B15,'75- Deferred Amortization'!A:G,5,FALSE)</f>
        <v>-232915279</v>
      </c>
      <c r="T15" s="7">
        <f>VLOOKUP(B15,'75- Deferred Amortization'!A:G,6,FALSE)</f>
        <v>-12165891</v>
      </c>
      <c r="U15" s="7">
        <f>VLOOKUP(B15,'75- Deferred Amortization'!A:G,7,FALSE)</f>
        <v>29453757</v>
      </c>
      <c r="V15" s="7">
        <f t="shared" si="11"/>
        <v>-1</v>
      </c>
      <c r="W15" s="7">
        <f t="shared" si="1"/>
        <v>-1</v>
      </c>
      <c r="X15">
        <v>1</v>
      </c>
      <c r="AC15" s="10">
        <v>1926872329</v>
      </c>
      <c r="AD15" s="10">
        <v>0</v>
      </c>
      <c r="AE15" s="10">
        <v>207225</v>
      </c>
      <c r="AF15" s="10">
        <v>0</v>
      </c>
      <c r="AG15" s="7">
        <v>148642645</v>
      </c>
      <c r="AH15" s="7">
        <v>131768027</v>
      </c>
      <c r="AI15" s="7">
        <v>0</v>
      </c>
      <c r="AJ15" s="7">
        <v>834765577</v>
      </c>
      <c r="AK15" s="7">
        <v>254816836</v>
      </c>
      <c r="AM15" s="7">
        <f t="shared" si="2"/>
        <v>21488401</v>
      </c>
      <c r="AN15" s="7">
        <f t="shared" si="3"/>
        <v>-63704209</v>
      </c>
      <c r="AO15" s="10">
        <f t="shared" si="4"/>
        <v>0</v>
      </c>
      <c r="AP15" s="7">
        <f t="shared" si="5"/>
        <v>-21563897</v>
      </c>
      <c r="AQ15" s="10">
        <f t="shared" si="6"/>
        <v>105071542</v>
      </c>
      <c r="AR15" s="7">
        <f t="shared" si="7"/>
        <v>-177545099</v>
      </c>
      <c r="AS15" s="10">
        <f t="shared" si="8"/>
        <v>259171145</v>
      </c>
      <c r="AT15" s="10">
        <f t="shared" si="9"/>
        <v>1248506</v>
      </c>
      <c r="AU15" s="7">
        <f t="shared" si="10"/>
        <v>0</v>
      </c>
    </row>
    <row r="16" spans="1:47" x14ac:dyDescent="0.25">
      <c r="A16" t="s">
        <v>51</v>
      </c>
      <c r="B16">
        <v>23000</v>
      </c>
      <c r="C16" s="7">
        <f>VLOOKUP(B16,'ER Contributions'!A:D,4,FALSE)</f>
        <v>2708035</v>
      </c>
      <c r="D16" s="8">
        <f>VLOOKUP(B16,'ER Contributions'!A:D,3,FALSE)</f>
        <v>2.4845000000000002E-3</v>
      </c>
      <c r="E16" s="10">
        <f>VLOOKUP(B16,'75 - Summary Exhibit'!A:N,3,FALSE)</f>
        <v>78607577</v>
      </c>
      <c r="F16" s="10">
        <f>VLOOKUP(B16,'75 - Summary Exhibit'!A:N,4,FALSE)</f>
        <v>0</v>
      </c>
      <c r="G16" s="10">
        <f>VLOOKUP(B16,'75 - Summary Exhibit'!A:N,5,FALSE)</f>
        <v>52346</v>
      </c>
      <c r="H16" s="10">
        <f>VLOOKUP(B16,'75 - Summary Exhibit'!A:N,6,FALSE)</f>
        <v>3778250</v>
      </c>
      <c r="I16" s="7">
        <f>VLOOKUP(B16,'75 - Summary Exhibit'!A:N,7,FALSE)</f>
        <v>4135548</v>
      </c>
      <c r="J16" s="7">
        <f>VLOOKUP(B16,'75 - Summary Exhibit'!A:N,8,FALSE)</f>
        <v>3962812</v>
      </c>
      <c r="K16" s="7">
        <f>VLOOKUP(B16,'75 - Summary Exhibit'!A:N,9,FALSE)</f>
        <v>0</v>
      </c>
      <c r="L16" s="7">
        <f>VLOOKUP(B16,'75 - Summary Exhibit'!A:N,10,FALSE)</f>
        <v>23632883</v>
      </c>
      <c r="M16" s="7">
        <f>VLOOKUP(B16,'75 - Summary Exhibit'!A:N,11,FALSE)</f>
        <v>4880526</v>
      </c>
      <c r="N16" s="7">
        <f>VLOOKUP(B16,'75 - Summary Exhibit'!A:N,12,FALSE)</f>
        <v>-1160365</v>
      </c>
      <c r="O16" s="7">
        <f>VLOOKUP(B16,'75 - Summary Exhibit'!A:N,13,FALSE)</f>
        <v>-432711</v>
      </c>
      <c r="P16" s="7">
        <f t="shared" si="0"/>
        <v>-1593076</v>
      </c>
      <c r="Q16" s="7">
        <f>VLOOKUP(B16,'75- Deferred Amortization'!A:G,3,FALSE)</f>
        <v>-7962254</v>
      </c>
      <c r="R16" s="7">
        <f>VLOOKUP(B16,'75- Deferred Amortization'!A:G,4,FALSE)</f>
        <v>-7962254</v>
      </c>
      <c r="S16" s="7">
        <f>VLOOKUP(B16,'75- Deferred Amortization'!A:G,5,FALSE)</f>
        <v>-7954686</v>
      </c>
      <c r="T16" s="7">
        <f>VLOOKUP(B16,'75- Deferred Amortization'!A:G,6,FALSE)</f>
        <v>-1081297</v>
      </c>
      <c r="U16" s="7">
        <f>VLOOKUP(B16,'75- Deferred Amortization'!A:G,7,FALSE)</f>
        <v>450414</v>
      </c>
      <c r="V16" s="7">
        <f t="shared" si="11"/>
        <v>-1</v>
      </c>
      <c r="W16" s="7">
        <f t="shared" si="1"/>
        <v>0</v>
      </c>
      <c r="X16">
        <v>1</v>
      </c>
      <c r="AC16" s="10">
        <v>71717146</v>
      </c>
      <c r="AD16" s="10">
        <v>0</v>
      </c>
      <c r="AE16" s="10">
        <v>7713</v>
      </c>
      <c r="AF16" s="10">
        <v>0</v>
      </c>
      <c r="AG16" s="7">
        <v>5169435</v>
      </c>
      <c r="AH16" s="7">
        <v>4904335</v>
      </c>
      <c r="AI16" s="7">
        <v>0</v>
      </c>
      <c r="AJ16" s="7">
        <v>31069523</v>
      </c>
      <c r="AK16" s="7">
        <v>4904908</v>
      </c>
      <c r="AM16" s="7">
        <f t="shared" si="2"/>
        <v>-1033887</v>
      </c>
      <c r="AN16" s="7">
        <f t="shared" si="3"/>
        <v>-24382</v>
      </c>
      <c r="AO16" s="10">
        <f t="shared" si="4"/>
        <v>0</v>
      </c>
      <c r="AP16" s="7">
        <f t="shared" si="5"/>
        <v>-941523</v>
      </c>
      <c r="AQ16" s="10">
        <f t="shared" si="6"/>
        <v>3778250</v>
      </c>
      <c r="AR16" s="7">
        <f t="shared" si="7"/>
        <v>-7436640</v>
      </c>
      <c r="AS16" s="10">
        <f t="shared" si="8"/>
        <v>6890431</v>
      </c>
      <c r="AT16" s="10">
        <f t="shared" si="9"/>
        <v>44633</v>
      </c>
      <c r="AU16" s="7">
        <f t="shared" si="10"/>
        <v>0</v>
      </c>
    </row>
    <row r="17" spans="1:47" x14ac:dyDescent="0.25">
      <c r="A17" t="s">
        <v>52</v>
      </c>
      <c r="B17">
        <v>23100</v>
      </c>
      <c r="C17" s="7">
        <f>VLOOKUP(B17,'ER Contributions'!A:D,4,FALSE)</f>
        <v>16936138</v>
      </c>
      <c r="D17" s="8">
        <f>VLOOKUP(B17,'ER Contributions'!A:D,3,FALSE)</f>
        <v>1.5402900000000001E-2</v>
      </c>
      <c r="E17" s="10">
        <f>VLOOKUP(B17,'75 - Summary Exhibit'!A:N,3,FALSE)</f>
        <v>487339827</v>
      </c>
      <c r="F17" s="10">
        <f>VLOOKUP(B17,'75 - Summary Exhibit'!A:N,4,FALSE)</f>
        <v>0</v>
      </c>
      <c r="G17" s="10">
        <f>VLOOKUP(B17,'75 - Summary Exhibit'!A:N,5,FALSE)</f>
        <v>324530</v>
      </c>
      <c r="H17" s="10">
        <f>VLOOKUP(B17,'75 - Summary Exhibit'!A:N,6,FALSE)</f>
        <v>23423847</v>
      </c>
      <c r="I17" s="7">
        <f>VLOOKUP(B17,'75 - Summary Exhibit'!A:N,7,FALSE)</f>
        <v>53576681</v>
      </c>
      <c r="J17" s="7">
        <f>VLOOKUP(B17,'75 - Summary Exhibit'!A:N,8,FALSE)</f>
        <v>24568066</v>
      </c>
      <c r="K17" s="7">
        <f>VLOOKUP(B17,'75 - Summary Exhibit'!A:N,9,FALSE)</f>
        <v>0</v>
      </c>
      <c r="L17" s="7">
        <f>VLOOKUP(B17,'75 - Summary Exhibit'!A:N,10,FALSE)</f>
        <v>146515711</v>
      </c>
      <c r="M17" s="7">
        <f>VLOOKUP(B17,'75 - Summary Exhibit'!A:N,11,FALSE)</f>
        <v>21820386</v>
      </c>
      <c r="N17" s="7">
        <f>VLOOKUP(B17,'75 - Summary Exhibit'!A:N,12,FALSE)</f>
        <v>-7193860</v>
      </c>
      <c r="O17" s="7">
        <f>VLOOKUP(B17,'75 - Summary Exhibit'!A:N,13,FALSE)</f>
        <v>4731203</v>
      </c>
      <c r="P17" s="7">
        <f t="shared" si="0"/>
        <v>-2462657</v>
      </c>
      <c r="Q17" s="7">
        <f>VLOOKUP(B17,'75- Deferred Amortization'!A:G,3,FALSE)</f>
        <v>-41949373</v>
      </c>
      <c r="R17" s="7">
        <f>VLOOKUP(B17,'75- Deferred Amortization'!A:G,4,FALSE)</f>
        <v>-41949373</v>
      </c>
      <c r="S17" s="7">
        <f>VLOOKUP(B17,'75- Deferred Amortization'!A:G,5,FALSE)</f>
        <v>-41902452</v>
      </c>
      <c r="T17" s="7">
        <f>VLOOKUP(B17,'75- Deferred Amortization'!A:G,6,FALSE)</f>
        <v>381462</v>
      </c>
      <c r="U17" s="7">
        <f>VLOOKUP(B17,'75- Deferred Amortization'!A:G,7,FALSE)</f>
        <v>9840630</v>
      </c>
      <c r="V17" s="7">
        <f t="shared" si="11"/>
        <v>2</v>
      </c>
      <c r="W17" s="7">
        <f t="shared" si="1"/>
        <v>1</v>
      </c>
      <c r="X17">
        <v>1</v>
      </c>
      <c r="AC17" s="10">
        <v>416554876</v>
      </c>
      <c r="AD17" s="10">
        <v>0</v>
      </c>
      <c r="AE17" s="10">
        <v>44798</v>
      </c>
      <c r="AF17" s="10">
        <v>0</v>
      </c>
      <c r="AG17" s="7">
        <v>32233245</v>
      </c>
      <c r="AH17" s="7">
        <v>28485859</v>
      </c>
      <c r="AI17" s="7">
        <v>0</v>
      </c>
      <c r="AJ17" s="7">
        <v>180461189</v>
      </c>
      <c r="AK17" s="7">
        <v>29093848</v>
      </c>
      <c r="AM17" s="7">
        <f t="shared" si="2"/>
        <v>21343436</v>
      </c>
      <c r="AN17" s="7">
        <f t="shared" si="3"/>
        <v>-7273462</v>
      </c>
      <c r="AO17" s="10">
        <f t="shared" si="4"/>
        <v>0</v>
      </c>
      <c r="AP17" s="7">
        <f t="shared" si="5"/>
        <v>-3917793</v>
      </c>
      <c r="AQ17" s="10">
        <f t="shared" si="6"/>
        <v>23423847</v>
      </c>
      <c r="AR17" s="7">
        <f t="shared" si="7"/>
        <v>-33945478</v>
      </c>
      <c r="AS17" s="10">
        <f t="shared" si="8"/>
        <v>70784951</v>
      </c>
      <c r="AT17" s="10">
        <f t="shared" si="9"/>
        <v>279732</v>
      </c>
      <c r="AU17" s="7">
        <f t="shared" si="10"/>
        <v>0</v>
      </c>
    </row>
    <row r="18" spans="1:47" x14ac:dyDescent="0.25">
      <c r="A18" t="s">
        <v>44</v>
      </c>
      <c r="B18">
        <v>20900</v>
      </c>
      <c r="C18" s="7">
        <f>VLOOKUP(B18,'ER Contributions'!A:D,4,FALSE)</f>
        <v>11862049</v>
      </c>
      <c r="D18" s="8">
        <f>VLOOKUP(B18,'ER Contributions'!A:D,3,FALSE)</f>
        <v>1.00445E-2</v>
      </c>
      <c r="E18" s="10">
        <f>VLOOKUP(B18,'75 - Summary Exhibit'!A:N,3,FALSE)</f>
        <v>317803677</v>
      </c>
      <c r="F18" s="10">
        <f>VLOOKUP(B18,'75 - Summary Exhibit'!A:N,4,FALSE)</f>
        <v>0</v>
      </c>
      <c r="G18" s="10">
        <f>VLOOKUP(B18,'75 - Summary Exhibit'!A:N,5,FALSE)</f>
        <v>211632</v>
      </c>
      <c r="H18" s="10">
        <f>VLOOKUP(B18,'75 - Summary Exhibit'!A:N,6,FALSE)</f>
        <v>15275141</v>
      </c>
      <c r="I18" s="7">
        <f>VLOOKUP(B18,'75 - Summary Exhibit'!A:N,7,FALSE)</f>
        <v>37032201</v>
      </c>
      <c r="J18" s="7">
        <f>VLOOKUP(B18,'75 - Summary Exhibit'!A:N,8,FALSE)</f>
        <v>16021309</v>
      </c>
      <c r="K18" s="7">
        <f>VLOOKUP(B18,'75 - Summary Exhibit'!A:N,9,FALSE)</f>
        <v>0</v>
      </c>
      <c r="L18" s="7">
        <f>VLOOKUP(B18,'75 - Summary Exhibit'!A:N,10,FALSE)</f>
        <v>95545714</v>
      </c>
      <c r="M18" s="7">
        <f>VLOOKUP(B18,'75 - Summary Exhibit'!A:N,11,FALSE)</f>
        <v>25367022</v>
      </c>
      <c r="N18" s="7">
        <f>VLOOKUP(B18,'75 - Summary Exhibit'!A:N,12,FALSE)</f>
        <v>-4691254</v>
      </c>
      <c r="O18" s="7">
        <f>VLOOKUP(B18,'75 - Summary Exhibit'!A:N,13,FALSE)</f>
        <v>-224472</v>
      </c>
      <c r="P18" s="7">
        <f t="shared" si="0"/>
        <v>-4915726</v>
      </c>
      <c r="Q18" s="7">
        <f>VLOOKUP(B18,'75- Deferred Amortization'!A:G,3,FALSE)</f>
        <v>-30665777</v>
      </c>
      <c r="R18" s="7">
        <f>VLOOKUP(B18,'75- Deferred Amortization'!A:G,4,FALSE)</f>
        <v>-30665777</v>
      </c>
      <c r="S18" s="7">
        <f>VLOOKUP(B18,'75- Deferred Amortization'!A:G,5,FALSE)</f>
        <v>-30635179</v>
      </c>
      <c r="T18" s="7">
        <f>VLOOKUP(B18,'75- Deferred Amortization'!A:G,6,FALSE)</f>
        <v>651484</v>
      </c>
      <c r="U18" s="7">
        <f>VLOOKUP(B18,'75- Deferred Amortization'!A:G,7,FALSE)</f>
        <v>6900180</v>
      </c>
      <c r="V18" s="7">
        <f t="shared" si="11"/>
        <v>1</v>
      </c>
      <c r="W18" s="7">
        <f t="shared" si="1"/>
        <v>-2</v>
      </c>
      <c r="X18">
        <v>1</v>
      </c>
      <c r="AC18" s="10">
        <v>270258283</v>
      </c>
      <c r="AD18" s="10">
        <v>0</v>
      </c>
      <c r="AE18" s="10">
        <v>29065</v>
      </c>
      <c r="AF18" s="10">
        <v>0</v>
      </c>
      <c r="AG18" s="7">
        <v>20618970</v>
      </c>
      <c r="AH18" s="7">
        <v>18481453</v>
      </c>
      <c r="AI18" s="7">
        <v>0</v>
      </c>
      <c r="AJ18" s="7">
        <v>117082127</v>
      </c>
      <c r="AK18" s="7">
        <v>33822696</v>
      </c>
      <c r="AM18" s="7">
        <f t="shared" si="2"/>
        <v>16413231</v>
      </c>
      <c r="AN18" s="7">
        <f t="shared" si="3"/>
        <v>-8455674</v>
      </c>
      <c r="AO18" s="10">
        <f t="shared" si="4"/>
        <v>0</v>
      </c>
      <c r="AP18" s="7">
        <f t="shared" si="5"/>
        <v>-2460144</v>
      </c>
      <c r="AQ18" s="10">
        <f t="shared" si="6"/>
        <v>15275141</v>
      </c>
      <c r="AR18" s="7">
        <f t="shared" si="7"/>
        <v>-21536413</v>
      </c>
      <c r="AS18" s="10">
        <f t="shared" si="8"/>
        <v>47545394</v>
      </c>
      <c r="AT18" s="10">
        <f t="shared" si="9"/>
        <v>182567</v>
      </c>
      <c r="AU18" s="7">
        <f t="shared" si="10"/>
        <v>0</v>
      </c>
    </row>
    <row r="19" spans="1:47" x14ac:dyDescent="0.25">
      <c r="A19" t="s">
        <v>53</v>
      </c>
      <c r="B19">
        <v>23200</v>
      </c>
      <c r="C19" s="7">
        <f>VLOOKUP(B19,'ER Contributions'!A:D,4,FALSE)</f>
        <v>9151354</v>
      </c>
      <c r="D19" s="8">
        <f>VLOOKUP(B19,'ER Contributions'!A:D,3,FALSE)</f>
        <v>8.2035000000000007E-3</v>
      </c>
      <c r="E19" s="10">
        <f>VLOOKUP(B19,'75 - Summary Exhibit'!A:N,3,FALSE)</f>
        <v>259553742</v>
      </c>
      <c r="F19" s="10">
        <f>VLOOKUP(B19,'75 - Summary Exhibit'!A:N,4,FALSE)</f>
        <v>0</v>
      </c>
      <c r="G19" s="10">
        <f>VLOOKUP(B19,'75 - Summary Exhibit'!A:N,5,FALSE)</f>
        <v>172842</v>
      </c>
      <c r="H19" s="10">
        <f>VLOOKUP(B19,'75 - Summary Exhibit'!A:N,6,FALSE)</f>
        <v>12475375</v>
      </c>
      <c r="I19" s="7">
        <f>VLOOKUP(B19,'75 - Summary Exhibit'!A:N,7,FALSE)</f>
        <v>39891406</v>
      </c>
      <c r="J19" s="7">
        <f>VLOOKUP(B19,'75 - Summary Exhibit'!A:N,8,FALSE)</f>
        <v>13084778</v>
      </c>
      <c r="K19" s="7">
        <f>VLOOKUP(B19,'75 - Summary Exhibit'!A:N,9,FALSE)</f>
        <v>0</v>
      </c>
      <c r="L19" s="7">
        <f>VLOOKUP(B19,'75 - Summary Exhibit'!A:N,10,FALSE)</f>
        <v>78033230</v>
      </c>
      <c r="M19" s="7">
        <f>VLOOKUP(B19,'75 - Summary Exhibit'!A:N,11,FALSE)</f>
        <v>16800768</v>
      </c>
      <c r="N19" s="7">
        <f>VLOOKUP(B19,'75 - Summary Exhibit'!A:N,12,FALSE)</f>
        <v>-3831399</v>
      </c>
      <c r="O19" s="7">
        <f>VLOOKUP(B19,'75 - Summary Exhibit'!A:N,13,FALSE)</f>
        <v>3007112</v>
      </c>
      <c r="P19" s="7">
        <f t="shared" si="0"/>
        <v>-824287</v>
      </c>
      <c r="Q19" s="7">
        <f>VLOOKUP(B19,'75- Deferred Amortization'!A:G,3,FALSE)</f>
        <v>-21854631</v>
      </c>
      <c r="R19" s="7">
        <f>VLOOKUP(B19,'75- Deferred Amortization'!A:G,4,FALSE)</f>
        <v>-21854631</v>
      </c>
      <c r="S19" s="7">
        <f>VLOOKUP(B19,'75- Deferred Amortization'!A:G,5,FALSE)</f>
        <v>-21829641</v>
      </c>
      <c r="T19" s="7">
        <f>VLOOKUP(B19,'75- Deferred Amortization'!A:G,6,FALSE)</f>
        <v>2416934</v>
      </c>
      <c r="U19" s="7">
        <f>VLOOKUP(B19,'75- Deferred Amortization'!A:G,7,FALSE)</f>
        <v>7742816</v>
      </c>
      <c r="V19" s="7">
        <f t="shared" si="11"/>
        <v>1</v>
      </c>
      <c r="W19" s="7">
        <f t="shared" si="1"/>
        <v>0</v>
      </c>
      <c r="X19">
        <v>1</v>
      </c>
      <c r="AC19" s="10">
        <v>211944551</v>
      </c>
      <c r="AD19" s="10">
        <v>0</v>
      </c>
      <c r="AE19" s="10">
        <v>22794</v>
      </c>
      <c r="AF19" s="10">
        <v>0</v>
      </c>
      <c r="AG19" s="7">
        <v>15727220</v>
      </c>
      <c r="AH19" s="7">
        <v>14493703</v>
      </c>
      <c r="AI19" s="7">
        <v>0</v>
      </c>
      <c r="AJ19" s="7">
        <v>91819273</v>
      </c>
      <c r="AK19" s="7">
        <v>22401024</v>
      </c>
      <c r="AM19" s="7">
        <f t="shared" si="2"/>
        <v>24164186</v>
      </c>
      <c r="AN19" s="7">
        <f t="shared" si="3"/>
        <v>-5600256</v>
      </c>
      <c r="AO19" s="10">
        <f t="shared" si="4"/>
        <v>0</v>
      </c>
      <c r="AP19" s="7">
        <f t="shared" si="5"/>
        <v>-1408925</v>
      </c>
      <c r="AQ19" s="10">
        <f t="shared" si="6"/>
        <v>12475375</v>
      </c>
      <c r="AR19" s="7">
        <f t="shared" si="7"/>
        <v>-13786043</v>
      </c>
      <c r="AS19" s="10">
        <f t="shared" si="8"/>
        <v>47609191</v>
      </c>
      <c r="AT19" s="10">
        <f t="shared" si="9"/>
        <v>150048</v>
      </c>
      <c r="AU19" s="7">
        <f t="shared" si="10"/>
        <v>0</v>
      </c>
    </row>
    <row r="20" spans="1:47" x14ac:dyDescent="0.25">
      <c r="A20" t="s">
        <v>49</v>
      </c>
      <c r="B20">
        <v>21800</v>
      </c>
      <c r="C20" s="7">
        <f>VLOOKUP(B20,'ER Contributions'!A:D,4,FALSE)</f>
        <v>6133797</v>
      </c>
      <c r="D20" s="8">
        <f>VLOOKUP(B20,'ER Contributions'!A:D,3,FALSE)</f>
        <v>5.7892000000000004E-3</v>
      </c>
      <c r="E20" s="10">
        <f>VLOOKUP(B20,'75 - Summary Exhibit'!A:N,3,FALSE)</f>
        <v>183167497</v>
      </c>
      <c r="F20" s="10">
        <f>VLOOKUP(B20,'75 - Summary Exhibit'!A:N,4,FALSE)</f>
        <v>0</v>
      </c>
      <c r="G20" s="10">
        <f>VLOOKUP(B20,'75 - Summary Exhibit'!A:N,5,FALSE)</f>
        <v>121975</v>
      </c>
      <c r="H20" s="10">
        <f>VLOOKUP(B20,'75 - Summary Exhibit'!A:N,6,FALSE)</f>
        <v>8803892</v>
      </c>
      <c r="I20" s="7">
        <f>VLOOKUP(B20,'75 - Summary Exhibit'!A:N,7,FALSE)</f>
        <v>18114981</v>
      </c>
      <c r="J20" s="7">
        <f>VLOOKUP(B20,'75 - Summary Exhibit'!A:N,8,FALSE)</f>
        <v>9233949</v>
      </c>
      <c r="K20" s="7">
        <f>VLOOKUP(B20,'75 - Summary Exhibit'!A:N,9,FALSE)</f>
        <v>0</v>
      </c>
      <c r="L20" s="7">
        <f>VLOOKUP(B20,'75 - Summary Exhibit'!A:N,10,FALSE)</f>
        <v>55068177</v>
      </c>
      <c r="M20" s="7">
        <f>VLOOKUP(B20,'75 - Summary Exhibit'!A:N,11,FALSE)</f>
        <v>14134551</v>
      </c>
      <c r="N20" s="7">
        <f>VLOOKUP(B20,'75 - Summary Exhibit'!A:N,12,FALSE)</f>
        <v>-2703824</v>
      </c>
      <c r="O20" s="7">
        <f>VLOOKUP(B20,'75 - Summary Exhibit'!A:N,13,FALSE)</f>
        <v>-478927</v>
      </c>
      <c r="P20" s="7">
        <f t="shared" si="0"/>
        <v>-3182751</v>
      </c>
      <c r="Q20" s="7">
        <f>VLOOKUP(B20,'75- Deferred Amortization'!A:G,3,FALSE)</f>
        <v>-18023904</v>
      </c>
      <c r="R20" s="7">
        <f>VLOOKUP(B20,'75- Deferred Amortization'!A:G,4,FALSE)</f>
        <v>-18023904</v>
      </c>
      <c r="S20" s="7">
        <f>VLOOKUP(B20,'75- Deferred Amortization'!A:G,5,FALSE)</f>
        <v>-18006268</v>
      </c>
      <c r="T20" s="7">
        <f>VLOOKUP(B20,'75- Deferred Amortization'!A:G,6,FALSE)</f>
        <v>-136014</v>
      </c>
      <c r="U20" s="7">
        <f>VLOOKUP(B20,'75- Deferred Amortization'!A:G,7,FALSE)</f>
        <v>2794260</v>
      </c>
      <c r="V20" s="7">
        <f t="shared" si="11"/>
        <v>0</v>
      </c>
      <c r="W20" s="7">
        <f t="shared" si="1"/>
        <v>1</v>
      </c>
      <c r="X20">
        <v>1</v>
      </c>
      <c r="AC20" s="10">
        <v>160022367</v>
      </c>
      <c r="AD20" s="10">
        <v>0</v>
      </c>
      <c r="AE20" s="10">
        <v>17210</v>
      </c>
      <c r="AF20" s="10">
        <v>0</v>
      </c>
      <c r="AG20" s="7">
        <v>15239770</v>
      </c>
      <c r="AH20" s="7">
        <v>10943035</v>
      </c>
      <c r="AI20" s="7">
        <v>0</v>
      </c>
      <c r="AJ20" s="7">
        <v>69325384</v>
      </c>
      <c r="AK20" s="7">
        <v>18846068</v>
      </c>
      <c r="AM20" s="7">
        <f t="shared" si="2"/>
        <v>2875211</v>
      </c>
      <c r="AN20" s="7">
        <f t="shared" si="3"/>
        <v>-4711517</v>
      </c>
      <c r="AO20" s="10">
        <f t="shared" si="4"/>
        <v>0</v>
      </c>
      <c r="AP20" s="7">
        <f t="shared" si="5"/>
        <v>-1709086</v>
      </c>
      <c r="AQ20" s="10">
        <f t="shared" si="6"/>
        <v>8803892</v>
      </c>
      <c r="AR20" s="7">
        <f t="shared" si="7"/>
        <v>-14257207</v>
      </c>
      <c r="AS20" s="10">
        <f t="shared" si="8"/>
        <v>23145130</v>
      </c>
      <c r="AT20" s="10">
        <f t="shared" si="9"/>
        <v>104765</v>
      </c>
      <c r="AU20" s="7">
        <f t="shared" si="10"/>
        <v>0</v>
      </c>
    </row>
    <row r="21" spans="1:47" x14ac:dyDescent="0.25">
      <c r="A21" t="s">
        <v>50</v>
      </c>
      <c r="B21">
        <v>21900</v>
      </c>
      <c r="C21" s="7">
        <f>VLOOKUP(B21,'ER Contributions'!A:D,4,FALSE)</f>
        <v>3524097</v>
      </c>
      <c r="D21" s="8">
        <f>VLOOKUP(B21,'ER Contributions'!A:D,3,FALSE)</f>
        <v>2.9853000000000002E-3</v>
      </c>
      <c r="E21" s="10">
        <f>VLOOKUP(B21,'75 - Summary Exhibit'!A:N,3,FALSE)</f>
        <v>94453926</v>
      </c>
      <c r="F21" s="10">
        <f>VLOOKUP(B21,'75 - Summary Exhibit'!A:N,4,FALSE)</f>
        <v>0</v>
      </c>
      <c r="G21" s="10">
        <f>VLOOKUP(B21,'75 - Summary Exhibit'!A:N,5,FALSE)</f>
        <v>62899</v>
      </c>
      <c r="H21" s="10">
        <f>VLOOKUP(B21,'75 - Summary Exhibit'!A:N,6,FALSE)</f>
        <v>4539900</v>
      </c>
      <c r="I21" s="7">
        <f>VLOOKUP(B21,'75 - Summary Exhibit'!A:N,7,FALSE)</f>
        <v>3275304</v>
      </c>
      <c r="J21" s="7">
        <f>VLOOKUP(B21,'75 - Summary Exhibit'!A:N,8,FALSE)</f>
        <v>4761668</v>
      </c>
      <c r="K21" s="7">
        <f>VLOOKUP(B21,'75 - Summary Exhibit'!A:N,9,FALSE)</f>
        <v>0</v>
      </c>
      <c r="L21" s="7">
        <f>VLOOKUP(B21,'75 - Summary Exhibit'!A:N,10,FALSE)</f>
        <v>28396990</v>
      </c>
      <c r="M21" s="7">
        <f>VLOOKUP(B21,'75 - Summary Exhibit'!A:N,11,FALSE)</f>
        <v>12475760</v>
      </c>
      <c r="N21" s="7">
        <f>VLOOKUP(B21,'75 - Summary Exhibit'!A:N,12,FALSE)</f>
        <v>-1394280</v>
      </c>
      <c r="O21" s="7">
        <f>VLOOKUP(B21,'75 - Summary Exhibit'!A:N,13,FALSE)</f>
        <v>-2652092</v>
      </c>
      <c r="P21" s="7">
        <f t="shared" si="0"/>
        <v>-4046372</v>
      </c>
      <c r="Q21" s="7">
        <f>VLOOKUP(B21,'75- Deferred Amortization'!A:G,3,FALSE)</f>
        <v>-11699503</v>
      </c>
      <c r="R21" s="7">
        <f>VLOOKUP(B21,'75- Deferred Amortization'!A:G,4,FALSE)</f>
        <v>-11699503</v>
      </c>
      <c r="S21" s="7">
        <f>VLOOKUP(B21,'75- Deferred Amortization'!A:G,5,FALSE)</f>
        <v>-11690409</v>
      </c>
      <c r="T21" s="7">
        <f>VLOOKUP(B21,'75- Deferred Amortization'!A:G,6,FALSE)</f>
        <v>-2465432</v>
      </c>
      <c r="U21" s="7">
        <f>VLOOKUP(B21,'75- Deferred Amortization'!A:G,7,FALSE)</f>
        <v>-201467</v>
      </c>
      <c r="V21" s="7">
        <f t="shared" si="11"/>
        <v>-1</v>
      </c>
      <c r="W21" s="7">
        <f t="shared" si="1"/>
        <v>-1</v>
      </c>
      <c r="X21">
        <v>1</v>
      </c>
      <c r="AC21" s="10">
        <v>89322133</v>
      </c>
      <c r="AD21" s="10">
        <v>0</v>
      </c>
      <c r="AE21" s="10">
        <v>9606</v>
      </c>
      <c r="AF21" s="10">
        <v>0</v>
      </c>
      <c r="AG21" s="7">
        <v>4094130</v>
      </c>
      <c r="AH21" s="7">
        <v>6108241</v>
      </c>
      <c r="AI21" s="7">
        <v>0</v>
      </c>
      <c r="AJ21" s="7">
        <v>38696411</v>
      </c>
      <c r="AK21" s="7">
        <v>9757660</v>
      </c>
      <c r="AM21" s="7">
        <f t="shared" si="2"/>
        <v>-818826</v>
      </c>
      <c r="AN21" s="7">
        <f t="shared" si="3"/>
        <v>2718100</v>
      </c>
      <c r="AO21" s="10">
        <f t="shared" si="4"/>
        <v>0</v>
      </c>
      <c r="AP21" s="7">
        <f t="shared" si="5"/>
        <v>-1346573</v>
      </c>
      <c r="AQ21" s="10">
        <f t="shared" si="6"/>
        <v>4539900</v>
      </c>
      <c r="AR21" s="7">
        <f t="shared" si="7"/>
        <v>-10299421</v>
      </c>
      <c r="AS21" s="10">
        <f t="shared" si="8"/>
        <v>5131793</v>
      </c>
      <c r="AT21" s="10">
        <f t="shared" si="9"/>
        <v>53293</v>
      </c>
      <c r="AU21" s="7">
        <f t="shared" si="10"/>
        <v>0</v>
      </c>
    </row>
    <row r="22" spans="1:47" x14ac:dyDescent="0.25">
      <c r="A22" t="s">
        <v>54</v>
      </c>
      <c r="B22">
        <v>30105</v>
      </c>
      <c r="C22" s="7">
        <f>VLOOKUP(B22,'ER Contributions'!A:D,4,FALSE)</f>
        <v>896284</v>
      </c>
      <c r="D22" s="8">
        <f>VLOOKUP(B22,'ER Contributions'!A:D,3,FALSE)</f>
        <v>7.5190000000000001E-4</v>
      </c>
      <c r="E22" s="10">
        <f>VLOOKUP(B22,'75 - Summary Exhibit'!A:N,3,FALSE)</f>
        <v>23790801</v>
      </c>
      <c r="F22" s="10">
        <f>VLOOKUP(B22,'75 - Summary Exhibit'!A:N,4,FALSE)</f>
        <v>0</v>
      </c>
      <c r="G22" s="10">
        <f>VLOOKUP(B22,'75 - Summary Exhibit'!A:N,5,FALSE)</f>
        <v>15843</v>
      </c>
      <c r="H22" s="10">
        <f>VLOOKUP(B22,'75 - Summary Exhibit'!A:N,6,FALSE)</f>
        <v>1143498</v>
      </c>
      <c r="I22" s="7">
        <f>VLOOKUP(B22,'75 - Summary Exhibit'!A:N,7,FALSE)</f>
        <v>1689497</v>
      </c>
      <c r="J22" s="7">
        <f>VLOOKUP(B22,'75 - Summary Exhibit'!A:N,8,FALSE)</f>
        <v>1199356</v>
      </c>
      <c r="K22" s="7">
        <f>VLOOKUP(B22,'75 - Summary Exhibit'!A:N,9,FALSE)</f>
        <v>0</v>
      </c>
      <c r="L22" s="7">
        <f>VLOOKUP(B22,'75 - Summary Exhibit'!A:N,10,FALSE)</f>
        <v>7152557</v>
      </c>
      <c r="M22" s="7">
        <f>VLOOKUP(B22,'75 - Summary Exhibit'!A:N,11,FALSE)</f>
        <v>755840</v>
      </c>
      <c r="N22" s="7">
        <f>VLOOKUP(B22,'75 - Summary Exhibit'!A:N,12,FALSE)</f>
        <v>-351188</v>
      </c>
      <c r="O22" s="7">
        <f>VLOOKUP(B22,'75 - Summary Exhibit'!A:N,13,FALSE)</f>
        <v>301905</v>
      </c>
      <c r="P22" s="7">
        <f t="shared" si="0"/>
        <v>-49283</v>
      </c>
      <c r="Q22" s="7">
        <f>VLOOKUP(B22,'75- Deferred Amortization'!A:G,3,FALSE)</f>
        <v>-1976935</v>
      </c>
      <c r="R22" s="7">
        <f>VLOOKUP(B22,'75- Deferred Amortization'!A:G,4,FALSE)</f>
        <v>-1976935</v>
      </c>
      <c r="S22" s="7">
        <f>VLOOKUP(B22,'75- Deferred Amortization'!A:G,5,FALSE)</f>
        <v>-1974644</v>
      </c>
      <c r="T22" s="7">
        <f>VLOOKUP(B22,'75- Deferred Amortization'!A:G,6,FALSE)</f>
        <v>-388302</v>
      </c>
      <c r="U22" s="7">
        <f>VLOOKUP(B22,'75- Deferred Amortization'!A:G,7,FALSE)</f>
        <v>57899</v>
      </c>
      <c r="V22" s="7">
        <f t="shared" si="11"/>
        <v>-1</v>
      </c>
      <c r="W22" s="7">
        <f t="shared" si="1"/>
        <v>2</v>
      </c>
      <c r="X22">
        <v>2</v>
      </c>
      <c r="AC22" s="10">
        <v>22069831</v>
      </c>
      <c r="AD22" s="10">
        <v>0</v>
      </c>
      <c r="AE22" s="10">
        <v>2373</v>
      </c>
      <c r="AF22" s="10">
        <v>0</v>
      </c>
      <c r="AG22" s="7">
        <v>2142568</v>
      </c>
      <c r="AH22" s="7">
        <v>1509232</v>
      </c>
      <c r="AI22" s="7">
        <v>0</v>
      </c>
      <c r="AJ22" s="7">
        <v>9561160</v>
      </c>
      <c r="AK22" s="7">
        <v>0</v>
      </c>
      <c r="AM22" s="7">
        <f t="shared" si="2"/>
        <v>-453071</v>
      </c>
      <c r="AN22" s="7">
        <f t="shared" si="3"/>
        <v>755840</v>
      </c>
      <c r="AO22" s="10">
        <f t="shared" si="4"/>
        <v>0</v>
      </c>
      <c r="AP22" s="7">
        <f t="shared" si="5"/>
        <v>-309876</v>
      </c>
      <c r="AQ22" s="10">
        <f t="shared" si="6"/>
        <v>1143498</v>
      </c>
      <c r="AR22" s="7">
        <f t="shared" si="7"/>
        <v>-2408603</v>
      </c>
      <c r="AS22" s="10">
        <f t="shared" si="8"/>
        <v>1720970</v>
      </c>
      <c r="AT22" s="10">
        <f t="shared" si="9"/>
        <v>13470</v>
      </c>
      <c r="AU22" s="7">
        <f t="shared" si="10"/>
        <v>0</v>
      </c>
    </row>
    <row r="23" spans="1:47" x14ac:dyDescent="0.25">
      <c r="A23" t="s">
        <v>59</v>
      </c>
      <c r="B23">
        <v>31105</v>
      </c>
      <c r="C23" s="7">
        <f>VLOOKUP(B23,'ER Contributions'!A:D,4,FALSE)</f>
        <v>1538436</v>
      </c>
      <c r="D23" s="8">
        <f>VLOOKUP(B23,'ER Contributions'!A:D,3,FALSE)</f>
        <v>1.3437E-3</v>
      </c>
      <c r="E23" s="10">
        <f>VLOOKUP(B23,'75 - Summary Exhibit'!A:N,3,FALSE)</f>
        <v>42514664</v>
      </c>
      <c r="F23" s="10">
        <f>VLOOKUP(B23,'75 - Summary Exhibit'!A:N,4,FALSE)</f>
        <v>0</v>
      </c>
      <c r="G23" s="10">
        <f>VLOOKUP(B23,'75 - Summary Exhibit'!A:N,5,FALSE)</f>
        <v>28311</v>
      </c>
      <c r="H23" s="10">
        <f>VLOOKUP(B23,'75 - Summary Exhibit'!A:N,6,FALSE)</f>
        <v>2043455</v>
      </c>
      <c r="I23" s="7">
        <f>VLOOKUP(B23,'75 - Summary Exhibit'!A:N,7,FALSE)</f>
        <v>2369596</v>
      </c>
      <c r="J23" s="7">
        <f>VLOOKUP(B23,'75 - Summary Exhibit'!A:N,8,FALSE)</f>
        <v>2143275</v>
      </c>
      <c r="K23" s="7">
        <f>VLOOKUP(B23,'75 - Summary Exhibit'!A:N,9,FALSE)</f>
        <v>0</v>
      </c>
      <c r="L23" s="7">
        <f>VLOOKUP(B23,'75 - Summary Exhibit'!A:N,10,FALSE)</f>
        <v>12781771</v>
      </c>
      <c r="M23" s="7">
        <f>VLOOKUP(B23,'75 - Summary Exhibit'!A:N,11,FALSE)</f>
        <v>3073609</v>
      </c>
      <c r="N23" s="7">
        <f>VLOOKUP(B23,'75 - Summary Exhibit'!A:N,12,FALSE)</f>
        <v>-627580</v>
      </c>
      <c r="O23" s="7">
        <f>VLOOKUP(B23,'75 - Summary Exhibit'!A:N,13,FALSE)</f>
        <v>-278997</v>
      </c>
      <c r="P23" s="7">
        <f t="shared" si="0"/>
        <v>-906577</v>
      </c>
      <c r="Q23" s="7">
        <f>VLOOKUP(B23,'75- Deferred Amortization'!A:G,3,FALSE)</f>
        <v>-4351331</v>
      </c>
      <c r="R23" s="7">
        <f>VLOOKUP(B23,'75- Deferred Amortization'!A:G,4,FALSE)</f>
        <v>-4351331</v>
      </c>
      <c r="S23" s="7">
        <f>VLOOKUP(B23,'75- Deferred Amortization'!A:G,5,FALSE)</f>
        <v>-4347238</v>
      </c>
      <c r="T23" s="7">
        <f>VLOOKUP(B23,'75- Deferred Amortization'!A:G,6,FALSE)</f>
        <v>-651295</v>
      </c>
      <c r="U23" s="7">
        <f>VLOOKUP(B23,'75- Deferred Amortization'!A:G,7,FALSE)</f>
        <v>143902</v>
      </c>
      <c r="V23" s="7">
        <f t="shared" si="11"/>
        <v>-2</v>
      </c>
      <c r="W23" s="7">
        <f t="shared" si="1"/>
        <v>0</v>
      </c>
      <c r="X23">
        <v>2</v>
      </c>
      <c r="AC23" s="10">
        <v>39235560</v>
      </c>
      <c r="AD23" s="10">
        <v>0</v>
      </c>
      <c r="AE23" s="10">
        <v>4220</v>
      </c>
      <c r="AF23" s="10">
        <v>0</v>
      </c>
      <c r="AG23" s="7">
        <v>2961995</v>
      </c>
      <c r="AH23" s="7">
        <v>2683101</v>
      </c>
      <c r="AI23" s="7">
        <v>0</v>
      </c>
      <c r="AJ23" s="7">
        <v>16997750</v>
      </c>
      <c r="AK23" s="7">
        <v>2566772</v>
      </c>
      <c r="AM23" s="7">
        <f t="shared" si="2"/>
        <v>-592399</v>
      </c>
      <c r="AN23" s="7">
        <f t="shared" si="3"/>
        <v>506837</v>
      </c>
      <c r="AO23" s="10">
        <f t="shared" si="4"/>
        <v>0</v>
      </c>
      <c r="AP23" s="7">
        <f t="shared" si="5"/>
        <v>-539826</v>
      </c>
      <c r="AQ23" s="10">
        <f t="shared" si="6"/>
        <v>2043455</v>
      </c>
      <c r="AR23" s="7">
        <f t="shared" si="7"/>
        <v>-4215979</v>
      </c>
      <c r="AS23" s="10">
        <f t="shared" si="8"/>
        <v>3279104</v>
      </c>
      <c r="AT23" s="10">
        <f t="shared" si="9"/>
        <v>24091</v>
      </c>
      <c r="AU23" s="7">
        <f t="shared" si="10"/>
        <v>0</v>
      </c>
    </row>
    <row r="24" spans="1:47" x14ac:dyDescent="0.25">
      <c r="A24" t="s">
        <v>56</v>
      </c>
      <c r="B24">
        <v>30705</v>
      </c>
      <c r="C24" s="7">
        <f>VLOOKUP(B24,'ER Contributions'!A:D,4,FALSE)</f>
        <v>457415</v>
      </c>
      <c r="D24" s="8">
        <f>VLOOKUP(B24,'ER Contributions'!A:D,3,FALSE)</f>
        <v>4.0759999999999999E-4</v>
      </c>
      <c r="E24" s="10">
        <f>VLOOKUP(B24,'75 - Summary Exhibit'!A:N,3,FALSE)</f>
        <v>12895501</v>
      </c>
      <c r="F24" s="10">
        <f>VLOOKUP(B24,'75 - Summary Exhibit'!A:N,4,FALSE)</f>
        <v>0</v>
      </c>
      <c r="G24" s="10">
        <f>VLOOKUP(B24,'75 - Summary Exhibit'!A:N,5,FALSE)</f>
        <v>8587</v>
      </c>
      <c r="H24" s="10">
        <f>VLOOKUP(B24,'75 - Summary Exhibit'!A:N,6,FALSE)</f>
        <v>619819</v>
      </c>
      <c r="I24" s="7">
        <f>VLOOKUP(B24,'75 - Summary Exhibit'!A:N,7,FALSE)</f>
        <v>55240</v>
      </c>
      <c r="J24" s="7">
        <f>VLOOKUP(B24,'75 - Summary Exhibit'!A:N,8,FALSE)</f>
        <v>650096</v>
      </c>
      <c r="K24" s="7">
        <f>VLOOKUP(B24,'75 - Summary Exhibit'!A:N,9,FALSE)</f>
        <v>0</v>
      </c>
      <c r="L24" s="7">
        <f>VLOOKUP(B24,'75 - Summary Exhibit'!A:N,10,FALSE)</f>
        <v>3876953</v>
      </c>
      <c r="M24" s="7">
        <f>VLOOKUP(B24,'75 - Summary Exhibit'!A:N,11,FALSE)</f>
        <v>967614</v>
      </c>
      <c r="N24" s="7">
        <f>VLOOKUP(B24,'75 - Summary Exhibit'!A:N,12,FALSE)</f>
        <v>-190357</v>
      </c>
      <c r="O24" s="7">
        <f>VLOOKUP(B24,'75 - Summary Exhibit'!A:N,13,FALSE)</f>
        <v>-287123</v>
      </c>
      <c r="P24" s="7">
        <f t="shared" si="0"/>
        <v>-477480</v>
      </c>
      <c r="Q24" s="7">
        <f>VLOOKUP(B24,'75- Deferred Amortization'!A:G,3,FALSE)</f>
        <v>-1522339</v>
      </c>
      <c r="R24" s="7">
        <f>VLOOKUP(B24,'75- Deferred Amortization'!A:G,4,FALSE)</f>
        <v>-1522339</v>
      </c>
      <c r="S24" s="7">
        <f>VLOOKUP(B24,'75- Deferred Amortization'!A:G,5,FALSE)</f>
        <v>-1521097</v>
      </c>
      <c r="T24" s="7">
        <f>VLOOKUP(B24,'75- Deferred Amortization'!A:G,6,FALSE)</f>
        <v>-326158</v>
      </c>
      <c r="U24" s="7">
        <f>VLOOKUP(B24,'75- Deferred Amortization'!A:G,7,FALSE)</f>
        <v>80916</v>
      </c>
      <c r="V24" s="7">
        <f t="shared" si="11"/>
        <v>-1</v>
      </c>
      <c r="W24" s="7">
        <f t="shared" si="1"/>
        <v>0</v>
      </c>
      <c r="X24">
        <v>2</v>
      </c>
      <c r="AC24" s="10">
        <v>11745821</v>
      </c>
      <c r="AD24" s="10">
        <v>0</v>
      </c>
      <c r="AE24" s="10">
        <v>1263</v>
      </c>
      <c r="AF24" s="10">
        <v>0</v>
      </c>
      <c r="AG24" s="7">
        <v>69050</v>
      </c>
      <c r="AH24" s="7">
        <v>803231</v>
      </c>
      <c r="AI24" s="7">
        <v>0</v>
      </c>
      <c r="AJ24" s="7">
        <v>5088561</v>
      </c>
      <c r="AK24" s="7">
        <v>1074112</v>
      </c>
      <c r="AM24" s="7">
        <f t="shared" si="2"/>
        <v>-13810</v>
      </c>
      <c r="AN24" s="7">
        <f t="shared" si="3"/>
        <v>-106498</v>
      </c>
      <c r="AO24" s="10">
        <f t="shared" si="4"/>
        <v>0</v>
      </c>
      <c r="AP24" s="7">
        <f t="shared" si="5"/>
        <v>-153135</v>
      </c>
      <c r="AQ24" s="10">
        <f t="shared" si="6"/>
        <v>619819</v>
      </c>
      <c r="AR24" s="7">
        <f t="shared" si="7"/>
        <v>-1211608</v>
      </c>
      <c r="AS24" s="10">
        <f t="shared" si="8"/>
        <v>1149680</v>
      </c>
      <c r="AT24" s="10">
        <f t="shared" si="9"/>
        <v>7324</v>
      </c>
      <c r="AU24" s="7">
        <f t="shared" si="10"/>
        <v>0</v>
      </c>
    </row>
    <row r="25" spans="1:47" x14ac:dyDescent="0.25">
      <c r="A25" t="s">
        <v>57</v>
      </c>
      <c r="B25">
        <v>30905</v>
      </c>
      <c r="C25" s="7">
        <f>VLOOKUP(B25,'ER Contributions'!A:D,4,FALSE)</f>
        <v>388211</v>
      </c>
      <c r="D25" s="8">
        <f>VLOOKUP(B25,'ER Contributions'!A:D,3,FALSE)</f>
        <v>2.654E-4</v>
      </c>
      <c r="E25" s="10">
        <f>VLOOKUP(B25,'75 - Summary Exhibit'!A:N,3,FALSE)</f>
        <v>8398482</v>
      </c>
      <c r="F25" s="10">
        <f>VLOOKUP(B25,'75 - Summary Exhibit'!A:N,4,FALSE)</f>
        <v>0</v>
      </c>
      <c r="G25" s="10">
        <f>VLOOKUP(B25,'75 - Summary Exhibit'!A:N,5,FALSE)</f>
        <v>5593</v>
      </c>
      <c r="H25" s="10">
        <f>VLOOKUP(B25,'75 - Summary Exhibit'!A:N,6,FALSE)</f>
        <v>403671</v>
      </c>
      <c r="I25" s="7">
        <f>VLOOKUP(B25,'75 - Summary Exhibit'!A:N,7,FALSE)</f>
        <v>316384</v>
      </c>
      <c r="J25" s="7">
        <f>VLOOKUP(B25,'75 - Summary Exhibit'!A:N,8,FALSE)</f>
        <v>423389</v>
      </c>
      <c r="K25" s="7">
        <f>VLOOKUP(B25,'75 - Summary Exhibit'!A:N,9,FALSE)</f>
        <v>0</v>
      </c>
      <c r="L25" s="7">
        <f>VLOOKUP(B25,'75 - Summary Exhibit'!A:N,10,FALSE)</f>
        <v>2524952</v>
      </c>
      <c r="M25" s="7">
        <f>VLOOKUP(B25,'75 - Summary Exhibit'!A:N,11,FALSE)</f>
        <v>903891</v>
      </c>
      <c r="N25" s="7">
        <f>VLOOKUP(B25,'75 - Summary Exhibit'!A:N,12,FALSE)</f>
        <v>-123974</v>
      </c>
      <c r="O25" s="7">
        <f>VLOOKUP(B25,'75 - Summary Exhibit'!A:N,13,FALSE)</f>
        <v>-223370</v>
      </c>
      <c r="P25" s="7">
        <f t="shared" si="0"/>
        <v>-347344</v>
      </c>
      <c r="Q25" s="7">
        <f>VLOOKUP(B25,'75- Deferred Amortization'!A:G,3,FALSE)</f>
        <v>-1027833</v>
      </c>
      <c r="R25" s="7">
        <f>VLOOKUP(B25,'75- Deferred Amortization'!A:G,4,FALSE)</f>
        <v>-1027833</v>
      </c>
      <c r="S25" s="7">
        <f>VLOOKUP(B25,'75- Deferred Amortization'!A:G,5,FALSE)</f>
        <v>-1027025</v>
      </c>
      <c r="T25" s="7">
        <f>VLOOKUP(B25,'75- Deferred Amortization'!A:G,6,FALSE)</f>
        <v>-122381</v>
      </c>
      <c r="U25" s="7">
        <f>VLOOKUP(B25,'75- Deferred Amortization'!A:G,7,FALSE)</f>
        <v>78488</v>
      </c>
      <c r="V25" s="7">
        <f t="shared" si="11"/>
        <v>1</v>
      </c>
      <c r="W25" s="7">
        <f t="shared" si="1"/>
        <v>0</v>
      </c>
      <c r="X25">
        <v>2</v>
      </c>
      <c r="AC25" s="10">
        <v>7606819</v>
      </c>
      <c r="AD25" s="10">
        <v>0</v>
      </c>
      <c r="AE25" s="10">
        <v>818</v>
      </c>
      <c r="AF25" s="10">
        <v>0</v>
      </c>
      <c r="AG25" s="7">
        <v>366205</v>
      </c>
      <c r="AH25" s="7">
        <v>520188</v>
      </c>
      <c r="AI25" s="7">
        <v>0</v>
      </c>
      <c r="AJ25" s="7">
        <v>3295450</v>
      </c>
      <c r="AK25" s="7">
        <v>1205188</v>
      </c>
      <c r="AM25" s="7">
        <f t="shared" si="2"/>
        <v>-49821</v>
      </c>
      <c r="AN25" s="7">
        <f t="shared" si="3"/>
        <v>-301297</v>
      </c>
      <c r="AO25" s="10">
        <f t="shared" si="4"/>
        <v>0</v>
      </c>
      <c r="AP25" s="7">
        <f t="shared" si="5"/>
        <v>-96799</v>
      </c>
      <c r="AQ25" s="10">
        <f t="shared" si="6"/>
        <v>403671</v>
      </c>
      <c r="AR25" s="7">
        <f t="shared" si="7"/>
        <v>-770498</v>
      </c>
      <c r="AS25" s="10">
        <f t="shared" si="8"/>
        <v>791663</v>
      </c>
      <c r="AT25" s="10">
        <f t="shared" si="9"/>
        <v>4775</v>
      </c>
      <c r="AU25" s="7">
        <f t="shared" si="10"/>
        <v>0</v>
      </c>
    </row>
    <row r="26" spans="1:47" x14ac:dyDescent="0.25">
      <c r="A26" t="s">
        <v>78</v>
      </c>
      <c r="B26">
        <v>34505</v>
      </c>
      <c r="C26" s="7">
        <f>VLOOKUP(B26,'ER Contributions'!A:D,4,FALSE)</f>
        <v>662244</v>
      </c>
      <c r="D26" s="8">
        <f>VLOOKUP(B26,'ER Contributions'!A:D,3,FALSE)</f>
        <v>5.4839999999999999E-4</v>
      </c>
      <c r="E26" s="10">
        <f>VLOOKUP(B26,'75 - Summary Exhibit'!A:N,3,FALSE)</f>
        <v>17349694</v>
      </c>
      <c r="F26" s="10">
        <f>VLOOKUP(B26,'75 - Summary Exhibit'!A:N,4,FALSE)</f>
        <v>0</v>
      </c>
      <c r="G26" s="10">
        <f>VLOOKUP(B26,'75 - Summary Exhibit'!A:N,5,FALSE)</f>
        <v>11554</v>
      </c>
      <c r="H26" s="10">
        <f>VLOOKUP(B26,'75 - Summary Exhibit'!A:N,6,FALSE)</f>
        <v>833908</v>
      </c>
      <c r="I26" s="7">
        <f>VLOOKUP(B26,'75 - Summary Exhibit'!A:N,7,FALSE)</f>
        <v>1348388</v>
      </c>
      <c r="J26" s="7">
        <f>VLOOKUP(B26,'75 - Summary Exhibit'!A:N,8,FALSE)</f>
        <v>874643</v>
      </c>
      <c r="K26" s="7">
        <f>VLOOKUP(B26,'75 - Summary Exhibit'!A:N,9,FALSE)</f>
        <v>0</v>
      </c>
      <c r="L26" s="7">
        <f>VLOOKUP(B26,'75 - Summary Exhibit'!A:N,10,FALSE)</f>
        <v>5216078</v>
      </c>
      <c r="M26" s="7">
        <f>VLOOKUP(B26,'75 - Summary Exhibit'!A:N,11,FALSE)</f>
        <v>1335868</v>
      </c>
      <c r="N26" s="7">
        <f>VLOOKUP(B26,'75 - Summary Exhibit'!A:N,12,FALSE)</f>
        <v>-256107</v>
      </c>
      <c r="O26" s="7">
        <f>VLOOKUP(B26,'75 - Summary Exhibit'!A:N,13,FALSE)</f>
        <v>-9527</v>
      </c>
      <c r="P26" s="7">
        <f t="shared" si="0"/>
        <v>-265634</v>
      </c>
      <c r="Q26" s="7">
        <f>VLOOKUP(B26,'75- Deferred Amortization'!A:G,3,FALSE)</f>
        <v>-1671389</v>
      </c>
      <c r="R26" s="7">
        <f>VLOOKUP(B26,'75- Deferred Amortization'!A:G,4,FALSE)</f>
        <v>-1671389</v>
      </c>
      <c r="S26" s="7">
        <f>VLOOKUP(B26,'75- Deferred Amortization'!A:G,5,FALSE)</f>
        <v>-1669719</v>
      </c>
      <c r="T26" s="7">
        <f>VLOOKUP(B26,'75- Deferred Amortization'!A:G,6,FALSE)</f>
        <v>-224703</v>
      </c>
      <c r="U26" s="7">
        <f>VLOOKUP(B26,'75- Deferred Amortization'!A:G,7,FALSE)</f>
        <v>4461</v>
      </c>
      <c r="V26" s="7">
        <f t="shared" si="11"/>
        <v>-1</v>
      </c>
      <c r="W26" s="7">
        <f t="shared" si="1"/>
        <v>0</v>
      </c>
      <c r="X26">
        <v>2</v>
      </c>
      <c r="AC26" s="10">
        <v>16251303</v>
      </c>
      <c r="AD26" s="10">
        <v>0</v>
      </c>
      <c r="AE26" s="10">
        <v>1748</v>
      </c>
      <c r="AF26" s="10">
        <v>0</v>
      </c>
      <c r="AG26" s="7">
        <v>1685485</v>
      </c>
      <c r="AH26" s="7">
        <v>1111336</v>
      </c>
      <c r="AI26" s="7">
        <v>0</v>
      </c>
      <c r="AJ26" s="7">
        <v>7040440</v>
      </c>
      <c r="AK26" s="7">
        <v>794464</v>
      </c>
      <c r="AM26" s="7">
        <f t="shared" si="2"/>
        <v>-337097</v>
      </c>
      <c r="AN26" s="7">
        <f t="shared" si="3"/>
        <v>541404</v>
      </c>
      <c r="AO26" s="10">
        <f t="shared" si="4"/>
        <v>0</v>
      </c>
      <c r="AP26" s="7">
        <f t="shared" si="5"/>
        <v>-236693</v>
      </c>
      <c r="AQ26" s="10">
        <f t="shared" si="6"/>
        <v>833908</v>
      </c>
      <c r="AR26" s="7">
        <f t="shared" si="7"/>
        <v>-1824362</v>
      </c>
      <c r="AS26" s="10">
        <f t="shared" si="8"/>
        <v>1098391</v>
      </c>
      <c r="AT26" s="10">
        <f t="shared" si="9"/>
        <v>9806</v>
      </c>
      <c r="AU26" s="7">
        <f t="shared" si="10"/>
        <v>0</v>
      </c>
    </row>
    <row r="27" spans="1:47" x14ac:dyDescent="0.25">
      <c r="A27" t="s">
        <v>58</v>
      </c>
      <c r="B27">
        <v>31005</v>
      </c>
      <c r="C27" s="7">
        <f>VLOOKUP(B27,'ER Contributions'!A:D,4,FALSE)</f>
        <v>477363</v>
      </c>
      <c r="D27" s="8">
        <f>VLOOKUP(B27,'ER Contributions'!A:D,3,FALSE)</f>
        <v>3.8059999999999998E-4</v>
      </c>
      <c r="E27" s="10">
        <f>VLOOKUP(B27,'75 - Summary Exhibit'!A:N,3,FALSE)</f>
        <v>12043121</v>
      </c>
      <c r="F27" s="10">
        <f>VLOOKUP(B27,'75 - Summary Exhibit'!A:N,4,FALSE)</f>
        <v>0</v>
      </c>
      <c r="G27" s="10">
        <f>VLOOKUP(B27,'75 - Summary Exhibit'!A:N,5,FALSE)</f>
        <v>8020</v>
      </c>
      <c r="H27" s="10">
        <f>VLOOKUP(B27,'75 - Summary Exhibit'!A:N,6,FALSE)</f>
        <v>578849</v>
      </c>
      <c r="I27" s="7">
        <f>VLOOKUP(B27,'75 - Summary Exhibit'!A:N,7,FALSE)</f>
        <v>0</v>
      </c>
      <c r="J27" s="7">
        <f>VLOOKUP(B27,'75 - Summary Exhibit'!A:N,8,FALSE)</f>
        <v>607125</v>
      </c>
      <c r="K27" s="7">
        <f>VLOOKUP(B27,'75 - Summary Exhibit'!A:N,9,FALSE)</f>
        <v>0</v>
      </c>
      <c r="L27" s="7">
        <f>VLOOKUP(B27,'75 - Summary Exhibit'!A:N,10,FALSE)</f>
        <v>3620690</v>
      </c>
      <c r="M27" s="7">
        <f>VLOOKUP(B27,'75 - Summary Exhibit'!A:N,11,FALSE)</f>
        <v>660603</v>
      </c>
      <c r="N27" s="7">
        <f>VLOOKUP(B27,'75 - Summary Exhibit'!A:N,12,FALSE)</f>
        <v>-177774</v>
      </c>
      <c r="O27" s="7">
        <f>VLOOKUP(B27,'75 - Summary Exhibit'!A:N,13,FALSE)</f>
        <v>-208535</v>
      </c>
      <c r="P27" s="7">
        <f t="shared" si="0"/>
        <v>-386309</v>
      </c>
      <c r="Q27" s="7">
        <f>VLOOKUP(B27,'75- Deferred Amortization'!A:G,3,FALSE)</f>
        <v>-1362107</v>
      </c>
      <c r="R27" s="7">
        <f>VLOOKUP(B27,'75- Deferred Amortization'!A:G,4,FALSE)</f>
        <v>-1362107</v>
      </c>
      <c r="S27" s="7">
        <f>VLOOKUP(B27,'75- Deferred Amortization'!A:G,5,FALSE)</f>
        <v>-1360948</v>
      </c>
      <c r="T27" s="7">
        <f>VLOOKUP(B27,'75- Deferred Amortization'!A:G,6,FALSE)</f>
        <v>-307033</v>
      </c>
      <c r="U27" s="7">
        <f>VLOOKUP(B27,'75- Deferred Amortization'!A:G,7,FALSE)</f>
        <v>90647</v>
      </c>
      <c r="V27" s="7">
        <f t="shared" si="11"/>
        <v>3</v>
      </c>
      <c r="W27" s="7">
        <f t="shared" si="1"/>
        <v>-1</v>
      </c>
      <c r="X27">
        <v>2</v>
      </c>
      <c r="AC27" s="10">
        <v>10942600</v>
      </c>
      <c r="AD27" s="10">
        <v>0</v>
      </c>
      <c r="AE27" s="10">
        <v>1177</v>
      </c>
      <c r="AF27" s="10">
        <v>0</v>
      </c>
      <c r="AG27" s="7">
        <v>0</v>
      </c>
      <c r="AH27" s="7">
        <v>748303</v>
      </c>
      <c r="AI27" s="7">
        <v>0</v>
      </c>
      <c r="AJ27" s="7">
        <v>4740587</v>
      </c>
      <c r="AK27" s="7">
        <v>778032</v>
      </c>
      <c r="AM27" s="7">
        <f t="shared" si="2"/>
        <v>0</v>
      </c>
      <c r="AN27" s="7">
        <f t="shared" si="3"/>
        <v>-117429</v>
      </c>
      <c r="AO27" s="10">
        <f t="shared" si="4"/>
        <v>0</v>
      </c>
      <c r="AP27" s="7">
        <f t="shared" si="5"/>
        <v>-141178</v>
      </c>
      <c r="AQ27" s="10">
        <f t="shared" si="6"/>
        <v>578849</v>
      </c>
      <c r="AR27" s="7">
        <f t="shared" si="7"/>
        <v>-1119897</v>
      </c>
      <c r="AS27" s="10">
        <f t="shared" si="8"/>
        <v>1100521</v>
      </c>
      <c r="AT27" s="10">
        <f t="shared" si="9"/>
        <v>6843</v>
      </c>
      <c r="AU27" s="7">
        <f t="shared" si="10"/>
        <v>0</v>
      </c>
    </row>
    <row r="28" spans="1:47" x14ac:dyDescent="0.25">
      <c r="A28" t="s">
        <v>61</v>
      </c>
      <c r="B28">
        <v>31405</v>
      </c>
      <c r="C28" s="7">
        <f>VLOOKUP(B28,'ER Contributions'!A:D,4,FALSE)</f>
        <v>954428</v>
      </c>
      <c r="D28" s="8">
        <f>VLOOKUP(B28,'ER Contributions'!A:D,3,FALSE)</f>
        <v>7.5860000000000001E-4</v>
      </c>
      <c r="E28" s="10">
        <f>VLOOKUP(B28,'75 - Summary Exhibit'!A:N,3,FALSE)</f>
        <v>24002128</v>
      </c>
      <c r="F28" s="10">
        <f>VLOOKUP(B28,'75 - Summary Exhibit'!A:N,4,FALSE)</f>
        <v>0</v>
      </c>
      <c r="G28" s="10">
        <f>VLOOKUP(B28,'75 - Summary Exhibit'!A:N,5,FALSE)</f>
        <v>15984</v>
      </c>
      <c r="H28" s="10">
        <f>VLOOKUP(B28,'75 - Summary Exhibit'!A:N,6,FALSE)</f>
        <v>1153655</v>
      </c>
      <c r="I28" s="7">
        <f>VLOOKUP(B28,'75 - Summary Exhibit'!A:N,7,FALSE)</f>
        <v>912228</v>
      </c>
      <c r="J28" s="7">
        <f>VLOOKUP(B28,'75 - Summary Exhibit'!A:N,8,FALSE)</f>
        <v>1210010</v>
      </c>
      <c r="K28" s="7">
        <f>VLOOKUP(B28,'75 - Summary Exhibit'!A:N,9,FALSE)</f>
        <v>0</v>
      </c>
      <c r="L28" s="7">
        <f>VLOOKUP(B28,'75 - Summary Exhibit'!A:N,10,FALSE)</f>
        <v>7216092</v>
      </c>
      <c r="M28" s="7">
        <f>VLOOKUP(B28,'75 - Summary Exhibit'!A:N,11,FALSE)</f>
        <v>2341766</v>
      </c>
      <c r="N28" s="7">
        <f>VLOOKUP(B28,'75 - Summary Exhibit'!A:N,12,FALSE)</f>
        <v>-354307</v>
      </c>
      <c r="O28" s="7">
        <f>VLOOKUP(B28,'75 - Summary Exhibit'!A:N,13,FALSE)</f>
        <v>-358013</v>
      </c>
      <c r="P28" s="7">
        <f t="shared" si="0"/>
        <v>-712320</v>
      </c>
      <c r="Q28" s="7">
        <f>VLOOKUP(B28,'75- Deferred Amortization'!A:G,3,FALSE)</f>
        <v>-2657091</v>
      </c>
      <c r="R28" s="7">
        <f>VLOOKUP(B28,'75- Deferred Amortization'!A:G,4,FALSE)</f>
        <v>-2657091</v>
      </c>
      <c r="S28" s="7">
        <f>VLOOKUP(B28,'75- Deferred Amortization'!A:G,5,FALSE)</f>
        <v>-2654780</v>
      </c>
      <c r="T28" s="7">
        <f>VLOOKUP(B28,'75- Deferred Amortization'!A:G,6,FALSE)</f>
        <v>-636182</v>
      </c>
      <c r="U28" s="7">
        <f>VLOOKUP(B28,'75- Deferred Amortization'!A:G,7,FALSE)</f>
        <v>-80857</v>
      </c>
      <c r="V28" s="7">
        <f t="shared" si="11"/>
        <v>0</v>
      </c>
      <c r="W28" s="7">
        <f t="shared" si="1"/>
        <v>0</v>
      </c>
      <c r="X28">
        <v>2</v>
      </c>
      <c r="AC28" s="10">
        <v>22855821</v>
      </c>
      <c r="AD28" s="10">
        <v>0</v>
      </c>
      <c r="AE28" s="10">
        <v>2458</v>
      </c>
      <c r="AF28" s="10">
        <v>0</v>
      </c>
      <c r="AG28" s="7">
        <v>1140285</v>
      </c>
      <c r="AH28" s="7">
        <v>1562982</v>
      </c>
      <c r="AI28" s="7">
        <v>0</v>
      </c>
      <c r="AJ28" s="7">
        <v>9901669</v>
      </c>
      <c r="AK28" s="7">
        <v>1177148</v>
      </c>
      <c r="AM28" s="7">
        <f t="shared" si="2"/>
        <v>-228057</v>
      </c>
      <c r="AN28" s="7">
        <f t="shared" si="3"/>
        <v>1164618</v>
      </c>
      <c r="AO28" s="10">
        <f t="shared" si="4"/>
        <v>0</v>
      </c>
      <c r="AP28" s="7">
        <f t="shared" si="5"/>
        <v>-352972</v>
      </c>
      <c r="AQ28" s="10">
        <f t="shared" si="6"/>
        <v>1153655</v>
      </c>
      <c r="AR28" s="7">
        <f t="shared" si="7"/>
        <v>-2685577</v>
      </c>
      <c r="AS28" s="10">
        <f t="shared" si="8"/>
        <v>1146307</v>
      </c>
      <c r="AT28" s="10">
        <f t="shared" si="9"/>
        <v>13526</v>
      </c>
      <c r="AU28" s="7">
        <f t="shared" si="10"/>
        <v>0</v>
      </c>
    </row>
    <row r="29" spans="1:47" x14ac:dyDescent="0.25">
      <c r="A29" t="s">
        <v>92</v>
      </c>
      <c r="B29">
        <v>36505</v>
      </c>
      <c r="C29" s="7">
        <f>VLOOKUP(B29,'ER Contributions'!A:D,4,FALSE)</f>
        <v>2041296</v>
      </c>
      <c r="D29" s="8">
        <f>VLOOKUP(B29,'ER Contributions'!A:D,3,FALSE)</f>
        <v>1.7994E-3</v>
      </c>
      <c r="E29" s="10">
        <f>VLOOKUP(B29,'75 - Summary Exhibit'!A:N,3,FALSE)</f>
        <v>56931162</v>
      </c>
      <c r="F29" s="10">
        <f>VLOOKUP(B29,'75 - Summary Exhibit'!A:N,4,FALSE)</f>
        <v>0</v>
      </c>
      <c r="G29" s="10">
        <f>VLOOKUP(B29,'75 - Summary Exhibit'!A:N,5,FALSE)</f>
        <v>37912</v>
      </c>
      <c r="H29" s="10">
        <f>VLOOKUP(B29,'75 - Summary Exhibit'!A:N,6,FALSE)</f>
        <v>2736380</v>
      </c>
      <c r="I29" s="7">
        <f>VLOOKUP(B29,'75 - Summary Exhibit'!A:N,7,FALSE)</f>
        <v>386610</v>
      </c>
      <c r="J29" s="7">
        <f>VLOOKUP(B29,'75 - Summary Exhibit'!A:N,8,FALSE)</f>
        <v>2870048</v>
      </c>
      <c r="K29" s="7">
        <f>VLOOKUP(B29,'75 - Summary Exhibit'!A:N,9,FALSE)</f>
        <v>0</v>
      </c>
      <c r="L29" s="7">
        <f>VLOOKUP(B29,'75 - Summary Exhibit'!A:N,10,FALSE)</f>
        <v>17116002</v>
      </c>
      <c r="M29" s="7">
        <f>VLOOKUP(B29,'75 - Summary Exhibit'!A:N,11,FALSE)</f>
        <v>2103559</v>
      </c>
      <c r="N29" s="7">
        <f>VLOOKUP(B29,'75 - Summary Exhibit'!A:N,12,FALSE)</f>
        <v>-840389</v>
      </c>
      <c r="O29" s="7">
        <f>VLOOKUP(B29,'75 - Summary Exhibit'!A:N,13,FALSE)</f>
        <v>-305679</v>
      </c>
      <c r="P29" s="7">
        <f t="shared" si="0"/>
        <v>-1146068</v>
      </c>
      <c r="Q29" s="7">
        <f>VLOOKUP(B29,'75- Deferred Amortization'!A:G,3,FALSE)</f>
        <v>-5758915</v>
      </c>
      <c r="R29" s="7">
        <f>VLOOKUP(B29,'75- Deferred Amortization'!A:G,4,FALSE)</f>
        <v>-5758915</v>
      </c>
      <c r="S29" s="7">
        <f>VLOOKUP(B29,'75- Deferred Amortization'!A:G,5,FALSE)</f>
        <v>-5753434</v>
      </c>
      <c r="T29" s="7">
        <f>VLOOKUP(B29,'75- Deferred Amortization'!A:G,6,FALSE)</f>
        <v>-1792374</v>
      </c>
      <c r="U29" s="7">
        <f>VLOOKUP(B29,'75- Deferred Amortization'!A:G,7,FALSE)</f>
        <v>134929</v>
      </c>
      <c r="V29" s="7">
        <f t="shared" si="11"/>
        <v>0</v>
      </c>
      <c r="W29" s="7">
        <f t="shared" si="1"/>
        <v>2</v>
      </c>
      <c r="X29">
        <v>2</v>
      </c>
      <c r="AC29" s="10">
        <v>52758449</v>
      </c>
      <c r="AD29" s="10">
        <v>0</v>
      </c>
      <c r="AE29" s="10">
        <v>5674</v>
      </c>
      <c r="AF29" s="10">
        <v>0</v>
      </c>
      <c r="AG29" s="7">
        <v>515480</v>
      </c>
      <c r="AH29" s="7">
        <v>3607855</v>
      </c>
      <c r="AI29" s="7">
        <v>0</v>
      </c>
      <c r="AJ29" s="7">
        <v>22856178</v>
      </c>
      <c r="AK29" s="7">
        <v>345905</v>
      </c>
      <c r="AM29" s="7">
        <f t="shared" si="2"/>
        <v>-128870</v>
      </c>
      <c r="AN29" s="7">
        <f t="shared" si="3"/>
        <v>1757654</v>
      </c>
      <c r="AO29" s="10">
        <f t="shared" si="4"/>
        <v>0</v>
      </c>
      <c r="AP29" s="7">
        <f t="shared" si="5"/>
        <v>-737807</v>
      </c>
      <c r="AQ29" s="10">
        <f t="shared" si="6"/>
        <v>2736380</v>
      </c>
      <c r="AR29" s="7">
        <f t="shared" si="7"/>
        <v>-5740176</v>
      </c>
      <c r="AS29" s="10">
        <f t="shared" si="8"/>
        <v>4172713</v>
      </c>
      <c r="AT29" s="10">
        <f t="shared" si="9"/>
        <v>32238</v>
      </c>
      <c r="AU29" s="7">
        <f t="shared" si="10"/>
        <v>0</v>
      </c>
    </row>
    <row r="30" spans="1:47" x14ac:dyDescent="0.25">
      <c r="A30" t="s">
        <v>62</v>
      </c>
      <c r="B30">
        <v>31605</v>
      </c>
      <c r="C30" s="7">
        <f>VLOOKUP(B30,'ER Contributions'!A:D,4,FALSE)</f>
        <v>515764</v>
      </c>
      <c r="D30" s="8">
        <f>VLOOKUP(B30,'ER Contributions'!A:D,3,FALSE)</f>
        <v>4.0170000000000001E-4</v>
      </c>
      <c r="E30" s="10">
        <f>VLOOKUP(B30,'75 - Summary Exhibit'!A:N,3,FALSE)</f>
        <v>12710935</v>
      </c>
      <c r="F30" s="10">
        <f>VLOOKUP(B30,'75 - Summary Exhibit'!A:N,4,FALSE)</f>
        <v>0</v>
      </c>
      <c r="G30" s="10">
        <f>VLOOKUP(B30,'75 - Summary Exhibit'!A:N,5,FALSE)</f>
        <v>8464</v>
      </c>
      <c r="H30" s="10">
        <f>VLOOKUP(B30,'75 - Summary Exhibit'!A:N,6,FALSE)</f>
        <v>610947</v>
      </c>
      <c r="I30" s="7">
        <f>VLOOKUP(B30,'75 - Summary Exhibit'!A:N,7,FALSE)</f>
        <v>246765</v>
      </c>
      <c r="J30" s="7">
        <f>VLOOKUP(B30,'75 - Summary Exhibit'!A:N,8,FALSE)</f>
        <v>640791</v>
      </c>
      <c r="K30" s="7">
        <f>VLOOKUP(B30,'75 - Summary Exhibit'!A:N,9,FALSE)</f>
        <v>0</v>
      </c>
      <c r="L30" s="7">
        <f>VLOOKUP(B30,'75 - Summary Exhibit'!A:N,10,FALSE)</f>
        <v>3821464</v>
      </c>
      <c r="M30" s="7">
        <f>VLOOKUP(B30,'75 - Summary Exhibit'!A:N,11,FALSE)</f>
        <v>148031</v>
      </c>
      <c r="N30" s="7">
        <f>VLOOKUP(B30,'75 - Summary Exhibit'!A:N,12,FALSE)</f>
        <v>-187632</v>
      </c>
      <c r="O30" s="7">
        <f>VLOOKUP(B30,'75 - Summary Exhibit'!A:N,13,FALSE)</f>
        <v>52354</v>
      </c>
      <c r="P30" s="7">
        <f t="shared" si="0"/>
        <v>-135278</v>
      </c>
      <c r="Q30" s="7">
        <f>VLOOKUP(B30,'75- Deferred Amortization'!A:G,3,FALSE)</f>
        <v>-1165185</v>
      </c>
      <c r="R30" s="7">
        <f>VLOOKUP(B30,'75- Deferred Amortization'!A:G,4,FALSE)</f>
        <v>-1165185</v>
      </c>
      <c r="S30" s="7">
        <f>VLOOKUP(B30,'75- Deferred Amortization'!A:G,5,FALSE)</f>
        <v>-1163961</v>
      </c>
      <c r="T30" s="7">
        <f>VLOOKUP(B30,'75- Deferred Amortization'!A:G,6,FALSE)</f>
        <v>-333064</v>
      </c>
      <c r="U30" s="7">
        <f>VLOOKUP(B30,'75- Deferred Amortization'!A:G,7,FALSE)</f>
        <v>83285</v>
      </c>
      <c r="V30" s="7">
        <f t="shared" si="11"/>
        <v>0</v>
      </c>
      <c r="W30" s="7">
        <f t="shared" si="1"/>
        <v>0</v>
      </c>
      <c r="X30">
        <v>2</v>
      </c>
      <c r="AC30" s="10">
        <v>11606834</v>
      </c>
      <c r="AD30" s="10">
        <v>0</v>
      </c>
      <c r="AE30" s="10">
        <v>1248</v>
      </c>
      <c r="AF30" s="10">
        <v>0</v>
      </c>
      <c r="AG30" s="7">
        <v>329020</v>
      </c>
      <c r="AH30" s="7">
        <v>793727</v>
      </c>
      <c r="AI30" s="7">
        <v>0</v>
      </c>
      <c r="AJ30" s="7">
        <v>5028349</v>
      </c>
      <c r="AK30" s="7">
        <v>7445</v>
      </c>
      <c r="AM30" s="7">
        <f t="shared" si="2"/>
        <v>-82255</v>
      </c>
      <c r="AN30" s="7">
        <f t="shared" si="3"/>
        <v>140586</v>
      </c>
      <c r="AO30" s="10">
        <f t="shared" si="4"/>
        <v>0</v>
      </c>
      <c r="AP30" s="7">
        <f t="shared" si="5"/>
        <v>-152936</v>
      </c>
      <c r="AQ30" s="10">
        <f t="shared" si="6"/>
        <v>610947</v>
      </c>
      <c r="AR30" s="7">
        <f t="shared" si="7"/>
        <v>-1206885</v>
      </c>
      <c r="AS30" s="10">
        <f t="shared" si="8"/>
        <v>1104101</v>
      </c>
      <c r="AT30" s="10">
        <f t="shared" si="9"/>
        <v>7216</v>
      </c>
      <c r="AU30" s="7">
        <f t="shared" si="10"/>
        <v>0</v>
      </c>
    </row>
    <row r="31" spans="1:47" x14ac:dyDescent="0.25">
      <c r="A31" t="s">
        <v>63</v>
      </c>
      <c r="B31">
        <v>31805</v>
      </c>
      <c r="C31" s="7">
        <f>VLOOKUP(B31,'ER Contributions'!A:D,4,FALSE)</f>
        <v>1247076</v>
      </c>
      <c r="D31" s="8">
        <f>VLOOKUP(B31,'ER Contributions'!A:D,3,FALSE)</f>
        <v>1.0134E-3</v>
      </c>
      <c r="E31" s="10">
        <f>VLOOKUP(B31,'75 - Summary Exhibit'!A:N,3,FALSE)</f>
        <v>32063438</v>
      </c>
      <c r="F31" s="10">
        <f>VLOOKUP(B31,'75 - Summary Exhibit'!A:N,4,FALSE)</f>
        <v>0</v>
      </c>
      <c r="G31" s="10">
        <f>VLOOKUP(B31,'75 - Summary Exhibit'!A:N,5,FALSE)</f>
        <v>21352</v>
      </c>
      <c r="H31" s="10">
        <f>VLOOKUP(B31,'75 - Summary Exhibit'!A:N,6,FALSE)</f>
        <v>1541120</v>
      </c>
      <c r="I31" s="7">
        <f>VLOOKUP(B31,'75 - Summary Exhibit'!A:N,7,FALSE)</f>
        <v>1422739</v>
      </c>
      <c r="J31" s="7">
        <f>VLOOKUP(B31,'75 - Summary Exhibit'!A:N,8,FALSE)</f>
        <v>1616401</v>
      </c>
      <c r="K31" s="7">
        <f>VLOOKUP(B31,'75 - Summary Exhibit'!A:N,9,FALSE)</f>
        <v>0</v>
      </c>
      <c r="L31" s="7">
        <f>VLOOKUP(B31,'75 - Summary Exhibit'!A:N,10,FALSE)</f>
        <v>9639675</v>
      </c>
      <c r="M31" s="7">
        <f>VLOOKUP(B31,'75 - Summary Exhibit'!A:N,11,FALSE)</f>
        <v>332916</v>
      </c>
      <c r="N31" s="7">
        <f>VLOOKUP(B31,'75 - Summary Exhibit'!A:N,12,FALSE)</f>
        <v>-473304</v>
      </c>
      <c r="O31" s="7">
        <f>VLOOKUP(B31,'75 - Summary Exhibit'!A:N,13,FALSE)</f>
        <v>222621</v>
      </c>
      <c r="P31" s="7">
        <f t="shared" si="0"/>
        <v>-250683</v>
      </c>
      <c r="Q31" s="7">
        <f>VLOOKUP(B31,'75- Deferred Amortization'!A:G,3,FALSE)</f>
        <v>-2848625</v>
      </c>
      <c r="R31" s="7">
        <f>VLOOKUP(B31,'75- Deferred Amortization'!A:G,4,FALSE)</f>
        <v>-2848625</v>
      </c>
      <c r="S31" s="7">
        <f>VLOOKUP(B31,'75- Deferred Amortization'!A:G,5,FALSE)</f>
        <v>-2845538</v>
      </c>
      <c r="T31" s="7">
        <f>VLOOKUP(B31,'75- Deferred Amortization'!A:G,6,FALSE)</f>
        <v>-431131</v>
      </c>
      <c r="U31" s="7">
        <f>VLOOKUP(B31,'75- Deferred Amortization'!A:G,7,FALSE)</f>
        <v>370136</v>
      </c>
      <c r="V31" s="7">
        <f t="shared" si="11"/>
        <v>1</v>
      </c>
      <c r="W31" s="7">
        <f t="shared" si="1"/>
        <v>2</v>
      </c>
      <c r="X31">
        <v>2</v>
      </c>
      <c r="AC31" s="10">
        <v>28602862</v>
      </c>
      <c r="AD31" s="10">
        <v>0</v>
      </c>
      <c r="AE31" s="10">
        <v>3076</v>
      </c>
      <c r="AF31" s="10">
        <v>0</v>
      </c>
      <c r="AG31" s="7">
        <v>1226105</v>
      </c>
      <c r="AH31" s="7">
        <v>1955990</v>
      </c>
      <c r="AI31" s="7">
        <v>0</v>
      </c>
      <c r="AJ31" s="7">
        <v>12391420</v>
      </c>
      <c r="AK31" s="7">
        <v>443888</v>
      </c>
      <c r="AM31" s="7">
        <f>I31-AG31</f>
        <v>196634</v>
      </c>
      <c r="AN31" s="7">
        <f>M31-AK31</f>
        <v>-110972</v>
      </c>
      <c r="AO31" s="10">
        <f t="shared" si="4"/>
        <v>0</v>
      </c>
      <c r="AP31" s="7">
        <f t="shared" si="5"/>
        <v>-339589</v>
      </c>
      <c r="AQ31" s="10">
        <f t="shared" si="6"/>
        <v>1541120</v>
      </c>
      <c r="AR31" s="7">
        <f t="shared" si="7"/>
        <v>-2751745</v>
      </c>
      <c r="AS31" s="10">
        <f t="shared" si="8"/>
        <v>3460576</v>
      </c>
      <c r="AT31" s="10">
        <f t="shared" si="9"/>
        <v>18276</v>
      </c>
      <c r="AU31" s="7">
        <f t="shared" si="10"/>
        <v>0</v>
      </c>
    </row>
    <row r="32" spans="1:47" x14ac:dyDescent="0.25">
      <c r="A32" t="s">
        <v>83</v>
      </c>
      <c r="B32">
        <v>35305</v>
      </c>
      <c r="C32" s="7">
        <f>VLOOKUP(B32,'ER Contributions'!A:D,4,FALSE)</f>
        <v>1416019</v>
      </c>
      <c r="D32" s="8">
        <f>VLOOKUP(B32,'ER Contributions'!A:D,3,FALSE)</f>
        <v>1.2462E-3</v>
      </c>
      <c r="E32" s="10">
        <f>VLOOKUP(B32,'75 - Summary Exhibit'!A:N,3,FALSE)</f>
        <v>39430662</v>
      </c>
      <c r="F32" s="10">
        <f>VLOOKUP(B32,'75 - Summary Exhibit'!A:N,4,FALSE)</f>
        <v>0</v>
      </c>
      <c r="G32" s="10">
        <f>VLOOKUP(B32,'75 - Summary Exhibit'!A:N,5,FALSE)</f>
        <v>26258</v>
      </c>
      <c r="H32" s="10">
        <f>VLOOKUP(B32,'75 - Summary Exhibit'!A:N,6,FALSE)</f>
        <v>1895223</v>
      </c>
      <c r="I32" s="7">
        <f>VLOOKUP(B32,'75 - Summary Exhibit'!A:N,7,FALSE)</f>
        <v>1113348</v>
      </c>
      <c r="J32" s="7">
        <f>VLOOKUP(B32,'75 - Summary Exhibit'!A:N,8,FALSE)</f>
        <v>1987802</v>
      </c>
      <c r="K32" s="7">
        <f>VLOOKUP(B32,'75 - Summary Exhibit'!A:N,9,FALSE)</f>
        <v>0</v>
      </c>
      <c r="L32" s="7">
        <f>VLOOKUP(B32,'75 - Summary Exhibit'!A:N,10,FALSE)</f>
        <v>11854585</v>
      </c>
      <c r="M32" s="7">
        <f>VLOOKUP(B32,'75 - Summary Exhibit'!A:N,11,FALSE)</f>
        <v>1192700</v>
      </c>
      <c r="N32" s="7">
        <f>VLOOKUP(B32,'75 - Summary Exhibit'!A:N,12,FALSE)</f>
        <v>-582055</v>
      </c>
      <c r="O32" s="7">
        <f>VLOOKUP(B32,'75 - Summary Exhibit'!A:N,13,FALSE)</f>
        <v>-72440</v>
      </c>
      <c r="P32" s="7">
        <f t="shared" si="0"/>
        <v>-654495</v>
      </c>
      <c r="Q32" s="7">
        <f>VLOOKUP(B32,'75- Deferred Amortization'!A:G,3,FALSE)</f>
        <v>-3849366</v>
      </c>
      <c r="R32" s="7">
        <f>VLOOKUP(B32,'75- Deferred Amortization'!A:G,4,FALSE)</f>
        <v>-3849366</v>
      </c>
      <c r="S32" s="7">
        <f>VLOOKUP(B32,'75- Deferred Amortization'!A:G,5,FALSE)</f>
        <v>-3845570</v>
      </c>
      <c r="T32" s="7">
        <f>VLOOKUP(B32,'75- Deferred Amortization'!A:G,6,FALSE)</f>
        <v>-732279</v>
      </c>
      <c r="U32" s="7">
        <f>VLOOKUP(B32,'75- Deferred Amortization'!A:G,7,FALSE)</f>
        <v>276323</v>
      </c>
      <c r="V32" s="7">
        <f t="shared" si="11"/>
        <v>0</v>
      </c>
      <c r="W32" s="7">
        <f t="shared" si="1"/>
        <v>0</v>
      </c>
      <c r="X32">
        <v>2</v>
      </c>
      <c r="AC32" s="10">
        <v>35811349</v>
      </c>
      <c r="AD32" s="10">
        <v>0</v>
      </c>
      <c r="AE32" s="10">
        <v>3851</v>
      </c>
      <c r="AF32" s="10">
        <v>0</v>
      </c>
      <c r="AG32" s="7">
        <v>1391685</v>
      </c>
      <c r="AH32" s="7">
        <v>2448938</v>
      </c>
      <c r="AI32" s="7">
        <v>0</v>
      </c>
      <c r="AJ32" s="7">
        <v>15514303</v>
      </c>
      <c r="AK32" s="7">
        <v>1122380</v>
      </c>
      <c r="AM32" s="7">
        <f t="shared" ref="AM32:AM55" si="12">I32-AG32</f>
        <v>-278337</v>
      </c>
      <c r="AN32" s="7">
        <f t="shared" ref="AN32:AN55" si="13">M32-AK32</f>
        <v>70320</v>
      </c>
      <c r="AO32" s="10">
        <f t="shared" si="4"/>
        <v>0</v>
      </c>
      <c r="AP32" s="7">
        <f t="shared" si="5"/>
        <v>-461136</v>
      </c>
      <c r="AQ32" s="10">
        <f t="shared" si="6"/>
        <v>1895223</v>
      </c>
      <c r="AR32" s="7">
        <f t="shared" si="7"/>
        <v>-3659718</v>
      </c>
      <c r="AS32" s="10">
        <f t="shared" si="8"/>
        <v>3619313</v>
      </c>
      <c r="AT32" s="10">
        <f t="shared" si="9"/>
        <v>22407</v>
      </c>
      <c r="AU32" s="7">
        <f t="shared" si="10"/>
        <v>0</v>
      </c>
    </row>
    <row r="33" spans="1:47" x14ac:dyDescent="0.25">
      <c r="A33" t="s">
        <v>87</v>
      </c>
      <c r="B33">
        <v>36005</v>
      </c>
      <c r="C33" s="7">
        <f>VLOOKUP(B33,'ER Contributions'!A:D,4,FALSE)</f>
        <v>4673923</v>
      </c>
      <c r="D33" s="8">
        <f>VLOOKUP(B33,'ER Contributions'!A:D,3,FALSE)</f>
        <v>4.1460000000000004E-3</v>
      </c>
      <c r="E33" s="10">
        <f>VLOOKUP(B33,'75 - Summary Exhibit'!A:N,3,FALSE)</f>
        <v>131177066</v>
      </c>
      <c r="F33" s="10">
        <f>VLOOKUP(B33,'75 - Summary Exhibit'!A:N,4,FALSE)</f>
        <v>0</v>
      </c>
      <c r="G33" s="10">
        <f>VLOOKUP(B33,'75 - Summary Exhibit'!A:N,5,FALSE)</f>
        <v>87353</v>
      </c>
      <c r="H33" s="10">
        <f>VLOOKUP(B33,'75 - Summary Exhibit'!A:N,6,FALSE)</f>
        <v>6304987</v>
      </c>
      <c r="I33" s="7">
        <f>VLOOKUP(B33,'75 - Summary Exhibit'!A:N,7,FALSE)</f>
        <v>4862616</v>
      </c>
      <c r="J33" s="7">
        <f>VLOOKUP(B33,'75 - Summary Exhibit'!A:N,8,FALSE)</f>
        <v>6612977</v>
      </c>
      <c r="K33" s="7">
        <f>VLOOKUP(B33,'75 - Summary Exhibit'!A:N,9,FALSE)</f>
        <v>0</v>
      </c>
      <c r="L33" s="7">
        <f>VLOOKUP(B33,'75 - Summary Exhibit'!A:N,10,FALSE)</f>
        <v>39437575</v>
      </c>
      <c r="M33" s="7">
        <f>VLOOKUP(B33,'75 - Summary Exhibit'!A:N,11,FALSE)</f>
        <v>12380634</v>
      </c>
      <c r="N33" s="7">
        <f>VLOOKUP(B33,'75 - Summary Exhibit'!A:N,12,FALSE)</f>
        <v>-1936368</v>
      </c>
      <c r="O33" s="7">
        <f>VLOOKUP(B33,'75 - Summary Exhibit'!A:N,13,FALSE)</f>
        <v>-2041739</v>
      </c>
      <c r="P33" s="7">
        <f t="shared" si="0"/>
        <v>-3978107</v>
      </c>
      <c r="Q33" s="7">
        <f>VLOOKUP(B33,'75- Deferred Amortization'!A:G,3,FALSE)</f>
        <v>-14606728</v>
      </c>
      <c r="R33" s="7">
        <f>VLOOKUP(B33,'75- Deferred Amortization'!A:G,4,FALSE)</f>
        <v>-14606728</v>
      </c>
      <c r="S33" s="7">
        <f>VLOOKUP(B33,'75- Deferred Amortization'!A:G,5,FALSE)</f>
        <v>-14594099</v>
      </c>
      <c r="T33" s="7">
        <f>VLOOKUP(B33,'75- Deferred Amortization'!A:G,6,FALSE)</f>
        <v>-3217191</v>
      </c>
      <c r="U33" s="7">
        <f>VLOOKUP(B33,'75- Deferred Amortization'!A:G,7,FALSE)</f>
        <v>-151483</v>
      </c>
      <c r="V33" s="7">
        <f t="shared" si="11"/>
        <v>0</v>
      </c>
      <c r="W33" s="7">
        <f t="shared" si="1"/>
        <v>-1</v>
      </c>
      <c r="X33">
        <v>2</v>
      </c>
      <c r="AC33" s="10">
        <v>123390589</v>
      </c>
      <c r="AD33" s="10">
        <v>0</v>
      </c>
      <c r="AE33" s="10">
        <v>13270</v>
      </c>
      <c r="AF33" s="10">
        <v>0</v>
      </c>
      <c r="AG33" s="7">
        <v>6078270</v>
      </c>
      <c r="AH33" s="7">
        <v>8437993</v>
      </c>
      <c r="AI33" s="7">
        <v>0</v>
      </c>
      <c r="AJ33" s="7">
        <v>53455652</v>
      </c>
      <c r="AK33" s="7">
        <v>7812632</v>
      </c>
      <c r="AM33" s="7">
        <f t="shared" si="12"/>
        <v>-1215654</v>
      </c>
      <c r="AN33" s="7">
        <f t="shared" si="13"/>
        <v>4568002</v>
      </c>
      <c r="AO33" s="10">
        <f t="shared" si="4"/>
        <v>0</v>
      </c>
      <c r="AP33" s="7">
        <f t="shared" si="5"/>
        <v>-1825016</v>
      </c>
      <c r="AQ33" s="10">
        <f t="shared" si="6"/>
        <v>6304987</v>
      </c>
      <c r="AR33" s="7">
        <f t="shared" si="7"/>
        <v>-14018077</v>
      </c>
      <c r="AS33" s="10">
        <f t="shared" si="8"/>
        <v>7786477</v>
      </c>
      <c r="AT33" s="10">
        <f t="shared" si="9"/>
        <v>74083</v>
      </c>
      <c r="AU33" s="7">
        <f t="shared" si="10"/>
        <v>0</v>
      </c>
    </row>
    <row r="34" spans="1:47" x14ac:dyDescent="0.25">
      <c r="A34" t="s">
        <v>65</v>
      </c>
      <c r="B34">
        <v>32305</v>
      </c>
      <c r="C34" s="7">
        <f>VLOOKUP(B34,'ER Contributions'!A:D,4,FALSE)</f>
        <v>620567</v>
      </c>
      <c r="D34" s="8">
        <f>VLOOKUP(B34,'ER Contributions'!A:D,3,FALSE)</f>
        <v>5.4049999999999996E-4</v>
      </c>
      <c r="E34" s="10">
        <f>VLOOKUP(B34,'75 - Summary Exhibit'!A:N,3,FALSE)</f>
        <v>17099797</v>
      </c>
      <c r="F34" s="10">
        <f>VLOOKUP(B34,'75 - Summary Exhibit'!A:N,4,FALSE)</f>
        <v>0</v>
      </c>
      <c r="G34" s="10">
        <f>VLOOKUP(B34,'75 - Summary Exhibit'!A:N,5,FALSE)</f>
        <v>11387</v>
      </c>
      <c r="H34" s="10">
        <f>VLOOKUP(B34,'75 - Summary Exhibit'!A:N,6,FALSE)</f>
        <v>821897</v>
      </c>
      <c r="I34" s="7">
        <f>VLOOKUP(B34,'75 - Summary Exhibit'!A:N,7,FALSE)</f>
        <v>733915</v>
      </c>
      <c r="J34" s="7">
        <f>VLOOKUP(B34,'75 - Summary Exhibit'!A:N,8,FALSE)</f>
        <v>862045</v>
      </c>
      <c r="K34" s="7">
        <f>VLOOKUP(B34,'75 - Summary Exhibit'!A:N,9,FALSE)</f>
        <v>0</v>
      </c>
      <c r="L34" s="7">
        <f>VLOOKUP(B34,'75 - Summary Exhibit'!A:N,10,FALSE)</f>
        <v>5140948</v>
      </c>
      <c r="M34" s="7">
        <f>VLOOKUP(B34,'75 - Summary Exhibit'!A:N,11,FALSE)</f>
        <v>1059959</v>
      </c>
      <c r="N34" s="7">
        <f>VLOOKUP(B34,'75 - Summary Exhibit'!A:N,12,FALSE)</f>
        <v>-252418</v>
      </c>
      <c r="O34" s="7">
        <f>VLOOKUP(B34,'75 - Summary Exhibit'!A:N,13,FALSE)</f>
        <v>-128694</v>
      </c>
      <c r="P34" s="7">
        <f t="shared" si="0"/>
        <v>-381112</v>
      </c>
      <c r="Q34" s="7">
        <f>VLOOKUP(B34,'75- Deferred Amortization'!A:G,3,FALSE)</f>
        <v>-1766626</v>
      </c>
      <c r="R34" s="7">
        <f>VLOOKUP(B34,'75- Deferred Amortization'!A:G,4,FALSE)</f>
        <v>-1766626</v>
      </c>
      <c r="S34" s="7">
        <f>VLOOKUP(B34,'75- Deferred Amortization'!A:G,5,FALSE)</f>
        <v>-1764979</v>
      </c>
      <c r="T34" s="7">
        <f>VLOOKUP(B34,'75- Deferred Amortization'!A:G,6,FALSE)</f>
        <v>-494574</v>
      </c>
      <c r="U34" s="7">
        <f>VLOOKUP(B34,'75- Deferred Amortization'!A:G,7,FALSE)</f>
        <v>297051</v>
      </c>
      <c r="V34" s="7">
        <f t="shared" si="11"/>
        <v>1</v>
      </c>
      <c r="W34" s="7">
        <f t="shared" si="1"/>
        <v>1</v>
      </c>
      <c r="X34">
        <v>2</v>
      </c>
      <c r="AC34" s="10">
        <v>14826368</v>
      </c>
      <c r="AD34" s="10">
        <v>0</v>
      </c>
      <c r="AE34" s="10">
        <v>1594</v>
      </c>
      <c r="AF34" s="10">
        <v>0</v>
      </c>
      <c r="AG34" s="7">
        <v>0</v>
      </c>
      <c r="AH34" s="7">
        <v>1013892</v>
      </c>
      <c r="AI34" s="7">
        <v>0</v>
      </c>
      <c r="AJ34" s="7">
        <v>6423125</v>
      </c>
      <c r="AK34" s="7">
        <v>1335439</v>
      </c>
      <c r="AM34" s="7">
        <f t="shared" si="12"/>
        <v>733915</v>
      </c>
      <c r="AN34" s="7">
        <f t="shared" si="13"/>
        <v>-275480</v>
      </c>
      <c r="AO34" s="10">
        <f t="shared" si="4"/>
        <v>0</v>
      </c>
      <c r="AP34" s="7">
        <f t="shared" si="5"/>
        <v>-151847</v>
      </c>
      <c r="AQ34" s="10">
        <f t="shared" si="6"/>
        <v>821897</v>
      </c>
      <c r="AR34" s="7">
        <f t="shared" si="7"/>
        <v>-1282177</v>
      </c>
      <c r="AS34" s="10">
        <f t="shared" si="8"/>
        <v>2273429</v>
      </c>
      <c r="AT34" s="10">
        <f t="shared" si="9"/>
        <v>9793</v>
      </c>
      <c r="AU34" s="7">
        <f t="shared" si="10"/>
        <v>0</v>
      </c>
    </row>
    <row r="35" spans="1:47" x14ac:dyDescent="0.25">
      <c r="A35" t="s">
        <v>93</v>
      </c>
      <c r="B35">
        <v>36705</v>
      </c>
      <c r="C35" s="7">
        <f>VLOOKUP(B35,'ER Contributions'!A:D,4,FALSE)</f>
        <v>1024835</v>
      </c>
      <c r="D35" s="8">
        <f>VLOOKUP(B35,'ER Contributions'!A:D,3,FALSE)</f>
        <v>9.4859999999999996E-4</v>
      </c>
      <c r="E35" s="10">
        <f>VLOOKUP(B35,'75 - Summary Exhibit'!A:N,3,FALSE)</f>
        <v>30013226</v>
      </c>
      <c r="F35" s="10">
        <f>VLOOKUP(B35,'75 - Summary Exhibit'!A:N,4,FALSE)</f>
        <v>0</v>
      </c>
      <c r="G35" s="10">
        <f>VLOOKUP(B35,'75 - Summary Exhibit'!A:N,5,FALSE)</f>
        <v>19986</v>
      </c>
      <c r="H35" s="10">
        <f>VLOOKUP(B35,'75 - Summary Exhibit'!A:N,6,FALSE)</f>
        <v>1442577</v>
      </c>
      <c r="I35" s="7">
        <f>VLOOKUP(B35,'75 - Summary Exhibit'!A:N,7,FALSE)</f>
        <v>2411476</v>
      </c>
      <c r="J35" s="7">
        <f>VLOOKUP(B35,'75 - Summary Exhibit'!A:N,8,FALSE)</f>
        <v>1513045</v>
      </c>
      <c r="K35" s="7">
        <f>VLOOKUP(B35,'75 - Summary Exhibit'!A:N,9,FALSE)</f>
        <v>0</v>
      </c>
      <c r="L35" s="7">
        <f>VLOOKUP(B35,'75 - Summary Exhibit'!A:N,10,FALSE)</f>
        <v>9023291</v>
      </c>
      <c r="M35" s="7">
        <f>VLOOKUP(B35,'75 - Summary Exhibit'!A:N,11,FALSE)</f>
        <v>1749085</v>
      </c>
      <c r="N35" s="7">
        <f>VLOOKUP(B35,'75 - Summary Exhibit'!A:N,12,FALSE)</f>
        <v>-443040</v>
      </c>
      <c r="O35" s="7">
        <f>VLOOKUP(B35,'75 - Summary Exhibit'!A:N,13,FALSE)</f>
        <v>154394</v>
      </c>
      <c r="P35" s="7">
        <f t="shared" ref="P35:P66" si="14">N35+O35</f>
        <v>-288646</v>
      </c>
      <c r="Q35" s="7">
        <f>VLOOKUP(B35,'75- Deferred Amortization'!A:G,3,FALSE)</f>
        <v>-2720468</v>
      </c>
      <c r="R35" s="7">
        <f>VLOOKUP(B35,'75- Deferred Amortization'!A:G,4,FALSE)</f>
        <v>-2720468</v>
      </c>
      <c r="S35" s="7">
        <f>VLOOKUP(B35,'75- Deferred Amortization'!A:G,5,FALSE)</f>
        <v>-2717578</v>
      </c>
      <c r="T35" s="7">
        <f>VLOOKUP(B35,'75- Deferred Amortization'!A:G,6,FALSE)</f>
        <v>-314786</v>
      </c>
      <c r="U35" s="7">
        <f>VLOOKUP(B35,'75- Deferred Amortization'!A:G,7,FALSE)</f>
        <v>61918</v>
      </c>
      <c r="V35" s="7">
        <f t="shared" si="11"/>
        <v>0</v>
      </c>
      <c r="W35" s="7">
        <f t="shared" si="1"/>
        <v>0</v>
      </c>
      <c r="X35">
        <v>2</v>
      </c>
      <c r="AC35" s="10">
        <v>27816087</v>
      </c>
      <c r="AD35" s="10">
        <v>0</v>
      </c>
      <c r="AE35" s="10">
        <v>2991</v>
      </c>
      <c r="AF35" s="10">
        <v>0</v>
      </c>
      <c r="AG35" s="7">
        <v>3014345</v>
      </c>
      <c r="AH35" s="7">
        <v>1902187</v>
      </c>
      <c r="AI35" s="7">
        <v>0</v>
      </c>
      <c r="AJ35" s="7">
        <v>12050571</v>
      </c>
      <c r="AK35" s="7">
        <v>986580</v>
      </c>
      <c r="AM35" s="7">
        <f t="shared" si="12"/>
        <v>-602869</v>
      </c>
      <c r="AN35" s="7">
        <f t="shared" si="13"/>
        <v>762505</v>
      </c>
      <c r="AO35" s="10">
        <f t="shared" si="4"/>
        <v>0</v>
      </c>
      <c r="AP35" s="7">
        <f t="shared" si="5"/>
        <v>-389142</v>
      </c>
      <c r="AQ35" s="10">
        <f t="shared" si="6"/>
        <v>1442577</v>
      </c>
      <c r="AR35" s="7">
        <f t="shared" si="7"/>
        <v>-3027280</v>
      </c>
      <c r="AS35" s="10">
        <f t="shared" si="8"/>
        <v>2197139</v>
      </c>
      <c r="AT35" s="10">
        <f t="shared" si="9"/>
        <v>16995</v>
      </c>
      <c r="AU35" s="7">
        <f t="shared" si="10"/>
        <v>0</v>
      </c>
    </row>
    <row r="36" spans="1:47" x14ac:dyDescent="0.25">
      <c r="A36" t="s">
        <v>95</v>
      </c>
      <c r="B36">
        <v>37005</v>
      </c>
      <c r="C36" s="7">
        <f>VLOOKUP(B36,'ER Contributions'!A:D,4,FALSE)</f>
        <v>562024</v>
      </c>
      <c r="D36" s="8">
        <f>VLOOKUP(B36,'ER Contributions'!A:D,3,FALSE)</f>
        <v>4.2650000000000001E-4</v>
      </c>
      <c r="E36" s="10">
        <f>VLOOKUP(B36,'75 - Summary Exhibit'!A:N,3,FALSE)</f>
        <v>13492961</v>
      </c>
      <c r="F36" s="10">
        <f>VLOOKUP(B36,'75 - Summary Exhibit'!A:N,4,FALSE)</f>
        <v>0</v>
      </c>
      <c r="G36" s="10">
        <f>VLOOKUP(B36,'75 - Summary Exhibit'!A:N,5,FALSE)</f>
        <v>8985</v>
      </c>
      <c r="H36" s="10">
        <f>VLOOKUP(B36,'75 - Summary Exhibit'!A:N,6,FALSE)</f>
        <v>648535</v>
      </c>
      <c r="I36" s="7">
        <f>VLOOKUP(B36,'75 - Summary Exhibit'!A:N,7,FALSE)</f>
        <v>58764</v>
      </c>
      <c r="J36" s="7">
        <f>VLOOKUP(B36,'75 - Summary Exhibit'!A:N,8,FALSE)</f>
        <v>680215</v>
      </c>
      <c r="K36" s="7">
        <f>VLOOKUP(B36,'75 - Summary Exhibit'!A:N,9,FALSE)</f>
        <v>0</v>
      </c>
      <c r="L36" s="7">
        <f>VLOOKUP(B36,'75 - Summary Exhibit'!A:N,10,FALSE)</f>
        <v>4056576</v>
      </c>
      <c r="M36" s="7">
        <f>VLOOKUP(B36,'75 - Summary Exhibit'!A:N,11,FALSE)</f>
        <v>868334</v>
      </c>
      <c r="N36" s="7">
        <f>VLOOKUP(B36,'75 - Summary Exhibit'!A:N,12,FALSE)</f>
        <v>-199176</v>
      </c>
      <c r="O36" s="7">
        <f>VLOOKUP(B36,'75 - Summary Exhibit'!A:N,13,FALSE)</f>
        <v>-199570</v>
      </c>
      <c r="P36" s="7">
        <f t="shared" si="14"/>
        <v>-398746</v>
      </c>
      <c r="Q36" s="7">
        <f>VLOOKUP(B36,'75- Deferred Amortization'!A:G,3,FALSE)</f>
        <v>-1492019</v>
      </c>
      <c r="R36" s="7">
        <f>VLOOKUP(B36,'75- Deferred Amortization'!A:G,4,FALSE)</f>
        <v>-1492019</v>
      </c>
      <c r="S36" s="7">
        <f>VLOOKUP(B36,'75- Deferred Amortization'!A:G,5,FALSE)</f>
        <v>-1490719</v>
      </c>
      <c r="T36" s="7">
        <f>VLOOKUP(B36,'75- Deferred Amortization'!A:G,6,FALSE)</f>
        <v>-419888</v>
      </c>
      <c r="U36" s="7">
        <f>VLOOKUP(B36,'75- Deferred Amortization'!A:G,7,FALSE)</f>
        <v>5805</v>
      </c>
      <c r="V36" s="7">
        <f t="shared" si="11"/>
        <v>-1</v>
      </c>
      <c r="W36" s="7">
        <f t="shared" ref="W36:W67" si="15">ROUND((F36+G36+H36+I36-J36-K36-L36-M36-Q36-R36-S36-T36-U36),0)</f>
        <v>-1</v>
      </c>
      <c r="X36">
        <v>2</v>
      </c>
      <c r="AC36" s="10">
        <v>12660696</v>
      </c>
      <c r="AD36" s="10">
        <v>0</v>
      </c>
      <c r="AE36" s="10">
        <v>1362</v>
      </c>
      <c r="AF36" s="10">
        <v>0</v>
      </c>
      <c r="AG36" s="7">
        <v>73455</v>
      </c>
      <c r="AH36" s="7">
        <v>865794</v>
      </c>
      <c r="AI36" s="7">
        <v>0</v>
      </c>
      <c r="AJ36" s="7">
        <v>5484906</v>
      </c>
      <c r="AK36" s="7">
        <v>405992</v>
      </c>
      <c r="AM36" s="7">
        <f t="shared" si="12"/>
        <v>-14691</v>
      </c>
      <c r="AN36" s="7">
        <f t="shared" si="13"/>
        <v>462342</v>
      </c>
      <c r="AO36" s="10">
        <f t="shared" si="4"/>
        <v>0</v>
      </c>
      <c r="AP36" s="7">
        <f t="shared" si="5"/>
        <v>-185579</v>
      </c>
      <c r="AQ36" s="10">
        <f t="shared" si="6"/>
        <v>648535</v>
      </c>
      <c r="AR36" s="7">
        <f t="shared" si="7"/>
        <v>-1428330</v>
      </c>
      <c r="AS36" s="10">
        <f t="shared" si="8"/>
        <v>832265</v>
      </c>
      <c r="AT36" s="10">
        <f t="shared" si="9"/>
        <v>7623</v>
      </c>
      <c r="AU36" s="7">
        <f t="shared" si="10"/>
        <v>0</v>
      </c>
    </row>
    <row r="37" spans="1:47" x14ac:dyDescent="0.25">
      <c r="A37" t="s">
        <v>67</v>
      </c>
      <c r="B37">
        <v>32505</v>
      </c>
      <c r="C37" s="7">
        <f>VLOOKUP(B37,'ER Contributions'!A:D,4,FALSE)</f>
        <v>729187</v>
      </c>
      <c r="D37" s="8">
        <f>VLOOKUP(B37,'ER Contributions'!A:D,3,FALSE)</f>
        <v>6.1600000000000001E-4</v>
      </c>
      <c r="E37" s="10">
        <f>VLOOKUP(B37,'75 - Summary Exhibit'!A:N,3,FALSE)</f>
        <v>19488699</v>
      </c>
      <c r="F37" s="10">
        <f>VLOOKUP(B37,'75 - Summary Exhibit'!A:N,4,FALSE)</f>
        <v>0</v>
      </c>
      <c r="G37" s="10">
        <f>VLOOKUP(B37,'75 - Summary Exhibit'!A:N,5,FALSE)</f>
        <v>12978</v>
      </c>
      <c r="H37" s="10">
        <f>VLOOKUP(B37,'75 - Summary Exhibit'!A:N,6,FALSE)</f>
        <v>936719</v>
      </c>
      <c r="I37" s="7">
        <f>VLOOKUP(B37,'75 - Summary Exhibit'!A:N,7,FALSE)</f>
        <v>1809668</v>
      </c>
      <c r="J37" s="7">
        <f>VLOOKUP(B37,'75 - Summary Exhibit'!A:N,8,FALSE)</f>
        <v>982476</v>
      </c>
      <c r="K37" s="7">
        <f>VLOOKUP(B37,'75 - Summary Exhibit'!A:N,9,FALSE)</f>
        <v>0</v>
      </c>
      <c r="L37" s="7">
        <f>VLOOKUP(B37,'75 - Summary Exhibit'!A:N,10,FALSE)</f>
        <v>5859157</v>
      </c>
      <c r="M37" s="7">
        <f>VLOOKUP(B37,'75 - Summary Exhibit'!A:N,11,FALSE)</f>
        <v>2604717</v>
      </c>
      <c r="N37" s="7">
        <f>VLOOKUP(B37,'75 - Summary Exhibit'!A:N,12,FALSE)</f>
        <v>-287682</v>
      </c>
      <c r="O37" s="7">
        <f>VLOOKUP(B37,'75 - Summary Exhibit'!A:N,13,FALSE)</f>
        <v>-164736</v>
      </c>
      <c r="P37" s="7">
        <f t="shared" si="14"/>
        <v>-452418</v>
      </c>
      <c r="Q37" s="7">
        <f>VLOOKUP(B37,'75- Deferred Amortization'!A:G,3,FALSE)</f>
        <v>-2031494</v>
      </c>
      <c r="R37" s="7">
        <f>VLOOKUP(B37,'75- Deferred Amortization'!A:G,4,FALSE)</f>
        <v>-2031494</v>
      </c>
      <c r="S37" s="7">
        <f>VLOOKUP(B37,'75- Deferred Amortization'!A:G,5,FALSE)</f>
        <v>-2029618</v>
      </c>
      <c r="T37" s="7">
        <f>VLOOKUP(B37,'75- Deferred Amortization'!A:G,6,FALSE)</f>
        <v>-389017</v>
      </c>
      <c r="U37" s="7">
        <f>VLOOKUP(B37,'75- Deferred Amortization'!A:G,7,FALSE)</f>
        <v>-205361</v>
      </c>
      <c r="V37" s="7">
        <f t="shared" si="11"/>
        <v>2</v>
      </c>
      <c r="W37" s="7">
        <f t="shared" si="15"/>
        <v>-1</v>
      </c>
      <c r="X37">
        <v>2</v>
      </c>
      <c r="AC37" s="10">
        <v>19085742</v>
      </c>
      <c r="AD37" s="10">
        <v>0</v>
      </c>
      <c r="AE37" s="10">
        <v>2053</v>
      </c>
      <c r="AF37" s="10">
        <v>0</v>
      </c>
      <c r="AG37" s="7">
        <v>2262085</v>
      </c>
      <c r="AH37" s="7">
        <v>1305167</v>
      </c>
      <c r="AI37" s="7">
        <v>0</v>
      </c>
      <c r="AJ37" s="7">
        <v>8268384</v>
      </c>
      <c r="AK37" s="7">
        <v>962136</v>
      </c>
      <c r="AM37" s="7">
        <f t="shared" si="12"/>
        <v>-452417</v>
      </c>
      <c r="AN37" s="7">
        <f t="shared" si="13"/>
        <v>1642581</v>
      </c>
      <c r="AO37" s="10">
        <f t="shared" si="4"/>
        <v>0</v>
      </c>
      <c r="AP37" s="7">
        <f t="shared" si="5"/>
        <v>-322691</v>
      </c>
      <c r="AQ37" s="10">
        <f t="shared" si="6"/>
        <v>936719</v>
      </c>
      <c r="AR37" s="7">
        <f t="shared" si="7"/>
        <v>-2409227</v>
      </c>
      <c r="AS37" s="10">
        <f t="shared" si="8"/>
        <v>402957</v>
      </c>
      <c r="AT37" s="10">
        <f t="shared" si="9"/>
        <v>10925</v>
      </c>
      <c r="AU37" s="7">
        <f t="shared" si="10"/>
        <v>0</v>
      </c>
    </row>
    <row r="38" spans="1:47" x14ac:dyDescent="0.25">
      <c r="A38" t="s">
        <v>69</v>
      </c>
      <c r="B38">
        <v>32905</v>
      </c>
      <c r="C38" s="7">
        <f>VLOOKUP(B38,'ER Contributions'!A:D,4,FALSE)</f>
        <v>879332</v>
      </c>
      <c r="D38" s="8">
        <f>VLOOKUP(B38,'ER Contributions'!A:D,3,FALSE)</f>
        <v>7.4140000000000002E-4</v>
      </c>
      <c r="E38" s="10">
        <f>VLOOKUP(B38,'75 - Summary Exhibit'!A:N,3,FALSE)</f>
        <v>23459027</v>
      </c>
      <c r="F38" s="10">
        <f>VLOOKUP(B38,'75 - Summary Exhibit'!A:N,4,FALSE)</f>
        <v>0</v>
      </c>
      <c r="G38" s="10">
        <f>VLOOKUP(B38,'75 - Summary Exhibit'!A:N,5,FALSE)</f>
        <v>15622</v>
      </c>
      <c r="H38" s="10">
        <f>VLOOKUP(B38,'75 - Summary Exhibit'!A:N,6,FALSE)</f>
        <v>1127551</v>
      </c>
      <c r="I38" s="7">
        <f>VLOOKUP(B38,'75 - Summary Exhibit'!A:N,7,FALSE)</f>
        <v>380800</v>
      </c>
      <c r="J38" s="7">
        <f>VLOOKUP(B38,'75 - Summary Exhibit'!A:N,8,FALSE)</f>
        <v>1182631</v>
      </c>
      <c r="K38" s="7">
        <f>VLOOKUP(B38,'75 - Summary Exhibit'!A:N,9,FALSE)</f>
        <v>0</v>
      </c>
      <c r="L38" s="7">
        <f>VLOOKUP(B38,'75 - Summary Exhibit'!A:N,10,FALSE)</f>
        <v>7052812</v>
      </c>
      <c r="M38" s="7">
        <f>VLOOKUP(B38,'75 - Summary Exhibit'!A:N,11,FALSE)</f>
        <v>2918036</v>
      </c>
      <c r="N38" s="7">
        <f>VLOOKUP(B38,'75 - Summary Exhibit'!A:N,12,FALSE)</f>
        <v>-346290</v>
      </c>
      <c r="O38" s="7">
        <f>VLOOKUP(B38,'75 - Summary Exhibit'!A:N,13,FALSE)</f>
        <v>-603312</v>
      </c>
      <c r="P38" s="7">
        <f t="shared" si="14"/>
        <v>-949602</v>
      </c>
      <c r="Q38" s="7">
        <f>VLOOKUP(B38,'75- Deferred Amortization'!A:G,3,FALSE)</f>
        <v>-2850370</v>
      </c>
      <c r="R38" s="7">
        <f>VLOOKUP(B38,'75- Deferred Amortization'!A:G,4,FALSE)</f>
        <v>-2850370</v>
      </c>
      <c r="S38" s="7">
        <f>VLOOKUP(B38,'75- Deferred Amortization'!A:G,5,FALSE)</f>
        <v>-2848112</v>
      </c>
      <c r="T38" s="7">
        <f>VLOOKUP(B38,'75- Deferred Amortization'!A:G,6,FALSE)</f>
        <v>-875555</v>
      </c>
      <c r="U38" s="7">
        <f>VLOOKUP(B38,'75- Deferred Amortization'!A:G,7,FALSE)</f>
        <v>-205098</v>
      </c>
      <c r="V38" s="7">
        <f t="shared" si="11"/>
        <v>0</v>
      </c>
      <c r="W38" s="7">
        <f t="shared" si="15"/>
        <v>-1</v>
      </c>
      <c r="X38">
        <v>2</v>
      </c>
      <c r="AC38" s="10">
        <v>22806807</v>
      </c>
      <c r="AD38" s="10">
        <v>0</v>
      </c>
      <c r="AE38" s="10">
        <v>2453</v>
      </c>
      <c r="AF38" s="10">
        <v>0</v>
      </c>
      <c r="AG38" s="7">
        <v>476000</v>
      </c>
      <c r="AH38" s="7">
        <v>1559630</v>
      </c>
      <c r="AI38" s="7">
        <v>0</v>
      </c>
      <c r="AJ38" s="7">
        <v>9880435</v>
      </c>
      <c r="AK38" s="7">
        <v>1149048</v>
      </c>
      <c r="AM38" s="7">
        <f t="shared" si="12"/>
        <v>-95200</v>
      </c>
      <c r="AN38" s="7">
        <f t="shared" si="13"/>
        <v>1768988</v>
      </c>
      <c r="AO38" s="10">
        <f t="shared" si="4"/>
        <v>0</v>
      </c>
      <c r="AP38" s="7">
        <f t="shared" si="5"/>
        <v>-376999</v>
      </c>
      <c r="AQ38" s="10">
        <f t="shared" si="6"/>
        <v>1127551</v>
      </c>
      <c r="AR38" s="7">
        <f t="shared" si="7"/>
        <v>-2827623</v>
      </c>
      <c r="AS38" s="10">
        <f t="shared" si="8"/>
        <v>652220</v>
      </c>
      <c r="AT38" s="10">
        <f t="shared" si="9"/>
        <v>13169</v>
      </c>
      <c r="AU38" s="7">
        <f t="shared" si="10"/>
        <v>0</v>
      </c>
    </row>
    <row r="39" spans="1:47" x14ac:dyDescent="0.25">
      <c r="A39" t="s">
        <v>71</v>
      </c>
      <c r="B39">
        <v>33205</v>
      </c>
      <c r="C39" s="7">
        <f>VLOOKUP(B39,'ER Contributions'!A:D,4,FALSE)</f>
        <v>1239179</v>
      </c>
      <c r="D39" s="8">
        <f>VLOOKUP(B39,'ER Contributions'!A:D,3,FALSE)</f>
        <v>1.0323000000000001E-3</v>
      </c>
      <c r="E39" s="10">
        <f>VLOOKUP(B39,'75 - Summary Exhibit'!A:N,3,FALSE)</f>
        <v>32661375</v>
      </c>
      <c r="F39" s="10">
        <f>VLOOKUP(B39,'75 - Summary Exhibit'!A:N,4,FALSE)</f>
        <v>0</v>
      </c>
      <c r="G39" s="10">
        <f>VLOOKUP(B39,'75 - Summary Exhibit'!A:N,5,FALSE)</f>
        <v>21750</v>
      </c>
      <c r="H39" s="10">
        <f>VLOOKUP(B39,'75 - Summary Exhibit'!A:N,6,FALSE)</f>
        <v>1569859</v>
      </c>
      <c r="I39" s="7">
        <f>VLOOKUP(B39,'75 - Summary Exhibit'!A:N,7,FALSE)</f>
        <v>331224</v>
      </c>
      <c r="J39" s="7">
        <f>VLOOKUP(B39,'75 - Summary Exhibit'!A:N,8,FALSE)</f>
        <v>1646545</v>
      </c>
      <c r="K39" s="7">
        <f>VLOOKUP(B39,'75 - Summary Exhibit'!A:N,9,FALSE)</f>
        <v>0</v>
      </c>
      <c r="L39" s="7">
        <f>VLOOKUP(B39,'75 - Summary Exhibit'!A:N,10,FALSE)</f>
        <v>9819441</v>
      </c>
      <c r="M39" s="7">
        <f>VLOOKUP(B39,'75 - Summary Exhibit'!A:N,11,FALSE)</f>
        <v>2738956</v>
      </c>
      <c r="N39" s="7">
        <f>VLOOKUP(B39,'75 - Summary Exhibit'!A:N,12,FALSE)</f>
        <v>-482130</v>
      </c>
      <c r="O39" s="7">
        <f>VLOOKUP(B39,'75 - Summary Exhibit'!A:N,13,FALSE)</f>
        <v>-574922</v>
      </c>
      <c r="P39" s="7">
        <f t="shared" si="14"/>
        <v>-1057052</v>
      </c>
      <c r="Q39" s="7">
        <f>VLOOKUP(B39,'75- Deferred Amortization'!A:G,3,FALSE)</f>
        <v>-3703443</v>
      </c>
      <c r="R39" s="7">
        <f>VLOOKUP(B39,'75- Deferred Amortization'!A:G,4,FALSE)</f>
        <v>-3703443</v>
      </c>
      <c r="S39" s="7">
        <f>VLOOKUP(B39,'75- Deferred Amortization'!A:G,5,FALSE)</f>
        <v>-3700298</v>
      </c>
      <c r="T39" s="7">
        <f>VLOOKUP(B39,'75- Deferred Amortization'!A:G,6,FALSE)</f>
        <v>-1079061</v>
      </c>
      <c r="U39" s="7">
        <f>VLOOKUP(B39,'75- Deferred Amortization'!A:G,7,FALSE)</f>
        <v>-95863</v>
      </c>
      <c r="V39" s="7">
        <f t="shared" si="11"/>
        <v>-3</v>
      </c>
      <c r="W39" s="7">
        <f t="shared" si="15"/>
        <v>-1</v>
      </c>
      <c r="X39">
        <v>2</v>
      </c>
      <c r="AC39" s="10">
        <v>31005232</v>
      </c>
      <c r="AD39" s="10">
        <v>0</v>
      </c>
      <c r="AE39" s="10">
        <v>3334</v>
      </c>
      <c r="AF39" s="10">
        <v>0</v>
      </c>
      <c r="AG39" s="7">
        <v>414030</v>
      </c>
      <c r="AH39" s="7">
        <v>2120274</v>
      </c>
      <c r="AI39" s="7">
        <v>0</v>
      </c>
      <c r="AJ39" s="7">
        <v>13432182</v>
      </c>
      <c r="AK39" s="7">
        <v>1099388</v>
      </c>
      <c r="AM39" s="7">
        <f t="shared" si="12"/>
        <v>-82806</v>
      </c>
      <c r="AN39" s="7">
        <f t="shared" si="13"/>
        <v>1639568</v>
      </c>
      <c r="AO39" s="10">
        <f t="shared" si="4"/>
        <v>0</v>
      </c>
      <c r="AP39" s="7">
        <f t="shared" si="5"/>
        <v>-473729</v>
      </c>
      <c r="AQ39" s="10">
        <f t="shared" si="6"/>
        <v>1569859</v>
      </c>
      <c r="AR39" s="7">
        <f t="shared" si="7"/>
        <v>-3612741</v>
      </c>
      <c r="AS39" s="10">
        <f t="shared" si="8"/>
        <v>1656143</v>
      </c>
      <c r="AT39" s="10">
        <f t="shared" si="9"/>
        <v>18416</v>
      </c>
      <c r="AU39" s="7">
        <f t="shared" si="10"/>
        <v>0</v>
      </c>
    </row>
    <row r="40" spans="1:47" x14ac:dyDescent="0.25">
      <c r="A40" t="s">
        <v>72</v>
      </c>
      <c r="B40">
        <v>33305</v>
      </c>
      <c r="C40" s="7">
        <f>VLOOKUP(B40,'ER Contributions'!A:D,4,FALSE)</f>
        <v>598338</v>
      </c>
      <c r="D40" s="8">
        <f>VLOOKUP(B40,'ER Contributions'!A:D,3,FALSE)</f>
        <v>4.5219999999999999E-4</v>
      </c>
      <c r="E40" s="10">
        <f>VLOOKUP(B40,'75 - Summary Exhibit'!A:N,3,FALSE)</f>
        <v>14308755</v>
      </c>
      <c r="F40" s="10">
        <f>VLOOKUP(B40,'75 - Summary Exhibit'!A:N,4,FALSE)</f>
        <v>0</v>
      </c>
      <c r="G40" s="10">
        <f>VLOOKUP(B40,'75 - Summary Exhibit'!A:N,5,FALSE)</f>
        <v>9528</v>
      </c>
      <c r="H40" s="10">
        <f>VLOOKUP(B40,'75 - Summary Exhibit'!A:N,6,FALSE)</f>
        <v>687746</v>
      </c>
      <c r="I40" s="7">
        <f>VLOOKUP(B40,'75 - Summary Exhibit'!A:N,7,FALSE)</f>
        <v>0</v>
      </c>
      <c r="J40" s="7">
        <f>VLOOKUP(B40,'75 - Summary Exhibit'!A:N,8,FALSE)</f>
        <v>721341</v>
      </c>
      <c r="K40" s="7">
        <f>VLOOKUP(B40,'75 - Summary Exhibit'!A:N,9,FALSE)</f>
        <v>0</v>
      </c>
      <c r="L40" s="7">
        <f>VLOOKUP(B40,'75 - Summary Exhibit'!A:N,10,FALSE)</f>
        <v>4301839</v>
      </c>
      <c r="M40" s="7">
        <f>VLOOKUP(B40,'75 - Summary Exhibit'!A:N,11,FALSE)</f>
        <v>1540382</v>
      </c>
      <c r="N40" s="7">
        <f>VLOOKUP(B40,'75 - Summary Exhibit'!A:N,12,FALSE)</f>
        <v>-211218</v>
      </c>
      <c r="O40" s="7">
        <f>VLOOKUP(B40,'75 - Summary Exhibit'!A:N,13,FALSE)</f>
        <v>-365053</v>
      </c>
      <c r="P40" s="7">
        <f t="shared" si="14"/>
        <v>-576271</v>
      </c>
      <c r="Q40" s="7">
        <f>VLOOKUP(B40,'75- Deferred Amortization'!A:G,3,FALSE)</f>
        <v>-1735643</v>
      </c>
      <c r="R40" s="7">
        <f>VLOOKUP(B40,'75- Deferred Amortization'!A:G,4,FALSE)</f>
        <v>-1735643</v>
      </c>
      <c r="S40" s="7">
        <f>VLOOKUP(B40,'75- Deferred Amortization'!A:G,5,FALSE)</f>
        <v>-1734265</v>
      </c>
      <c r="T40" s="7">
        <f>VLOOKUP(B40,'75- Deferred Amortization'!A:G,6,FALSE)</f>
        <v>-601216</v>
      </c>
      <c r="U40" s="7">
        <f>VLOOKUP(B40,'75- Deferred Amortization'!A:G,7,FALSE)</f>
        <v>-59521</v>
      </c>
      <c r="V40" s="7">
        <f t="shared" si="11"/>
        <v>0</v>
      </c>
      <c r="W40" s="7">
        <f t="shared" si="15"/>
        <v>0</v>
      </c>
      <c r="X40">
        <v>2</v>
      </c>
      <c r="AC40" s="10">
        <v>13690171</v>
      </c>
      <c r="AD40" s="10">
        <v>0</v>
      </c>
      <c r="AE40" s="10">
        <v>1472</v>
      </c>
      <c r="AF40" s="10">
        <v>0</v>
      </c>
      <c r="AG40" s="7">
        <v>0</v>
      </c>
      <c r="AH40" s="7">
        <v>936194</v>
      </c>
      <c r="AI40" s="7">
        <v>0</v>
      </c>
      <c r="AJ40" s="7">
        <v>5930898</v>
      </c>
      <c r="AK40" s="7">
        <v>793861</v>
      </c>
      <c r="AM40" s="7">
        <f t="shared" si="12"/>
        <v>0</v>
      </c>
      <c r="AN40" s="7">
        <f t="shared" si="13"/>
        <v>746521</v>
      </c>
      <c r="AO40" s="10">
        <f t="shared" si="4"/>
        <v>0</v>
      </c>
      <c r="AP40" s="7">
        <f t="shared" si="5"/>
        <v>-214853</v>
      </c>
      <c r="AQ40" s="10">
        <f t="shared" si="6"/>
        <v>687746</v>
      </c>
      <c r="AR40" s="7">
        <f t="shared" si="7"/>
        <v>-1629059</v>
      </c>
      <c r="AS40" s="10">
        <f t="shared" si="8"/>
        <v>618584</v>
      </c>
      <c r="AT40" s="10">
        <f t="shared" si="9"/>
        <v>8056</v>
      </c>
      <c r="AU40" s="7">
        <f t="shared" si="10"/>
        <v>0</v>
      </c>
    </row>
    <row r="41" spans="1:47" x14ac:dyDescent="0.25">
      <c r="A41" t="s">
        <v>68</v>
      </c>
      <c r="B41">
        <v>32605</v>
      </c>
      <c r="C41" s="7">
        <f>VLOOKUP(B41,'ER Contributions'!A:D,4,FALSE)</f>
        <v>2615525</v>
      </c>
      <c r="D41" s="8">
        <f>VLOOKUP(B41,'ER Contributions'!A:D,3,FALSE)</f>
        <v>2.1827999999999999E-3</v>
      </c>
      <c r="E41" s="10">
        <f>VLOOKUP(B41,'75 - Summary Exhibit'!A:N,3,FALSE)</f>
        <v>69061235</v>
      </c>
      <c r="F41" s="10">
        <f>VLOOKUP(B41,'75 - Summary Exhibit'!A:N,4,FALSE)</f>
        <v>0</v>
      </c>
      <c r="G41" s="10">
        <f>VLOOKUP(B41,'75 - Summary Exhibit'!A:N,5,FALSE)</f>
        <v>45989</v>
      </c>
      <c r="H41" s="10">
        <f>VLOOKUP(B41,'75 - Summary Exhibit'!A:N,6,FALSE)</f>
        <v>3319408</v>
      </c>
      <c r="I41" s="7">
        <f>VLOOKUP(B41,'75 - Summary Exhibit'!A:N,7,FALSE)</f>
        <v>2371667</v>
      </c>
      <c r="J41" s="7">
        <f>VLOOKUP(B41,'75 - Summary Exhibit'!A:N,8,FALSE)</f>
        <v>3481556</v>
      </c>
      <c r="K41" s="7">
        <f>VLOOKUP(B41,'75 - Summary Exhibit'!A:N,9,FALSE)</f>
        <v>0</v>
      </c>
      <c r="L41" s="7">
        <f>VLOOKUP(B41,'75 - Summary Exhibit'!A:N,10,FALSE)</f>
        <v>20762834</v>
      </c>
      <c r="M41" s="7">
        <f>VLOOKUP(B41,'75 - Summary Exhibit'!A:N,11,FALSE)</f>
        <v>2932917</v>
      </c>
      <c r="N41" s="7">
        <f>VLOOKUP(B41,'75 - Summary Exhibit'!A:N,12,FALSE)</f>
        <v>-1019446</v>
      </c>
      <c r="O41" s="7">
        <f>VLOOKUP(B41,'75 - Summary Exhibit'!A:N,13,FALSE)</f>
        <v>-387802</v>
      </c>
      <c r="P41" s="7">
        <f t="shared" si="14"/>
        <v>-1407248</v>
      </c>
      <c r="Q41" s="7">
        <f>VLOOKUP(B41,'75- Deferred Amortization'!A:G,3,FALSE)</f>
        <v>-7002938</v>
      </c>
      <c r="R41" s="7">
        <f>VLOOKUP(B41,'75- Deferred Amortization'!A:G,4,FALSE)</f>
        <v>-7002938</v>
      </c>
      <c r="S41" s="7">
        <f>VLOOKUP(B41,'75- Deferred Amortization'!A:G,5,FALSE)</f>
        <v>-6996289</v>
      </c>
      <c r="T41" s="7">
        <f>VLOOKUP(B41,'75- Deferred Amortization'!A:G,6,FALSE)</f>
        <v>-1057297</v>
      </c>
      <c r="U41" s="7">
        <f>VLOOKUP(B41,'75- Deferred Amortization'!A:G,7,FALSE)</f>
        <v>619219</v>
      </c>
      <c r="V41" s="7">
        <f t="shared" si="11"/>
        <v>0</v>
      </c>
      <c r="W41" s="7">
        <f t="shared" si="15"/>
        <v>0</v>
      </c>
      <c r="X41">
        <v>2</v>
      </c>
      <c r="AC41" s="10">
        <v>62271887</v>
      </c>
      <c r="AD41" s="10">
        <v>0</v>
      </c>
      <c r="AE41" s="10">
        <v>6697</v>
      </c>
      <c r="AF41" s="10">
        <v>0</v>
      </c>
      <c r="AG41" s="7">
        <v>2887540</v>
      </c>
      <c r="AH41" s="7">
        <v>4258426</v>
      </c>
      <c r="AI41" s="7">
        <v>0</v>
      </c>
      <c r="AJ41" s="7">
        <v>26977619</v>
      </c>
      <c r="AK41" s="7">
        <v>3910556</v>
      </c>
      <c r="AM41" s="7">
        <f t="shared" si="12"/>
        <v>-515873</v>
      </c>
      <c r="AN41" s="7">
        <f t="shared" si="13"/>
        <v>-977639</v>
      </c>
      <c r="AO41" s="10">
        <f t="shared" si="4"/>
        <v>0</v>
      </c>
      <c r="AP41" s="7">
        <f t="shared" si="5"/>
        <v>-776870</v>
      </c>
      <c r="AQ41" s="10">
        <f t="shared" si="6"/>
        <v>3319408</v>
      </c>
      <c r="AR41" s="7">
        <f t="shared" si="7"/>
        <v>-6214785</v>
      </c>
      <c r="AS41" s="10">
        <f t="shared" si="8"/>
        <v>6789348</v>
      </c>
      <c r="AT41" s="10">
        <f t="shared" si="9"/>
        <v>39292</v>
      </c>
      <c r="AU41" s="7">
        <f t="shared" si="10"/>
        <v>0</v>
      </c>
    </row>
    <row r="42" spans="1:47" x14ac:dyDescent="0.25">
      <c r="A42" t="s">
        <v>73</v>
      </c>
      <c r="B42">
        <v>33405</v>
      </c>
      <c r="C42" s="7">
        <f>VLOOKUP(B42,'ER Contributions'!A:D,4,FALSE)</f>
        <v>1880462</v>
      </c>
      <c r="D42" s="8">
        <f>VLOOKUP(B42,'ER Contributions'!A:D,3,FALSE)</f>
        <v>1.5437000000000001E-3</v>
      </c>
      <c r="E42" s="10">
        <f>VLOOKUP(B42,'75 - Summary Exhibit'!A:N,3,FALSE)</f>
        <v>48843366</v>
      </c>
      <c r="F42" s="10">
        <f>VLOOKUP(B42,'75 - Summary Exhibit'!A:N,4,FALSE)</f>
        <v>0</v>
      </c>
      <c r="G42" s="10">
        <f>VLOOKUP(B42,'75 - Summary Exhibit'!A:N,5,FALSE)</f>
        <v>32526</v>
      </c>
      <c r="H42" s="10">
        <f>VLOOKUP(B42,'75 - Summary Exhibit'!A:N,6,FALSE)</f>
        <v>2347642</v>
      </c>
      <c r="I42" s="7">
        <f>VLOOKUP(B42,'75 - Summary Exhibit'!A:N,7,FALSE)</f>
        <v>0</v>
      </c>
      <c r="J42" s="7">
        <f>VLOOKUP(B42,'75 - Summary Exhibit'!A:N,8,FALSE)</f>
        <v>2462321</v>
      </c>
      <c r="K42" s="7">
        <f>VLOOKUP(B42,'75 - Summary Exhibit'!A:N,9,FALSE)</f>
        <v>0</v>
      </c>
      <c r="L42" s="7">
        <f>VLOOKUP(B42,'75 - Summary Exhibit'!A:N,10,FALSE)</f>
        <v>14684457</v>
      </c>
      <c r="M42" s="7">
        <f>VLOOKUP(B42,'75 - Summary Exhibit'!A:N,11,FALSE)</f>
        <v>6155816</v>
      </c>
      <c r="N42" s="7">
        <f>VLOOKUP(B42,'75 - Summary Exhibit'!A:N,12,FALSE)</f>
        <v>-721001</v>
      </c>
      <c r="O42" s="7">
        <f>VLOOKUP(B42,'75 - Summary Exhibit'!A:N,13,FALSE)</f>
        <v>-1669772</v>
      </c>
      <c r="P42" s="7">
        <f t="shared" si="14"/>
        <v>-2390773</v>
      </c>
      <c r="Q42" s="7">
        <f>VLOOKUP(B42,'75- Deferred Amortization'!A:G,3,FALSE)</f>
        <v>-6348309</v>
      </c>
      <c r="R42" s="7">
        <f>VLOOKUP(B42,'75- Deferred Amortization'!A:G,4,FALSE)</f>
        <v>-6348309</v>
      </c>
      <c r="S42" s="7">
        <f>VLOOKUP(B42,'75- Deferred Amortization'!A:G,5,FALSE)</f>
        <v>-6343607</v>
      </c>
      <c r="T42" s="7">
        <f>VLOOKUP(B42,'75- Deferred Amortization'!A:G,6,FALSE)</f>
        <v>-1974766</v>
      </c>
      <c r="U42" s="7">
        <f>VLOOKUP(B42,'75- Deferred Amortization'!A:G,7,FALSE)</f>
        <v>92566</v>
      </c>
      <c r="V42" s="7">
        <f t="shared" si="11"/>
        <v>-2</v>
      </c>
      <c r="W42" s="7">
        <f t="shared" si="15"/>
        <v>-1</v>
      </c>
      <c r="X42">
        <v>2</v>
      </c>
      <c r="AC42" s="10">
        <v>45442144</v>
      </c>
      <c r="AD42" s="10">
        <v>0</v>
      </c>
      <c r="AE42" s="10">
        <v>4887</v>
      </c>
      <c r="AF42" s="10">
        <v>0</v>
      </c>
      <c r="AG42" s="7">
        <v>0</v>
      </c>
      <c r="AH42" s="7">
        <v>3107534</v>
      </c>
      <c r="AI42" s="7">
        <v>0</v>
      </c>
      <c r="AJ42" s="7">
        <v>19686586</v>
      </c>
      <c r="AK42" s="7">
        <v>5805648</v>
      </c>
      <c r="AM42" s="7">
        <f t="shared" si="12"/>
        <v>0</v>
      </c>
      <c r="AN42" s="7">
        <f t="shared" si="13"/>
        <v>350168</v>
      </c>
      <c r="AO42" s="10">
        <f t="shared" si="4"/>
        <v>0</v>
      </c>
      <c r="AP42" s="7">
        <f t="shared" si="5"/>
        <v>-645213</v>
      </c>
      <c r="AQ42" s="10">
        <f t="shared" si="6"/>
        <v>2347642</v>
      </c>
      <c r="AR42" s="7">
        <f t="shared" si="7"/>
        <v>-5002129</v>
      </c>
      <c r="AS42" s="10">
        <f t="shared" si="8"/>
        <v>3401222</v>
      </c>
      <c r="AT42" s="10">
        <f t="shared" si="9"/>
        <v>27639</v>
      </c>
      <c r="AU42" s="7">
        <f t="shared" si="10"/>
        <v>0</v>
      </c>
    </row>
    <row r="43" spans="1:47" x14ac:dyDescent="0.25">
      <c r="A43" t="s">
        <v>74</v>
      </c>
      <c r="B43">
        <v>33605</v>
      </c>
      <c r="C43" s="7">
        <f>VLOOKUP(B43,'ER Contributions'!A:D,4,FALSE)</f>
        <v>1427911</v>
      </c>
      <c r="D43" s="8">
        <f>VLOOKUP(B43,'ER Contributions'!A:D,3,FALSE)</f>
        <v>1.1186E-3</v>
      </c>
      <c r="E43" s="10">
        <f>VLOOKUP(B43,'75 - Summary Exhibit'!A:N,3,FALSE)</f>
        <v>35393207</v>
      </c>
      <c r="F43" s="10">
        <f>VLOOKUP(B43,'75 - Summary Exhibit'!A:N,4,FALSE)</f>
        <v>0</v>
      </c>
      <c r="G43" s="10">
        <f>VLOOKUP(B43,'75 - Summary Exhibit'!A:N,5,FALSE)</f>
        <v>23569</v>
      </c>
      <c r="H43" s="10">
        <f>VLOOKUP(B43,'75 - Summary Exhibit'!A:N,6,FALSE)</f>
        <v>1701164</v>
      </c>
      <c r="I43" s="7">
        <f>VLOOKUP(B43,'75 - Summary Exhibit'!A:N,7,FALSE)</f>
        <v>0</v>
      </c>
      <c r="J43" s="7">
        <f>VLOOKUP(B43,'75 - Summary Exhibit'!A:N,8,FALSE)</f>
        <v>1784264</v>
      </c>
      <c r="K43" s="7">
        <f>VLOOKUP(B43,'75 - Summary Exhibit'!A:N,9,FALSE)</f>
        <v>0</v>
      </c>
      <c r="L43" s="7">
        <f>VLOOKUP(B43,'75 - Summary Exhibit'!A:N,10,FALSE)</f>
        <v>10640749</v>
      </c>
      <c r="M43" s="7">
        <f>VLOOKUP(B43,'75 - Summary Exhibit'!A:N,11,FALSE)</f>
        <v>3726846</v>
      </c>
      <c r="N43" s="7">
        <f>VLOOKUP(B43,'75 - Summary Exhibit'!A:N,12,FALSE)</f>
        <v>-522456</v>
      </c>
      <c r="O43" s="7">
        <f>VLOOKUP(B43,'75 - Summary Exhibit'!A:N,13,FALSE)</f>
        <v>-883965</v>
      </c>
      <c r="P43" s="7">
        <f t="shared" si="14"/>
        <v>-1406421</v>
      </c>
      <c r="Q43" s="7">
        <f>VLOOKUP(B43,'75- Deferred Amortization'!A:G,3,FALSE)</f>
        <v>-4274154</v>
      </c>
      <c r="R43" s="7">
        <f>VLOOKUP(B43,'75- Deferred Amortization'!A:G,4,FALSE)</f>
        <v>-4274154</v>
      </c>
      <c r="S43" s="7">
        <f>VLOOKUP(B43,'75- Deferred Amortization'!A:G,5,FALSE)</f>
        <v>-4270746</v>
      </c>
      <c r="T43" s="7">
        <f>VLOOKUP(B43,'75- Deferred Amortization'!A:G,6,FALSE)</f>
        <v>-1481069</v>
      </c>
      <c r="U43" s="7">
        <f>VLOOKUP(B43,'75- Deferred Amortization'!A:G,7,FALSE)</f>
        <v>-127004</v>
      </c>
      <c r="V43" s="7">
        <f t="shared" si="11"/>
        <v>2</v>
      </c>
      <c r="W43" s="7">
        <f t="shared" si="15"/>
        <v>1</v>
      </c>
      <c r="X43">
        <v>2</v>
      </c>
      <c r="AC43" s="10">
        <v>33747612</v>
      </c>
      <c r="AD43" s="10">
        <v>0</v>
      </c>
      <c r="AE43" s="10">
        <v>3629</v>
      </c>
      <c r="AF43" s="10">
        <v>0</v>
      </c>
      <c r="AG43" s="7">
        <v>0</v>
      </c>
      <c r="AH43" s="7">
        <v>2307811</v>
      </c>
      <c r="AI43" s="7">
        <v>0</v>
      </c>
      <c r="AJ43" s="7">
        <v>14620245</v>
      </c>
      <c r="AK43" s="7">
        <v>1982628</v>
      </c>
      <c r="AM43" s="7">
        <f t="shared" si="12"/>
        <v>0</v>
      </c>
      <c r="AN43" s="7">
        <f t="shared" si="13"/>
        <v>1744218</v>
      </c>
      <c r="AO43" s="10">
        <f t="shared" si="4"/>
        <v>0</v>
      </c>
      <c r="AP43" s="7">
        <f t="shared" si="5"/>
        <v>-523547</v>
      </c>
      <c r="AQ43" s="10">
        <f t="shared" si="6"/>
        <v>1701164</v>
      </c>
      <c r="AR43" s="7">
        <f t="shared" si="7"/>
        <v>-3979496</v>
      </c>
      <c r="AS43" s="10">
        <f t="shared" si="8"/>
        <v>1645595</v>
      </c>
      <c r="AT43" s="10">
        <f t="shared" si="9"/>
        <v>19940</v>
      </c>
      <c r="AU43" s="7">
        <f t="shared" si="10"/>
        <v>0</v>
      </c>
    </row>
    <row r="44" spans="1:47" x14ac:dyDescent="0.25">
      <c r="A44" t="s">
        <v>75</v>
      </c>
      <c r="B44">
        <v>34105</v>
      </c>
      <c r="C44" s="7">
        <f>VLOOKUP(B44,'ER Contributions'!A:D,4,FALSE)</f>
        <v>2378959</v>
      </c>
      <c r="D44" s="8">
        <f>VLOOKUP(B44,'ER Contributions'!A:D,3,FALSE)</f>
        <v>1.9219E-3</v>
      </c>
      <c r="E44" s="10">
        <f>VLOOKUP(B44,'75 - Summary Exhibit'!A:N,3,FALSE)</f>
        <v>60806895</v>
      </c>
      <c r="F44" s="10">
        <f>VLOOKUP(B44,'75 - Summary Exhibit'!A:N,4,FALSE)</f>
        <v>0</v>
      </c>
      <c r="G44" s="10">
        <f>VLOOKUP(B44,'75 - Summary Exhibit'!A:N,5,FALSE)</f>
        <v>40493</v>
      </c>
      <c r="H44" s="10">
        <f>VLOOKUP(B44,'75 - Summary Exhibit'!A:N,6,FALSE)</f>
        <v>2922666</v>
      </c>
      <c r="I44" s="7">
        <f>VLOOKUP(B44,'75 - Summary Exhibit'!A:N,7,FALSE)</f>
        <v>0</v>
      </c>
      <c r="J44" s="7">
        <f>VLOOKUP(B44,'75 - Summary Exhibit'!A:N,8,FALSE)</f>
        <v>3065434</v>
      </c>
      <c r="K44" s="7">
        <f>VLOOKUP(B44,'75 - Summary Exhibit'!A:N,9,FALSE)</f>
        <v>0</v>
      </c>
      <c r="L44" s="7">
        <f>VLOOKUP(B44,'75 - Summary Exhibit'!A:N,10,FALSE)</f>
        <v>18281218</v>
      </c>
      <c r="M44" s="7">
        <f>VLOOKUP(B44,'75 - Summary Exhibit'!A:N,11,FALSE)</f>
        <v>7628644</v>
      </c>
      <c r="N44" s="7">
        <f>VLOOKUP(B44,'75 - Summary Exhibit'!A:N,12,FALSE)</f>
        <v>-897600</v>
      </c>
      <c r="O44" s="7">
        <f>VLOOKUP(B44,'75 - Summary Exhibit'!A:N,13,FALSE)</f>
        <v>-1811584</v>
      </c>
      <c r="P44" s="7">
        <f t="shared" si="14"/>
        <v>-2709184</v>
      </c>
      <c r="Q44" s="7">
        <f>VLOOKUP(B44,'75- Deferred Amortization'!A:G,3,FALSE)</f>
        <v>-7636068</v>
      </c>
      <c r="R44" s="7">
        <f>VLOOKUP(B44,'75- Deferred Amortization'!A:G,4,FALSE)</f>
        <v>-7636068</v>
      </c>
      <c r="S44" s="7">
        <f>VLOOKUP(B44,'75- Deferred Amortization'!A:G,5,FALSE)</f>
        <v>-7630213</v>
      </c>
      <c r="T44" s="7">
        <f>VLOOKUP(B44,'75- Deferred Amortization'!A:G,6,FALSE)</f>
        <v>-2778639</v>
      </c>
      <c r="U44" s="7">
        <f>VLOOKUP(B44,'75- Deferred Amortization'!A:G,7,FALSE)</f>
        <v>-331149</v>
      </c>
      <c r="V44" s="7">
        <f t="shared" si="11"/>
        <v>-1</v>
      </c>
      <c r="W44" s="7">
        <f t="shared" si="15"/>
        <v>0</v>
      </c>
      <c r="X44">
        <v>2</v>
      </c>
      <c r="AC44" s="10">
        <v>58381598</v>
      </c>
      <c r="AD44" s="10">
        <v>0</v>
      </c>
      <c r="AE44" s="10">
        <v>6279</v>
      </c>
      <c r="AF44" s="10">
        <v>0</v>
      </c>
      <c r="AG44" s="7">
        <v>0</v>
      </c>
      <c r="AH44" s="7">
        <v>3992391</v>
      </c>
      <c r="AI44" s="7">
        <v>0</v>
      </c>
      <c r="AJ44" s="7">
        <v>25292256</v>
      </c>
      <c r="AK44" s="7">
        <v>4247208</v>
      </c>
      <c r="AM44" s="7">
        <f t="shared" si="12"/>
        <v>0</v>
      </c>
      <c r="AN44" s="7">
        <f t="shared" si="13"/>
        <v>3381436</v>
      </c>
      <c r="AO44" s="10">
        <f t="shared" si="4"/>
        <v>0</v>
      </c>
      <c r="AP44" s="7">
        <f t="shared" si="5"/>
        <v>-926957</v>
      </c>
      <c r="AQ44" s="10">
        <f t="shared" si="6"/>
        <v>2922666</v>
      </c>
      <c r="AR44" s="7">
        <f t="shared" si="7"/>
        <v>-7011038</v>
      </c>
      <c r="AS44" s="10">
        <f t="shared" si="8"/>
        <v>2425297</v>
      </c>
      <c r="AT44" s="10">
        <f t="shared" si="9"/>
        <v>34214</v>
      </c>
      <c r="AU44" s="7">
        <f t="shared" si="10"/>
        <v>0</v>
      </c>
    </row>
    <row r="45" spans="1:47" x14ac:dyDescent="0.25">
      <c r="A45" t="s">
        <v>76</v>
      </c>
      <c r="B45">
        <v>34205</v>
      </c>
      <c r="C45" s="7">
        <f>VLOOKUP(B45,'ER Contributions'!A:D,4,FALSE)</f>
        <v>424021</v>
      </c>
      <c r="D45" s="8">
        <f>VLOOKUP(B45,'ER Contributions'!A:D,3,FALSE)</f>
        <v>3.5270000000000001E-4</v>
      </c>
      <c r="E45" s="10">
        <f>VLOOKUP(B45,'75 - Summary Exhibit'!A:N,3,FALSE)</f>
        <v>11160087</v>
      </c>
      <c r="F45" s="10">
        <f>VLOOKUP(B45,'75 - Summary Exhibit'!A:N,4,FALSE)</f>
        <v>0</v>
      </c>
      <c r="G45" s="10">
        <f>VLOOKUP(B45,'75 - Summary Exhibit'!A:N,5,FALSE)</f>
        <v>7432</v>
      </c>
      <c r="H45" s="10">
        <f>VLOOKUP(B45,'75 - Summary Exhibit'!A:N,6,FALSE)</f>
        <v>536406</v>
      </c>
      <c r="I45" s="7">
        <f>VLOOKUP(B45,'75 - Summary Exhibit'!A:N,7,FALSE)</f>
        <v>0</v>
      </c>
      <c r="J45" s="7">
        <f>VLOOKUP(B45,'75 - Summary Exhibit'!A:N,8,FALSE)</f>
        <v>562609</v>
      </c>
      <c r="K45" s="7">
        <f>VLOOKUP(B45,'75 - Summary Exhibit'!A:N,9,FALSE)</f>
        <v>0</v>
      </c>
      <c r="L45" s="7">
        <f>VLOOKUP(B45,'75 - Summary Exhibit'!A:N,10,FALSE)</f>
        <v>3355211</v>
      </c>
      <c r="M45" s="7">
        <f>VLOOKUP(B45,'75 - Summary Exhibit'!A:N,11,FALSE)</f>
        <v>1478003</v>
      </c>
      <c r="N45" s="7">
        <f>VLOOKUP(B45,'75 - Summary Exhibit'!A:N,12,FALSE)</f>
        <v>-164739</v>
      </c>
      <c r="O45" s="7">
        <f>VLOOKUP(B45,'75 - Summary Exhibit'!A:N,13,FALSE)</f>
        <v>-382871</v>
      </c>
      <c r="P45" s="7">
        <f t="shared" si="14"/>
        <v>-547610</v>
      </c>
      <c r="Q45" s="7">
        <f>VLOOKUP(B45,'75- Deferred Amortization'!A:G,3,FALSE)</f>
        <v>-1451854</v>
      </c>
      <c r="R45" s="7">
        <f>VLOOKUP(B45,'75- Deferred Amortization'!A:G,4,FALSE)</f>
        <v>-1451854</v>
      </c>
      <c r="S45" s="7">
        <f>VLOOKUP(B45,'75- Deferred Amortization'!A:G,5,FALSE)</f>
        <v>-1450779</v>
      </c>
      <c r="T45" s="7">
        <f>VLOOKUP(B45,'75- Deferred Amortization'!A:G,6,FALSE)</f>
        <v>-446882</v>
      </c>
      <c r="U45" s="7">
        <f>VLOOKUP(B45,'75- Deferred Amortization'!A:G,7,FALSE)</f>
        <v>-50616</v>
      </c>
      <c r="V45" s="7">
        <f t="shared" si="11"/>
        <v>-1</v>
      </c>
      <c r="W45" s="7">
        <f t="shared" si="15"/>
        <v>0</v>
      </c>
      <c r="X45">
        <v>2</v>
      </c>
      <c r="AC45" s="10">
        <v>10665974</v>
      </c>
      <c r="AD45" s="10">
        <v>0</v>
      </c>
      <c r="AE45" s="10">
        <v>1147</v>
      </c>
      <c r="AF45" s="10">
        <v>0</v>
      </c>
      <c r="AG45" s="7">
        <v>0</v>
      </c>
      <c r="AH45" s="7">
        <v>729386</v>
      </c>
      <c r="AI45" s="7">
        <v>0</v>
      </c>
      <c r="AJ45" s="7">
        <v>4620746</v>
      </c>
      <c r="AK45" s="7">
        <v>968743</v>
      </c>
      <c r="AM45" s="7">
        <f t="shared" si="12"/>
        <v>0</v>
      </c>
      <c r="AN45" s="7">
        <f t="shared" si="13"/>
        <v>509260</v>
      </c>
      <c r="AO45" s="10">
        <f t="shared" si="4"/>
        <v>0</v>
      </c>
      <c r="AP45" s="7">
        <f t="shared" si="5"/>
        <v>-166777</v>
      </c>
      <c r="AQ45" s="10">
        <f t="shared" si="6"/>
        <v>536406</v>
      </c>
      <c r="AR45" s="7">
        <f t="shared" si="7"/>
        <v>-1265535</v>
      </c>
      <c r="AS45" s="10">
        <f t="shared" si="8"/>
        <v>494113</v>
      </c>
      <c r="AT45" s="10">
        <f t="shared" si="9"/>
        <v>6285</v>
      </c>
      <c r="AU45" s="7">
        <f t="shared" si="10"/>
        <v>0</v>
      </c>
    </row>
    <row r="46" spans="1:47" x14ac:dyDescent="0.25">
      <c r="A46" t="s">
        <v>77</v>
      </c>
      <c r="B46">
        <v>34405</v>
      </c>
      <c r="C46" s="7">
        <f>VLOOKUP(B46,'ER Contributions'!A:D,4,FALSE)</f>
        <v>528924</v>
      </c>
      <c r="D46" s="8">
        <f>VLOOKUP(B46,'ER Contributions'!A:D,3,FALSE)</f>
        <v>4.8959999999999997E-4</v>
      </c>
      <c r="E46" s="10">
        <f>VLOOKUP(B46,'75 - Summary Exhibit'!A:N,3,FALSE)</f>
        <v>15490007</v>
      </c>
      <c r="F46" s="10">
        <f>VLOOKUP(B46,'75 - Summary Exhibit'!A:N,4,FALSE)</f>
        <v>0</v>
      </c>
      <c r="G46" s="10">
        <f>VLOOKUP(B46,'75 - Summary Exhibit'!A:N,5,FALSE)</f>
        <v>10315</v>
      </c>
      <c r="H46" s="10">
        <f>VLOOKUP(B46,'75 - Summary Exhibit'!A:N,6,FALSE)</f>
        <v>744523</v>
      </c>
      <c r="I46" s="7">
        <f>VLOOKUP(B46,'75 - Summary Exhibit'!A:N,7,FALSE)</f>
        <v>0</v>
      </c>
      <c r="J46" s="7">
        <f>VLOOKUP(B46,'75 - Summary Exhibit'!A:N,8,FALSE)</f>
        <v>780891</v>
      </c>
      <c r="K46" s="7">
        <f>VLOOKUP(B46,'75 - Summary Exhibit'!A:N,9,FALSE)</f>
        <v>0</v>
      </c>
      <c r="L46" s="7">
        <f>VLOOKUP(B46,'75 - Summary Exhibit'!A:N,10,FALSE)</f>
        <v>4656975</v>
      </c>
      <c r="M46" s="7">
        <f>VLOOKUP(B46,'75 - Summary Exhibit'!A:N,11,FALSE)</f>
        <v>1314561</v>
      </c>
      <c r="N46" s="7">
        <f>VLOOKUP(B46,'75 - Summary Exhibit'!A:N,12,FALSE)</f>
        <v>-228656</v>
      </c>
      <c r="O46" s="7">
        <f>VLOOKUP(B46,'75 - Summary Exhibit'!A:N,13,FALSE)</f>
        <v>-423410</v>
      </c>
      <c r="P46" s="7">
        <f t="shared" si="14"/>
        <v>-652066</v>
      </c>
      <c r="Q46" s="7">
        <f>VLOOKUP(B46,'75- Deferred Amortization'!A:G,3,FALSE)</f>
        <v>-1907146</v>
      </c>
      <c r="R46" s="7">
        <f>VLOOKUP(B46,'75- Deferred Amortization'!A:G,4,FALSE)</f>
        <v>-1907146</v>
      </c>
      <c r="S46" s="7">
        <f>VLOOKUP(B46,'75- Deferred Amortization'!A:G,5,FALSE)</f>
        <v>-1905654</v>
      </c>
      <c r="T46" s="7">
        <f>VLOOKUP(B46,'75- Deferred Amortization'!A:G,6,FALSE)</f>
        <v>-396180</v>
      </c>
      <c r="U46" s="7">
        <f>VLOOKUP(B46,'75- Deferred Amortization'!A:G,7,FALSE)</f>
        <v>118536</v>
      </c>
      <c r="V46" s="7">
        <f t="shared" si="11"/>
        <v>1</v>
      </c>
      <c r="W46" s="7">
        <f t="shared" si="15"/>
        <v>1</v>
      </c>
      <c r="X46">
        <v>2</v>
      </c>
      <c r="AC46" s="10">
        <v>14010077</v>
      </c>
      <c r="AD46" s="10">
        <v>0</v>
      </c>
      <c r="AE46" s="10">
        <v>1507</v>
      </c>
      <c r="AF46" s="10">
        <v>0</v>
      </c>
      <c r="AG46" s="7">
        <v>0</v>
      </c>
      <c r="AH46" s="7">
        <v>958071</v>
      </c>
      <c r="AI46" s="7">
        <v>0</v>
      </c>
      <c r="AJ46" s="7">
        <v>6069489</v>
      </c>
      <c r="AK46" s="7">
        <v>1632457</v>
      </c>
      <c r="AM46" s="7">
        <f t="shared" si="12"/>
        <v>0</v>
      </c>
      <c r="AN46" s="7">
        <f t="shared" si="13"/>
        <v>-317896</v>
      </c>
      <c r="AO46" s="10">
        <f t="shared" si="4"/>
        <v>0</v>
      </c>
      <c r="AP46" s="7">
        <f t="shared" si="5"/>
        <v>-177180</v>
      </c>
      <c r="AQ46" s="10">
        <f t="shared" si="6"/>
        <v>744523</v>
      </c>
      <c r="AR46" s="7">
        <f t="shared" si="7"/>
        <v>-1412514</v>
      </c>
      <c r="AS46" s="10">
        <f t="shared" si="8"/>
        <v>1479930</v>
      </c>
      <c r="AT46" s="10">
        <f t="shared" si="9"/>
        <v>8808</v>
      </c>
      <c r="AU46" s="7">
        <f t="shared" si="10"/>
        <v>0</v>
      </c>
    </row>
    <row r="47" spans="1:47" x14ac:dyDescent="0.25">
      <c r="A47" t="s">
        <v>103</v>
      </c>
      <c r="B47">
        <v>38105</v>
      </c>
      <c r="C47" s="7">
        <f>VLOOKUP(B47,'ER Contributions'!A:D,4,FALSE)</f>
        <v>617883</v>
      </c>
      <c r="D47" s="8">
        <f>VLOOKUP(B47,'ER Contributions'!A:D,3,FALSE)</f>
        <v>5.2579999999999999E-4</v>
      </c>
      <c r="E47" s="10">
        <f>VLOOKUP(B47,'75 - Summary Exhibit'!A:N,3,FALSE)</f>
        <v>16636843</v>
      </c>
      <c r="F47" s="10">
        <f>VLOOKUP(B47,'75 - Summary Exhibit'!A:N,4,FALSE)</f>
        <v>0</v>
      </c>
      <c r="G47" s="10">
        <f>VLOOKUP(B47,'75 - Summary Exhibit'!A:N,5,FALSE)</f>
        <v>11079</v>
      </c>
      <c r="H47" s="10">
        <f>VLOOKUP(B47,'75 - Summary Exhibit'!A:N,6,FALSE)</f>
        <v>799645</v>
      </c>
      <c r="I47" s="7">
        <f>VLOOKUP(B47,'75 - Summary Exhibit'!A:N,7,FALSE)</f>
        <v>0</v>
      </c>
      <c r="J47" s="7">
        <f>VLOOKUP(B47,'75 - Summary Exhibit'!A:N,8,FALSE)</f>
        <v>838706</v>
      </c>
      <c r="K47" s="7">
        <f>VLOOKUP(B47,'75 - Summary Exhibit'!A:N,9,FALSE)</f>
        <v>0</v>
      </c>
      <c r="L47" s="7">
        <f>VLOOKUP(B47,'75 - Summary Exhibit'!A:N,10,FALSE)</f>
        <v>5001764</v>
      </c>
      <c r="M47" s="7">
        <f>VLOOKUP(B47,'75 - Summary Exhibit'!A:N,11,FALSE)</f>
        <v>1856273</v>
      </c>
      <c r="N47" s="7">
        <f>VLOOKUP(B47,'75 - Summary Exhibit'!A:N,12,FALSE)</f>
        <v>-245585</v>
      </c>
      <c r="O47" s="7">
        <f>VLOOKUP(B47,'75 - Summary Exhibit'!A:N,13,FALSE)</f>
        <v>-515185</v>
      </c>
      <c r="P47" s="7">
        <f t="shared" si="14"/>
        <v>-760770</v>
      </c>
      <c r="Q47" s="7">
        <f>VLOOKUP(B47,'75- Deferred Amortization'!A:G,3,FALSE)</f>
        <v>-2108768</v>
      </c>
      <c r="R47" s="7">
        <f>VLOOKUP(B47,'75- Deferred Amortization'!A:G,4,FALSE)</f>
        <v>-2108768</v>
      </c>
      <c r="S47" s="7">
        <f>VLOOKUP(B47,'75- Deferred Amortization'!A:G,5,FALSE)</f>
        <v>-2107166</v>
      </c>
      <c r="T47" s="7">
        <f>VLOOKUP(B47,'75- Deferred Amortization'!A:G,6,FALSE)</f>
        <v>-575450</v>
      </c>
      <c r="U47" s="7">
        <f>VLOOKUP(B47,'75- Deferred Amortization'!A:G,7,FALSE)</f>
        <v>14132</v>
      </c>
      <c r="V47" s="7">
        <f t="shared" si="11"/>
        <v>1</v>
      </c>
      <c r="W47" s="7">
        <f t="shared" si="15"/>
        <v>1</v>
      </c>
      <c r="X47">
        <v>2</v>
      </c>
      <c r="AC47" s="10">
        <v>15532779</v>
      </c>
      <c r="AD47" s="10">
        <v>0</v>
      </c>
      <c r="AE47" s="10">
        <v>1670</v>
      </c>
      <c r="AF47" s="10">
        <v>0</v>
      </c>
      <c r="AG47" s="7">
        <v>0</v>
      </c>
      <c r="AH47" s="7">
        <v>1062200</v>
      </c>
      <c r="AI47" s="7">
        <v>0</v>
      </c>
      <c r="AJ47" s="7">
        <v>6729159</v>
      </c>
      <c r="AK47" s="7">
        <v>1579048</v>
      </c>
      <c r="AM47" s="7">
        <f t="shared" si="12"/>
        <v>0</v>
      </c>
      <c r="AN47" s="7">
        <f t="shared" si="13"/>
        <v>277225</v>
      </c>
      <c r="AO47" s="10">
        <f t="shared" si="4"/>
        <v>0</v>
      </c>
      <c r="AP47" s="7">
        <f t="shared" si="5"/>
        <v>-223494</v>
      </c>
      <c r="AQ47" s="10">
        <f t="shared" si="6"/>
        <v>799645</v>
      </c>
      <c r="AR47" s="7">
        <f t="shared" si="7"/>
        <v>-1727395</v>
      </c>
      <c r="AS47" s="10">
        <f t="shared" si="8"/>
        <v>1104064</v>
      </c>
      <c r="AT47" s="10">
        <f t="shared" si="9"/>
        <v>9409</v>
      </c>
      <c r="AU47" s="7">
        <f t="shared" si="10"/>
        <v>0</v>
      </c>
    </row>
    <row r="48" spans="1:47" x14ac:dyDescent="0.25">
      <c r="A48" t="s">
        <v>70</v>
      </c>
      <c r="B48">
        <v>33105</v>
      </c>
      <c r="C48" s="7">
        <f>VLOOKUP(B48,'ER Contributions'!A:D,4,FALSE)</f>
        <v>365218</v>
      </c>
      <c r="D48" s="8">
        <f>VLOOKUP(B48,'ER Contributions'!A:D,3,FALSE)</f>
        <v>3.1780000000000003E-4</v>
      </c>
      <c r="E48" s="10">
        <f>VLOOKUP(B48,'75 - Summary Exhibit'!A:N,3,FALSE)</f>
        <v>10054594</v>
      </c>
      <c r="F48" s="10">
        <f>VLOOKUP(B48,'75 - Summary Exhibit'!A:N,4,FALSE)</f>
        <v>0</v>
      </c>
      <c r="G48" s="10">
        <f>VLOOKUP(B48,'75 - Summary Exhibit'!A:N,5,FALSE)</f>
        <v>6696</v>
      </c>
      <c r="H48" s="10">
        <f>VLOOKUP(B48,'75 - Summary Exhibit'!A:N,6,FALSE)</f>
        <v>483271</v>
      </c>
      <c r="I48" s="7">
        <f>VLOOKUP(B48,'75 - Summary Exhibit'!A:N,7,FALSE)</f>
        <v>0</v>
      </c>
      <c r="J48" s="7">
        <f>VLOOKUP(B48,'75 - Summary Exhibit'!A:N,8,FALSE)</f>
        <v>506878</v>
      </c>
      <c r="K48" s="7">
        <f>VLOOKUP(B48,'75 - Summary Exhibit'!A:N,9,FALSE)</f>
        <v>0</v>
      </c>
      <c r="L48" s="7">
        <f>VLOOKUP(B48,'75 - Summary Exhibit'!A:N,10,FALSE)</f>
        <v>3022852</v>
      </c>
      <c r="M48" s="7">
        <f>VLOOKUP(B48,'75 - Summary Exhibit'!A:N,11,FALSE)</f>
        <v>1163330</v>
      </c>
      <c r="N48" s="7">
        <f>VLOOKUP(B48,'75 - Summary Exhibit'!A:N,12,FALSE)</f>
        <v>-148421</v>
      </c>
      <c r="O48" s="7">
        <f>VLOOKUP(B48,'75 - Summary Exhibit'!A:N,13,FALSE)</f>
        <v>-273191</v>
      </c>
      <c r="P48" s="7">
        <f t="shared" si="14"/>
        <v>-421612</v>
      </c>
      <c r="Q48" s="7">
        <f>VLOOKUP(B48,'75- Deferred Amortization'!A:G,3,FALSE)</f>
        <v>-1236284</v>
      </c>
      <c r="R48" s="7">
        <f>VLOOKUP(B48,'75- Deferred Amortization'!A:G,4,FALSE)</f>
        <v>-1236284</v>
      </c>
      <c r="S48" s="7">
        <f>VLOOKUP(B48,'75- Deferred Amortization'!A:G,5,FALSE)</f>
        <v>-1235316</v>
      </c>
      <c r="T48" s="7">
        <f>VLOOKUP(B48,'75- Deferred Amortization'!A:G,6,FALSE)</f>
        <v>-415597</v>
      </c>
      <c r="U48" s="7">
        <f>VLOOKUP(B48,'75- Deferred Amortization'!A:G,7,FALSE)</f>
        <v>-79611</v>
      </c>
      <c r="V48" s="7">
        <f t="shared" si="11"/>
        <v>-1</v>
      </c>
      <c r="W48" s="7">
        <f t="shared" si="15"/>
        <v>-1</v>
      </c>
      <c r="X48">
        <v>2</v>
      </c>
      <c r="AC48" s="10">
        <v>9734136</v>
      </c>
      <c r="AD48" s="10">
        <v>0</v>
      </c>
      <c r="AE48" s="10">
        <v>1047</v>
      </c>
      <c r="AF48" s="10">
        <v>0</v>
      </c>
      <c r="AG48" s="7">
        <v>0</v>
      </c>
      <c r="AH48" s="7">
        <v>665663</v>
      </c>
      <c r="AI48" s="7">
        <v>0</v>
      </c>
      <c r="AJ48" s="7">
        <v>4217052</v>
      </c>
      <c r="AK48" s="7">
        <v>428712</v>
      </c>
      <c r="AM48" s="7">
        <f t="shared" si="12"/>
        <v>0</v>
      </c>
      <c r="AN48" s="7">
        <f t="shared" si="13"/>
        <v>734618</v>
      </c>
      <c r="AO48" s="10">
        <f t="shared" si="4"/>
        <v>0</v>
      </c>
      <c r="AP48" s="7">
        <f t="shared" si="5"/>
        <v>-158785</v>
      </c>
      <c r="AQ48" s="10">
        <f t="shared" si="6"/>
        <v>483271</v>
      </c>
      <c r="AR48" s="7">
        <f t="shared" si="7"/>
        <v>-1194200</v>
      </c>
      <c r="AS48" s="10">
        <f t="shared" si="8"/>
        <v>320458</v>
      </c>
      <c r="AT48" s="10">
        <f t="shared" si="9"/>
        <v>5649</v>
      </c>
      <c r="AU48" s="7">
        <f t="shared" si="10"/>
        <v>0</v>
      </c>
    </row>
    <row r="49" spans="1:47" x14ac:dyDescent="0.25">
      <c r="A49" t="s">
        <v>82</v>
      </c>
      <c r="B49">
        <v>35105</v>
      </c>
      <c r="C49" s="7">
        <f>VLOOKUP(B49,'ER Contributions'!A:D,4,FALSE)</f>
        <v>1118699</v>
      </c>
      <c r="D49" s="8">
        <f>VLOOKUP(B49,'ER Contributions'!A:D,3,FALSE)</f>
        <v>1.0097000000000001E-3</v>
      </c>
      <c r="E49" s="10">
        <f>VLOOKUP(B49,'75 - Summary Exhibit'!A:N,3,FALSE)</f>
        <v>31945089</v>
      </c>
      <c r="F49" s="10">
        <f>VLOOKUP(B49,'75 - Summary Exhibit'!A:N,4,FALSE)</f>
        <v>0</v>
      </c>
      <c r="G49" s="10">
        <f>VLOOKUP(B49,'75 - Summary Exhibit'!A:N,5,FALSE)</f>
        <v>21273</v>
      </c>
      <c r="H49" s="10">
        <f>VLOOKUP(B49,'75 - Summary Exhibit'!A:N,6,FALSE)</f>
        <v>1535431</v>
      </c>
      <c r="I49" s="7">
        <f>VLOOKUP(B49,'75 - Summary Exhibit'!A:N,7,FALSE)</f>
        <v>655708</v>
      </c>
      <c r="J49" s="7">
        <f>VLOOKUP(B49,'75 - Summary Exhibit'!A:N,8,FALSE)</f>
        <v>1610435</v>
      </c>
      <c r="K49" s="7">
        <f>VLOOKUP(B49,'75 - Summary Exhibit'!A:N,9,FALSE)</f>
        <v>0</v>
      </c>
      <c r="L49" s="7">
        <f>VLOOKUP(B49,'75 - Summary Exhibit'!A:N,10,FALSE)</f>
        <v>9604094</v>
      </c>
      <c r="M49" s="7">
        <f>VLOOKUP(B49,'75 - Summary Exhibit'!A:N,11,FALSE)</f>
        <v>1651390</v>
      </c>
      <c r="N49" s="7">
        <f>VLOOKUP(B49,'75 - Summary Exhibit'!A:N,12,FALSE)</f>
        <v>-471557</v>
      </c>
      <c r="O49" s="7">
        <f>VLOOKUP(B49,'75 - Summary Exhibit'!A:N,13,FALSE)</f>
        <v>-382974</v>
      </c>
      <c r="P49" s="7">
        <f t="shared" si="14"/>
        <v>-854531</v>
      </c>
      <c r="Q49" s="7">
        <f>VLOOKUP(B49,'75- Deferred Amortization'!A:G,3,FALSE)</f>
        <v>-3442881</v>
      </c>
      <c r="R49" s="7">
        <f>VLOOKUP(B49,'75- Deferred Amortization'!A:G,4,FALSE)</f>
        <v>-3442881</v>
      </c>
      <c r="S49" s="7">
        <f>VLOOKUP(B49,'75- Deferred Amortization'!A:G,5,FALSE)</f>
        <v>-3439806</v>
      </c>
      <c r="T49" s="7">
        <f>VLOOKUP(B49,'75- Deferred Amortization'!A:G,6,FALSE)</f>
        <v>-603318</v>
      </c>
      <c r="U49" s="7">
        <f>VLOOKUP(B49,'75- Deferred Amortization'!A:G,7,FALSE)</f>
        <v>275380</v>
      </c>
      <c r="V49" s="7">
        <f t="shared" si="11"/>
        <v>0</v>
      </c>
      <c r="W49" s="7">
        <f t="shared" si="15"/>
        <v>-1</v>
      </c>
      <c r="X49">
        <v>2</v>
      </c>
      <c r="AC49" s="10">
        <v>28788040</v>
      </c>
      <c r="AD49" s="10">
        <v>0</v>
      </c>
      <c r="AE49" s="10">
        <v>3096</v>
      </c>
      <c r="AF49" s="10">
        <v>0</v>
      </c>
      <c r="AG49" s="7">
        <v>819635</v>
      </c>
      <c r="AH49" s="7">
        <v>1968653</v>
      </c>
      <c r="AI49" s="7">
        <v>0</v>
      </c>
      <c r="AJ49" s="7">
        <v>12471644</v>
      </c>
      <c r="AK49" s="7">
        <v>2166220</v>
      </c>
      <c r="AM49" s="7">
        <f t="shared" si="12"/>
        <v>-163927</v>
      </c>
      <c r="AN49" s="7">
        <f t="shared" si="13"/>
        <v>-514830</v>
      </c>
      <c r="AO49" s="10">
        <f t="shared" si="4"/>
        <v>0</v>
      </c>
      <c r="AP49" s="7">
        <f t="shared" si="5"/>
        <v>-358218</v>
      </c>
      <c r="AQ49" s="10">
        <f t="shared" si="6"/>
        <v>1535431</v>
      </c>
      <c r="AR49" s="7">
        <f t="shared" si="7"/>
        <v>-2867550</v>
      </c>
      <c r="AS49" s="10">
        <f t="shared" si="8"/>
        <v>3157049</v>
      </c>
      <c r="AT49" s="10">
        <f t="shared" si="9"/>
        <v>18177</v>
      </c>
      <c r="AU49" s="7">
        <f t="shared" si="10"/>
        <v>0</v>
      </c>
    </row>
    <row r="50" spans="1:47" x14ac:dyDescent="0.25">
      <c r="A50" t="s">
        <v>84</v>
      </c>
      <c r="B50">
        <v>35405</v>
      </c>
      <c r="C50" s="7">
        <f>VLOOKUP(B50,'ER Contributions'!A:D,4,FALSE)</f>
        <v>911936</v>
      </c>
      <c r="D50" s="8">
        <f>VLOOKUP(B50,'ER Contributions'!A:D,3,FALSE)</f>
        <v>8.3290000000000002E-4</v>
      </c>
      <c r="E50" s="10">
        <f>VLOOKUP(B50,'75 - Summary Exhibit'!A:N,3,FALSE)</f>
        <v>26351851</v>
      </c>
      <c r="F50" s="10">
        <f>VLOOKUP(B50,'75 - Summary Exhibit'!A:N,4,FALSE)</f>
        <v>0</v>
      </c>
      <c r="G50" s="10">
        <f>VLOOKUP(B50,'75 - Summary Exhibit'!A:N,5,FALSE)</f>
        <v>17548</v>
      </c>
      <c r="H50" s="10">
        <f>VLOOKUP(B50,'75 - Summary Exhibit'!A:N,6,FALSE)</f>
        <v>1266594</v>
      </c>
      <c r="I50" s="7">
        <f>VLOOKUP(B50,'75 - Summary Exhibit'!A:N,7,FALSE)</f>
        <v>0</v>
      </c>
      <c r="J50" s="7">
        <f>VLOOKUP(B50,'75 - Summary Exhibit'!A:N,8,FALSE)</f>
        <v>1328465</v>
      </c>
      <c r="K50" s="7">
        <f>VLOOKUP(B50,'75 - Summary Exhibit'!A:N,9,FALSE)</f>
        <v>0</v>
      </c>
      <c r="L50" s="7">
        <f>VLOOKUP(B50,'75 - Summary Exhibit'!A:N,10,FALSE)</f>
        <v>7922521</v>
      </c>
      <c r="M50" s="7">
        <f>VLOOKUP(B50,'75 - Summary Exhibit'!A:N,11,FALSE)</f>
        <v>2662406</v>
      </c>
      <c r="N50" s="7">
        <f>VLOOKUP(B50,'75 - Summary Exhibit'!A:N,12,FALSE)</f>
        <v>-388992</v>
      </c>
      <c r="O50" s="7">
        <f>VLOOKUP(B50,'75 - Summary Exhibit'!A:N,13,FALSE)</f>
        <v>-689043</v>
      </c>
      <c r="P50" s="7">
        <f t="shared" si="14"/>
        <v>-1078035</v>
      </c>
      <c r="Q50" s="7">
        <f>VLOOKUP(B50,'75- Deferred Amortization'!A:G,3,FALSE)</f>
        <v>-3213195</v>
      </c>
      <c r="R50" s="7">
        <f>VLOOKUP(B50,'75- Deferred Amortization'!A:G,4,FALSE)</f>
        <v>-3213195</v>
      </c>
      <c r="S50" s="7">
        <f>VLOOKUP(B50,'75- Deferred Amortization'!A:G,5,FALSE)</f>
        <v>-3210657</v>
      </c>
      <c r="T50" s="7">
        <f>VLOOKUP(B50,'75- Deferred Amortization'!A:G,6,FALSE)</f>
        <v>-947383</v>
      </c>
      <c r="U50" s="7">
        <f>VLOOKUP(B50,'75- Deferred Amortization'!A:G,7,FALSE)</f>
        <v>-44821</v>
      </c>
      <c r="V50" s="7">
        <f t="shared" si="11"/>
        <v>0</v>
      </c>
      <c r="W50" s="7">
        <f t="shared" si="15"/>
        <v>1</v>
      </c>
      <c r="X50">
        <v>2</v>
      </c>
      <c r="AC50" s="10">
        <v>24827165</v>
      </c>
      <c r="AD50" s="10">
        <v>0</v>
      </c>
      <c r="AE50" s="10">
        <v>2670</v>
      </c>
      <c r="AF50" s="10">
        <v>0</v>
      </c>
      <c r="AG50" s="7">
        <v>0</v>
      </c>
      <c r="AH50" s="7">
        <v>1697791</v>
      </c>
      <c r="AI50" s="7">
        <v>0</v>
      </c>
      <c r="AJ50" s="7">
        <v>10755701</v>
      </c>
      <c r="AK50" s="7">
        <v>1693085</v>
      </c>
      <c r="AM50" s="7">
        <f t="shared" si="12"/>
        <v>0</v>
      </c>
      <c r="AN50" s="7">
        <f t="shared" si="13"/>
        <v>969321</v>
      </c>
      <c r="AO50" s="10">
        <f t="shared" si="4"/>
        <v>0</v>
      </c>
      <c r="AP50" s="7">
        <f t="shared" si="5"/>
        <v>-369326</v>
      </c>
      <c r="AQ50" s="10">
        <f t="shared" si="6"/>
        <v>1266594</v>
      </c>
      <c r="AR50" s="7">
        <f t="shared" si="7"/>
        <v>-2833180</v>
      </c>
      <c r="AS50" s="10">
        <f t="shared" si="8"/>
        <v>1524686</v>
      </c>
      <c r="AT50" s="10">
        <f t="shared" si="9"/>
        <v>14878</v>
      </c>
      <c r="AU50" s="7">
        <f t="shared" si="10"/>
        <v>0</v>
      </c>
    </row>
    <row r="51" spans="1:47" x14ac:dyDescent="0.25">
      <c r="A51" t="s">
        <v>85</v>
      </c>
      <c r="B51">
        <v>35805</v>
      </c>
      <c r="C51" s="7">
        <f>VLOOKUP(B51,'ER Contributions'!A:D,4,FALSE)</f>
        <v>289557</v>
      </c>
      <c r="D51" s="8">
        <f>VLOOKUP(B51,'ER Contributions'!A:D,3,FALSE)</f>
        <v>2.229E-4</v>
      </c>
      <c r="E51" s="10">
        <f>VLOOKUP(B51,'75 - Summary Exhibit'!A:N,3,FALSE)</f>
        <v>7051520</v>
      </c>
      <c r="F51" s="10">
        <f>VLOOKUP(B51,'75 - Summary Exhibit'!A:N,4,FALSE)</f>
        <v>0</v>
      </c>
      <c r="G51" s="10">
        <f>VLOOKUP(B51,'75 - Summary Exhibit'!A:N,5,FALSE)</f>
        <v>4696</v>
      </c>
      <c r="H51" s="10">
        <f>VLOOKUP(B51,'75 - Summary Exhibit'!A:N,6,FALSE)</f>
        <v>338929</v>
      </c>
      <c r="I51" s="7">
        <f>VLOOKUP(B51,'75 - Summary Exhibit'!A:N,7,FALSE)</f>
        <v>1213491</v>
      </c>
      <c r="J51" s="7">
        <f>VLOOKUP(B51,'75 - Summary Exhibit'!A:N,8,FALSE)</f>
        <v>355485</v>
      </c>
      <c r="K51" s="7">
        <f>VLOOKUP(B51,'75 - Summary Exhibit'!A:N,9,FALSE)</f>
        <v>0</v>
      </c>
      <c r="L51" s="7">
        <f>VLOOKUP(B51,'75 - Summary Exhibit'!A:N,10,FALSE)</f>
        <v>2119996</v>
      </c>
      <c r="M51" s="7">
        <f>VLOOKUP(B51,'75 - Summary Exhibit'!A:N,11,FALSE)</f>
        <v>0</v>
      </c>
      <c r="N51" s="7">
        <f>VLOOKUP(B51,'75 - Summary Exhibit'!A:N,12,FALSE)</f>
        <v>-104091</v>
      </c>
      <c r="O51" s="7">
        <f>VLOOKUP(B51,'75 - Summary Exhibit'!A:N,13,FALSE)</f>
        <v>293773</v>
      </c>
      <c r="P51" s="7">
        <f t="shared" si="14"/>
        <v>189682</v>
      </c>
      <c r="Q51" s="7">
        <f>VLOOKUP(B51,'75- Deferred Amortization'!A:G,3,FALSE)</f>
        <v>-381671</v>
      </c>
      <c r="R51" s="7">
        <f>VLOOKUP(B51,'75- Deferred Amortization'!A:G,4,FALSE)</f>
        <v>-381671</v>
      </c>
      <c r="S51" s="7">
        <f>VLOOKUP(B51,'75- Deferred Amortization'!A:G,5,FALSE)</f>
        <v>-380992</v>
      </c>
      <c r="T51" s="7">
        <f>VLOOKUP(B51,'75- Deferred Amortization'!A:G,6,FALSE)</f>
        <v>77294</v>
      </c>
      <c r="U51" s="7">
        <f>VLOOKUP(B51,'75- Deferred Amortization'!A:G,7,FALSE)</f>
        <v>148676</v>
      </c>
      <c r="V51" s="7">
        <f t="shared" si="11"/>
        <v>-1</v>
      </c>
      <c r="W51" s="7">
        <f t="shared" si="15"/>
        <v>-1</v>
      </c>
      <c r="X51">
        <v>2</v>
      </c>
      <c r="AC51" s="10">
        <v>6031812</v>
      </c>
      <c r="AD51" s="10">
        <v>0</v>
      </c>
      <c r="AE51" s="10">
        <v>649</v>
      </c>
      <c r="AF51" s="10">
        <v>0</v>
      </c>
      <c r="AG51" s="7">
        <v>987006</v>
      </c>
      <c r="AH51" s="7">
        <v>412482</v>
      </c>
      <c r="AI51" s="7">
        <v>0</v>
      </c>
      <c r="AJ51" s="7">
        <v>2613120</v>
      </c>
      <c r="AK51" s="7">
        <v>0</v>
      </c>
      <c r="AM51" s="7">
        <f t="shared" si="12"/>
        <v>226485</v>
      </c>
      <c r="AN51" s="7">
        <f t="shared" si="13"/>
        <v>0</v>
      </c>
      <c r="AO51" s="10">
        <f t="shared" si="4"/>
        <v>0</v>
      </c>
      <c r="AP51" s="7">
        <f t="shared" si="5"/>
        <v>-56997</v>
      </c>
      <c r="AQ51" s="10">
        <f t="shared" si="6"/>
        <v>338929</v>
      </c>
      <c r="AR51" s="7">
        <f t="shared" si="7"/>
        <v>-493124</v>
      </c>
      <c r="AS51" s="10">
        <f t="shared" si="8"/>
        <v>1019708</v>
      </c>
      <c r="AT51" s="10">
        <f t="shared" si="9"/>
        <v>4047</v>
      </c>
      <c r="AU51" s="7">
        <f t="shared" si="10"/>
        <v>0</v>
      </c>
    </row>
    <row r="52" spans="1:47" x14ac:dyDescent="0.25">
      <c r="A52" t="s">
        <v>88</v>
      </c>
      <c r="B52">
        <v>36105</v>
      </c>
      <c r="C52" s="7">
        <f>VLOOKUP(B52,'ER Contributions'!A:D,4,FALSE)</f>
        <v>380647</v>
      </c>
      <c r="D52" s="8">
        <f>VLOOKUP(B52,'ER Contributions'!A:D,3,FALSE)</f>
        <v>3.1E-4</v>
      </c>
      <c r="E52" s="10">
        <f>VLOOKUP(B52,'75 - Summary Exhibit'!A:N,3,FALSE)</f>
        <v>9809785</v>
      </c>
      <c r="F52" s="10">
        <f>VLOOKUP(B52,'75 - Summary Exhibit'!A:N,4,FALSE)</f>
        <v>0</v>
      </c>
      <c r="G52" s="10">
        <f>VLOOKUP(B52,'75 - Summary Exhibit'!A:N,5,FALSE)</f>
        <v>6533</v>
      </c>
      <c r="H52" s="10">
        <f>VLOOKUP(B52,'75 - Summary Exhibit'!A:N,6,FALSE)</f>
        <v>471504</v>
      </c>
      <c r="I52" s="7">
        <f>VLOOKUP(B52,'75 - Summary Exhibit'!A:N,7,FALSE)</f>
        <v>122408</v>
      </c>
      <c r="J52" s="7">
        <f>VLOOKUP(B52,'75 - Summary Exhibit'!A:N,8,FALSE)</f>
        <v>494537</v>
      </c>
      <c r="K52" s="7">
        <f>VLOOKUP(B52,'75 - Summary Exhibit'!A:N,9,FALSE)</f>
        <v>0</v>
      </c>
      <c r="L52" s="7">
        <f>VLOOKUP(B52,'75 - Summary Exhibit'!A:N,10,FALSE)</f>
        <v>2949251</v>
      </c>
      <c r="M52" s="7">
        <f>VLOOKUP(B52,'75 - Summary Exhibit'!A:N,11,FALSE)</f>
        <v>1260191</v>
      </c>
      <c r="N52" s="7">
        <f>VLOOKUP(B52,'75 - Summary Exhibit'!A:N,12,FALSE)</f>
        <v>-144807</v>
      </c>
      <c r="O52" s="7">
        <f>VLOOKUP(B52,'75 - Summary Exhibit'!A:N,13,FALSE)</f>
        <v>-228316</v>
      </c>
      <c r="P52" s="7">
        <f t="shared" si="14"/>
        <v>-373123</v>
      </c>
      <c r="Q52" s="7">
        <f>VLOOKUP(B52,'75- Deferred Amortization'!A:G,3,FALSE)</f>
        <v>-1167964</v>
      </c>
      <c r="R52" s="7">
        <f>VLOOKUP(B52,'75- Deferred Amortization'!A:G,4,FALSE)</f>
        <v>-1167964</v>
      </c>
      <c r="S52" s="7">
        <f>VLOOKUP(B52,'75- Deferred Amortization'!A:G,5,FALSE)</f>
        <v>-1167020</v>
      </c>
      <c r="T52" s="7">
        <f>VLOOKUP(B52,'75- Deferred Amortization'!A:G,6,FALSE)</f>
        <v>-445078</v>
      </c>
      <c r="U52" s="7">
        <f>VLOOKUP(B52,'75- Deferred Amortization'!A:G,7,FALSE)</f>
        <v>-155508</v>
      </c>
      <c r="V52" s="7">
        <f t="shared" si="11"/>
        <v>0</v>
      </c>
      <c r="W52" s="7">
        <f t="shared" si="15"/>
        <v>0</v>
      </c>
      <c r="X52">
        <v>2</v>
      </c>
      <c r="AC52" s="10">
        <v>9824357</v>
      </c>
      <c r="AD52" s="10">
        <v>0</v>
      </c>
      <c r="AE52" s="10">
        <v>1057</v>
      </c>
      <c r="AF52" s="10">
        <v>0</v>
      </c>
      <c r="AG52" s="7">
        <v>153010</v>
      </c>
      <c r="AH52" s="7">
        <v>671833</v>
      </c>
      <c r="AI52" s="7">
        <v>0</v>
      </c>
      <c r="AJ52" s="7">
        <v>4256138</v>
      </c>
      <c r="AK52" s="7">
        <v>68828</v>
      </c>
      <c r="AM52" s="7">
        <f t="shared" si="12"/>
        <v>-30602</v>
      </c>
      <c r="AN52" s="7">
        <f t="shared" si="13"/>
        <v>1191363</v>
      </c>
      <c r="AO52" s="10">
        <f t="shared" si="4"/>
        <v>0</v>
      </c>
      <c r="AP52" s="7">
        <f t="shared" si="5"/>
        <v>-177296</v>
      </c>
      <c r="AQ52" s="10">
        <f t="shared" si="6"/>
        <v>471504</v>
      </c>
      <c r="AR52" s="7">
        <f t="shared" si="7"/>
        <v>-1306887</v>
      </c>
      <c r="AS52" s="10">
        <f t="shared" si="8"/>
        <v>-14572</v>
      </c>
      <c r="AT52" s="10">
        <f t="shared" si="9"/>
        <v>5476</v>
      </c>
      <c r="AU52" s="7">
        <f t="shared" si="10"/>
        <v>0</v>
      </c>
    </row>
    <row r="53" spans="1:47" x14ac:dyDescent="0.25">
      <c r="A53" t="s">
        <v>86</v>
      </c>
      <c r="B53">
        <v>35905</v>
      </c>
      <c r="C53" s="7">
        <f>VLOOKUP(B53,'ER Contributions'!A:D,4,FALSE)</f>
        <v>340384</v>
      </c>
      <c r="D53" s="8">
        <f>VLOOKUP(B53,'ER Contributions'!A:D,3,FALSE)</f>
        <v>2.4489999999999999E-4</v>
      </c>
      <c r="E53" s="10">
        <f>VLOOKUP(B53,'75 - Summary Exhibit'!A:N,3,FALSE)</f>
        <v>7749587</v>
      </c>
      <c r="F53" s="10">
        <f>VLOOKUP(B53,'75 - Summary Exhibit'!A:N,4,FALSE)</f>
        <v>0</v>
      </c>
      <c r="G53" s="10">
        <f>VLOOKUP(B53,'75 - Summary Exhibit'!A:N,5,FALSE)</f>
        <v>5161</v>
      </c>
      <c r="H53" s="10">
        <f>VLOOKUP(B53,'75 - Summary Exhibit'!A:N,6,FALSE)</f>
        <v>372482</v>
      </c>
      <c r="I53" s="7">
        <f>VLOOKUP(B53,'75 - Summary Exhibit'!A:N,7,FALSE)</f>
        <v>0</v>
      </c>
      <c r="J53" s="7">
        <f>VLOOKUP(B53,'75 - Summary Exhibit'!A:N,8,FALSE)</f>
        <v>390677</v>
      </c>
      <c r="K53" s="7">
        <f>VLOOKUP(B53,'75 - Summary Exhibit'!A:N,9,FALSE)</f>
        <v>0</v>
      </c>
      <c r="L53" s="7">
        <f>VLOOKUP(B53,'75 - Summary Exhibit'!A:N,10,FALSE)</f>
        <v>2329865</v>
      </c>
      <c r="M53" s="7">
        <f>VLOOKUP(B53,'75 - Summary Exhibit'!A:N,11,FALSE)</f>
        <v>1398717</v>
      </c>
      <c r="N53" s="7">
        <f>VLOOKUP(B53,'75 - Summary Exhibit'!A:N,12,FALSE)</f>
        <v>-114395</v>
      </c>
      <c r="O53" s="7">
        <f>VLOOKUP(B53,'75 - Summary Exhibit'!A:N,13,FALSE)</f>
        <v>-311231</v>
      </c>
      <c r="P53" s="7">
        <f t="shared" si="14"/>
        <v>-425626</v>
      </c>
      <c r="Q53" s="7">
        <f>VLOOKUP(B53,'75- Deferred Amortization'!A:G,3,FALSE)</f>
        <v>-1053533</v>
      </c>
      <c r="R53" s="7">
        <f>VLOOKUP(B53,'75- Deferred Amortization'!A:G,4,FALSE)</f>
        <v>-1053533</v>
      </c>
      <c r="S53" s="7">
        <f>VLOOKUP(B53,'75- Deferred Amortization'!A:G,5,FALSE)</f>
        <v>-1052787</v>
      </c>
      <c r="T53" s="7">
        <f>VLOOKUP(B53,'75- Deferred Amortization'!A:G,6,FALSE)</f>
        <v>-493392</v>
      </c>
      <c r="U53" s="7">
        <f>VLOOKUP(B53,'75- Deferred Amortization'!A:G,7,FALSE)</f>
        <v>-88373</v>
      </c>
      <c r="V53" s="7">
        <f t="shared" si="11"/>
        <v>0</v>
      </c>
      <c r="W53" s="7">
        <f t="shared" si="15"/>
        <v>2</v>
      </c>
      <c r="X53">
        <v>2</v>
      </c>
      <c r="AC53" s="10">
        <v>7649760</v>
      </c>
      <c r="AD53" s="10">
        <v>0</v>
      </c>
      <c r="AE53" s="10">
        <v>823</v>
      </c>
      <c r="AF53" s="10">
        <v>0</v>
      </c>
      <c r="AG53" s="7">
        <v>0</v>
      </c>
      <c r="AH53" s="7">
        <v>523124</v>
      </c>
      <c r="AI53" s="7">
        <v>0</v>
      </c>
      <c r="AJ53" s="7">
        <v>3314052</v>
      </c>
      <c r="AK53" s="7">
        <v>771100</v>
      </c>
      <c r="AM53" s="7">
        <f t="shared" si="12"/>
        <v>0</v>
      </c>
      <c r="AN53" s="7">
        <f t="shared" si="13"/>
        <v>627617</v>
      </c>
      <c r="AO53" s="10">
        <f t="shared" si="4"/>
        <v>0</v>
      </c>
      <c r="AP53" s="7">
        <f t="shared" si="5"/>
        <v>-132447</v>
      </c>
      <c r="AQ53" s="10">
        <f t="shared" si="6"/>
        <v>372482</v>
      </c>
      <c r="AR53" s="7">
        <f t="shared" si="7"/>
        <v>-984187</v>
      </c>
      <c r="AS53" s="10">
        <f t="shared" si="8"/>
        <v>99827</v>
      </c>
      <c r="AT53" s="10">
        <f t="shared" si="9"/>
        <v>4338</v>
      </c>
      <c r="AU53" s="7">
        <f t="shared" si="10"/>
        <v>0</v>
      </c>
    </row>
    <row r="54" spans="1:47" x14ac:dyDescent="0.25">
      <c r="A54" t="s">
        <v>80</v>
      </c>
      <c r="B54">
        <v>34905</v>
      </c>
      <c r="C54" s="7">
        <f>VLOOKUP(B54,'ER Contributions'!A:D,4,FALSE)</f>
        <v>682547</v>
      </c>
      <c r="D54" s="8">
        <f>VLOOKUP(B54,'ER Contributions'!A:D,3,FALSE)</f>
        <v>5.8960000000000002E-4</v>
      </c>
      <c r="E54" s="10">
        <f>VLOOKUP(B54,'75 - Summary Exhibit'!A:N,3,FALSE)</f>
        <v>18653464</v>
      </c>
      <c r="F54" s="10">
        <f>VLOOKUP(B54,'75 - Summary Exhibit'!A:N,4,FALSE)</f>
        <v>0</v>
      </c>
      <c r="G54" s="10">
        <f>VLOOKUP(B54,'75 - Summary Exhibit'!A:N,5,FALSE)</f>
        <v>12422</v>
      </c>
      <c r="H54" s="10">
        <f>VLOOKUP(B54,'75 - Summary Exhibit'!A:N,6,FALSE)</f>
        <v>896573</v>
      </c>
      <c r="I54" s="7">
        <f>VLOOKUP(B54,'75 - Summary Exhibit'!A:N,7,FALSE)</f>
        <v>125584</v>
      </c>
      <c r="J54" s="7">
        <f>VLOOKUP(B54,'75 - Summary Exhibit'!A:N,8,FALSE)</f>
        <v>940370</v>
      </c>
      <c r="K54" s="7">
        <f>VLOOKUP(B54,'75 - Summary Exhibit'!A:N,9,FALSE)</f>
        <v>0</v>
      </c>
      <c r="L54" s="7">
        <f>VLOOKUP(B54,'75 - Summary Exhibit'!A:N,10,FALSE)</f>
        <v>5608049</v>
      </c>
      <c r="M54" s="7">
        <f>VLOOKUP(B54,'75 - Summary Exhibit'!A:N,11,FALSE)</f>
        <v>1382377</v>
      </c>
      <c r="N54" s="7">
        <f>VLOOKUP(B54,'75 - Summary Exhibit'!A:N,12,FALSE)</f>
        <v>-275353</v>
      </c>
      <c r="O54" s="7">
        <f>VLOOKUP(B54,'75 - Summary Exhibit'!A:N,13,FALSE)</f>
        <v>-397880</v>
      </c>
      <c r="P54" s="7">
        <f t="shared" si="14"/>
        <v>-673233</v>
      </c>
      <c r="Q54" s="7">
        <f>VLOOKUP(B54,'75- Deferred Amortization'!A:G,3,FALSE)</f>
        <v>-2184631</v>
      </c>
      <c r="R54" s="7">
        <f>VLOOKUP(B54,'75- Deferred Amortization'!A:G,4,FALSE)</f>
        <v>-2184631</v>
      </c>
      <c r="S54" s="7">
        <f>VLOOKUP(B54,'75- Deferred Amortization'!A:G,5,FALSE)</f>
        <v>-2182835</v>
      </c>
      <c r="T54" s="7">
        <f>VLOOKUP(B54,'75- Deferred Amortization'!A:G,6,FALSE)</f>
        <v>-460768</v>
      </c>
      <c r="U54" s="7">
        <f>VLOOKUP(B54,'75- Deferred Amortization'!A:G,7,FALSE)</f>
        <v>116649</v>
      </c>
      <c r="V54" s="7">
        <f t="shared" si="11"/>
        <v>0</v>
      </c>
      <c r="W54" s="7">
        <f t="shared" si="15"/>
        <v>-1</v>
      </c>
      <c r="X54">
        <v>2</v>
      </c>
      <c r="AC54" s="10">
        <v>17005945</v>
      </c>
      <c r="AD54" s="10">
        <v>0</v>
      </c>
      <c r="AE54" s="10">
        <v>1829</v>
      </c>
      <c r="AF54" s="10">
        <v>0</v>
      </c>
      <c r="AG54" s="7">
        <v>156980</v>
      </c>
      <c r="AH54" s="7">
        <v>1162941</v>
      </c>
      <c r="AI54" s="7">
        <v>0</v>
      </c>
      <c r="AJ54" s="7">
        <v>7367368</v>
      </c>
      <c r="AK54" s="7">
        <v>1528016</v>
      </c>
      <c r="AM54" s="7">
        <f t="shared" si="12"/>
        <v>-31396</v>
      </c>
      <c r="AN54" s="7">
        <f t="shared" si="13"/>
        <v>-145639</v>
      </c>
      <c r="AO54" s="10">
        <f t="shared" si="4"/>
        <v>0</v>
      </c>
      <c r="AP54" s="7">
        <f t="shared" si="5"/>
        <v>-222571</v>
      </c>
      <c r="AQ54" s="10">
        <f t="shared" si="6"/>
        <v>896573</v>
      </c>
      <c r="AR54" s="7">
        <f t="shared" si="7"/>
        <v>-1759319</v>
      </c>
      <c r="AS54" s="10">
        <f t="shared" si="8"/>
        <v>1647519</v>
      </c>
      <c r="AT54" s="10">
        <f t="shared" si="9"/>
        <v>10593</v>
      </c>
      <c r="AU54" s="7">
        <f t="shared" si="10"/>
        <v>0</v>
      </c>
    </row>
    <row r="55" spans="1:47" x14ac:dyDescent="0.25">
      <c r="A55" t="s">
        <v>89</v>
      </c>
      <c r="B55">
        <v>36205</v>
      </c>
      <c r="C55" s="7">
        <f>VLOOKUP(B55,'ER Contributions'!A:D,4,FALSE)</f>
        <v>274708</v>
      </c>
      <c r="D55" s="8">
        <f>VLOOKUP(B55,'ER Contributions'!A:D,3,FALSE)</f>
        <v>2.5579999999999998E-4</v>
      </c>
      <c r="E55" s="10">
        <f>VLOOKUP(B55,'75 - Summary Exhibit'!A:N,3,FALSE)</f>
        <v>8093303</v>
      </c>
      <c r="F55" s="10">
        <f>VLOOKUP(B55,'75 - Summary Exhibit'!A:N,4,FALSE)</f>
        <v>0</v>
      </c>
      <c r="G55" s="10">
        <f>VLOOKUP(B55,'75 - Summary Exhibit'!A:N,5,FALSE)</f>
        <v>5389</v>
      </c>
      <c r="H55" s="10">
        <f>VLOOKUP(B55,'75 - Summary Exhibit'!A:N,6,FALSE)</f>
        <v>389002</v>
      </c>
      <c r="I55" s="7">
        <f>VLOOKUP(B55,'75 - Summary Exhibit'!A:N,7,FALSE)</f>
        <v>828201</v>
      </c>
      <c r="J55" s="7">
        <f>VLOOKUP(B55,'75 - Summary Exhibit'!A:N,8,FALSE)</f>
        <v>408004</v>
      </c>
      <c r="K55" s="7">
        <f>VLOOKUP(B55,'75 - Summary Exhibit'!A:N,9,FALSE)</f>
        <v>0</v>
      </c>
      <c r="L55" s="7">
        <f>VLOOKUP(B55,'75 - Summary Exhibit'!A:N,10,FALSE)</f>
        <v>2433202</v>
      </c>
      <c r="M55" s="7">
        <f>VLOOKUP(B55,'75 - Summary Exhibit'!A:N,11,FALSE)</f>
        <v>314346</v>
      </c>
      <c r="N55" s="7">
        <f>VLOOKUP(B55,'75 - Summary Exhibit'!A:N,12,FALSE)</f>
        <v>-119469</v>
      </c>
      <c r="O55" s="7">
        <f>VLOOKUP(B55,'75 - Summary Exhibit'!A:N,13,FALSE)</f>
        <v>90430</v>
      </c>
      <c r="P55" s="7">
        <f t="shared" si="14"/>
        <v>-29039</v>
      </c>
      <c r="Q55" s="7">
        <f>VLOOKUP(B55,'75- Deferred Amortization'!A:G,3,FALSE)</f>
        <v>-684800</v>
      </c>
      <c r="R55" s="7">
        <f>VLOOKUP(B55,'75- Deferred Amortization'!A:G,4,FALSE)</f>
        <v>-684800</v>
      </c>
      <c r="S55" s="7">
        <f>VLOOKUP(B55,'75- Deferred Amortization'!A:G,5,FALSE)</f>
        <v>-684021</v>
      </c>
      <c r="T55" s="7">
        <f>VLOOKUP(B55,'75- Deferred Amortization'!A:G,6,FALSE)</f>
        <v>2183</v>
      </c>
      <c r="U55" s="7">
        <f>VLOOKUP(B55,'75- Deferred Amortization'!A:G,7,FALSE)</f>
        <v>118479</v>
      </c>
      <c r="V55" s="7">
        <f t="shared" si="11"/>
        <v>0</v>
      </c>
      <c r="W55" s="7">
        <f t="shared" si="15"/>
        <v>-1</v>
      </c>
      <c r="X55">
        <v>2</v>
      </c>
      <c r="AC55" s="10">
        <v>7093009</v>
      </c>
      <c r="AD55" s="10">
        <v>0</v>
      </c>
      <c r="AE55" s="10">
        <v>763</v>
      </c>
      <c r="AF55" s="10">
        <v>0</v>
      </c>
      <c r="AG55" s="7">
        <v>739270</v>
      </c>
      <c r="AH55" s="7">
        <v>485051</v>
      </c>
      <c r="AI55" s="7">
        <v>0</v>
      </c>
      <c r="AJ55" s="7">
        <v>3072855</v>
      </c>
      <c r="AK55" s="7">
        <v>419128</v>
      </c>
      <c r="AM55" s="7">
        <f t="shared" si="12"/>
        <v>88931</v>
      </c>
      <c r="AN55" s="7">
        <f t="shared" si="13"/>
        <v>-104782</v>
      </c>
      <c r="AO55" s="10">
        <f t="shared" si="4"/>
        <v>0</v>
      </c>
      <c r="AP55" s="7">
        <f t="shared" si="5"/>
        <v>-77047</v>
      </c>
      <c r="AQ55" s="10">
        <f t="shared" si="6"/>
        <v>389002</v>
      </c>
      <c r="AR55" s="7">
        <f t="shared" si="7"/>
        <v>-639653</v>
      </c>
      <c r="AS55" s="10">
        <f t="shared" si="8"/>
        <v>1000294</v>
      </c>
      <c r="AT55" s="10">
        <f t="shared" si="9"/>
        <v>4626</v>
      </c>
      <c r="AU55" s="7">
        <f t="shared" si="10"/>
        <v>0</v>
      </c>
    </row>
    <row r="56" spans="1:47" x14ac:dyDescent="0.25">
      <c r="A56" t="s">
        <v>91</v>
      </c>
      <c r="B56">
        <v>36405</v>
      </c>
      <c r="C56" s="7">
        <f>VLOOKUP(B56,'ER Contributions'!A:D,4,FALSE)</f>
        <v>811885</v>
      </c>
      <c r="D56" s="8">
        <f>VLOOKUP(B56,'ER Contributions'!A:D,3,FALSE)</f>
        <v>7.5639999999999995E-4</v>
      </c>
      <c r="E56" s="10">
        <f>VLOOKUP(B56,'75 - Summary Exhibit'!A:N,3,FALSE)</f>
        <v>23931590</v>
      </c>
      <c r="F56" s="10">
        <f>VLOOKUP(B56,'75 - Summary Exhibit'!A:N,4,FALSE)</f>
        <v>0</v>
      </c>
      <c r="G56" s="10">
        <f>VLOOKUP(B56,'75 - Summary Exhibit'!A:N,5,FALSE)</f>
        <v>15937</v>
      </c>
      <c r="H56" s="10">
        <f>VLOOKUP(B56,'75 - Summary Exhibit'!A:N,6,FALSE)</f>
        <v>1150265</v>
      </c>
      <c r="I56" s="7">
        <f>VLOOKUP(B56,'75 - Summary Exhibit'!A:N,7,FALSE)</f>
        <v>641148</v>
      </c>
      <c r="J56" s="7">
        <f>VLOOKUP(B56,'75 - Summary Exhibit'!A:N,8,FALSE)</f>
        <v>1206454</v>
      </c>
      <c r="K56" s="7">
        <f>VLOOKUP(B56,'75 - Summary Exhibit'!A:N,9,FALSE)</f>
        <v>0</v>
      </c>
      <c r="L56" s="7">
        <f>VLOOKUP(B56,'75 - Summary Exhibit'!A:N,10,FALSE)</f>
        <v>7194885</v>
      </c>
      <c r="M56" s="7">
        <f>VLOOKUP(B56,'75 - Summary Exhibit'!A:N,11,FALSE)</f>
        <v>2126362</v>
      </c>
      <c r="N56" s="7">
        <f>VLOOKUP(B56,'75 - Summary Exhibit'!A:N,12,FALSE)</f>
        <v>-353266</v>
      </c>
      <c r="O56" s="7">
        <f>VLOOKUP(B56,'75 - Summary Exhibit'!A:N,13,FALSE)</f>
        <v>-291027</v>
      </c>
      <c r="P56" s="7">
        <f t="shared" si="14"/>
        <v>-644293</v>
      </c>
      <c r="Q56" s="7">
        <f>VLOOKUP(B56,'75- Deferred Amortization'!A:G,3,FALSE)</f>
        <v>-2583352</v>
      </c>
      <c r="R56" s="7">
        <f>VLOOKUP(B56,'75- Deferred Amortization'!A:G,4,FALSE)</f>
        <v>-2583352</v>
      </c>
      <c r="S56" s="7">
        <f>VLOOKUP(B56,'75- Deferred Amortization'!A:G,5,FALSE)</f>
        <v>-2581048</v>
      </c>
      <c r="T56" s="7">
        <f>VLOOKUP(B56,'75- Deferred Amortization'!A:G,6,FALSE)</f>
        <v>-796696</v>
      </c>
      <c r="U56" s="7">
        <f>VLOOKUP(B56,'75- Deferred Amortization'!A:G,7,FALSE)</f>
        <v>-175903</v>
      </c>
      <c r="V56" s="7">
        <f t="shared" si="11"/>
        <v>-1</v>
      </c>
      <c r="W56" s="7">
        <f t="shared" si="15"/>
        <v>0</v>
      </c>
      <c r="X56">
        <v>2</v>
      </c>
      <c r="AC56" s="10">
        <v>23076336</v>
      </c>
      <c r="AD56" s="10">
        <v>0</v>
      </c>
      <c r="AE56" s="10">
        <v>2482</v>
      </c>
      <c r="AF56" s="10">
        <v>0</v>
      </c>
      <c r="AG56" s="7">
        <v>801435</v>
      </c>
      <c r="AH56" s="7">
        <v>1578062</v>
      </c>
      <c r="AI56" s="7">
        <v>0</v>
      </c>
      <c r="AJ56" s="7">
        <v>9997201</v>
      </c>
      <c r="AK56" s="7">
        <v>260436</v>
      </c>
      <c r="AM56" s="7">
        <f>I56-AG56</f>
        <v>-160287</v>
      </c>
      <c r="AN56" s="7">
        <f>M56-AK56</f>
        <v>1865926</v>
      </c>
      <c r="AO56" s="10">
        <f t="shared" si="4"/>
        <v>0</v>
      </c>
      <c r="AP56" s="7">
        <f t="shared" si="5"/>
        <v>-371608</v>
      </c>
      <c r="AQ56" s="10">
        <f t="shared" si="6"/>
        <v>1150265</v>
      </c>
      <c r="AR56" s="7">
        <f t="shared" si="7"/>
        <v>-2802316</v>
      </c>
      <c r="AS56" s="10">
        <f t="shared" si="8"/>
        <v>855254</v>
      </c>
      <c r="AT56" s="10">
        <f t="shared" si="9"/>
        <v>13455</v>
      </c>
      <c r="AU56" s="7">
        <f t="shared" si="10"/>
        <v>0</v>
      </c>
    </row>
    <row r="57" spans="1:47" x14ac:dyDescent="0.25">
      <c r="A57" t="s">
        <v>94</v>
      </c>
      <c r="B57">
        <v>36905</v>
      </c>
      <c r="C57" s="7">
        <f>VLOOKUP(B57,'ER Contributions'!A:D,4,FALSE)</f>
        <v>238325</v>
      </c>
      <c r="D57" s="8">
        <f>VLOOKUP(B57,'ER Contributions'!A:D,3,FALSE)</f>
        <v>2.0560000000000001E-4</v>
      </c>
      <c r="E57" s="10">
        <f>VLOOKUP(B57,'75 - Summary Exhibit'!A:N,3,FALSE)</f>
        <v>6506182</v>
      </c>
      <c r="F57" s="10">
        <f>VLOOKUP(B57,'75 - Summary Exhibit'!A:N,4,FALSE)</f>
        <v>0</v>
      </c>
      <c r="G57" s="10">
        <f>VLOOKUP(B57,'75 - Summary Exhibit'!A:N,5,FALSE)</f>
        <v>4333</v>
      </c>
      <c r="H57" s="10">
        <f>VLOOKUP(B57,'75 - Summary Exhibit'!A:N,6,FALSE)</f>
        <v>312718</v>
      </c>
      <c r="I57" s="7">
        <f>VLOOKUP(B57,'75 - Summary Exhibit'!A:N,7,FALSE)</f>
        <v>1098553</v>
      </c>
      <c r="J57" s="7">
        <f>VLOOKUP(B57,'75 - Summary Exhibit'!A:N,8,FALSE)</f>
        <v>327994</v>
      </c>
      <c r="K57" s="7">
        <f>VLOOKUP(B57,'75 - Summary Exhibit'!A:N,9,FALSE)</f>
        <v>0</v>
      </c>
      <c r="L57" s="7">
        <f>VLOOKUP(B57,'75 - Summary Exhibit'!A:N,10,FALSE)</f>
        <v>1956043</v>
      </c>
      <c r="M57" s="7">
        <f>VLOOKUP(B57,'75 - Summary Exhibit'!A:N,11,FALSE)</f>
        <v>0</v>
      </c>
      <c r="N57" s="7">
        <f>VLOOKUP(B57,'75 - Summary Exhibit'!A:N,12,FALSE)</f>
        <v>-96041</v>
      </c>
      <c r="O57" s="7">
        <f>VLOOKUP(B57,'75 - Summary Exhibit'!A:N,13,FALSE)</f>
        <v>273842</v>
      </c>
      <c r="P57" s="7">
        <f t="shared" si="14"/>
        <v>177801</v>
      </c>
      <c r="Q57" s="7">
        <f>VLOOKUP(B57,'75- Deferred Amortization'!A:G,3,FALSE)</f>
        <v>-349363</v>
      </c>
      <c r="R57" s="7">
        <f>VLOOKUP(B57,'75- Deferred Amortization'!A:G,4,FALSE)</f>
        <v>-349363</v>
      </c>
      <c r="S57" s="7">
        <f>VLOOKUP(B57,'75- Deferred Amortization'!A:G,5,FALSE)</f>
        <v>-348737</v>
      </c>
      <c r="T57" s="7">
        <f>VLOOKUP(B57,'75- Deferred Amortization'!A:G,6,FALSE)</f>
        <v>14415</v>
      </c>
      <c r="U57" s="7">
        <f>VLOOKUP(B57,'75- Deferred Amortization'!A:G,7,FALSE)</f>
        <v>164616</v>
      </c>
      <c r="V57" s="7">
        <f t="shared" si="11"/>
        <v>1</v>
      </c>
      <c r="W57" s="7">
        <f t="shared" si="15"/>
        <v>-1</v>
      </c>
      <c r="X57">
        <v>2</v>
      </c>
      <c r="AC57" s="10">
        <v>5436489</v>
      </c>
      <c r="AD57" s="10">
        <v>0</v>
      </c>
      <c r="AE57" s="10">
        <v>585</v>
      </c>
      <c r="AF57" s="10">
        <v>0</v>
      </c>
      <c r="AG57" s="7">
        <v>727747</v>
      </c>
      <c r="AH57" s="7">
        <v>371771</v>
      </c>
      <c r="AI57" s="7">
        <v>0</v>
      </c>
      <c r="AJ57" s="7">
        <v>2355212</v>
      </c>
      <c r="AK57" s="7">
        <v>0</v>
      </c>
      <c r="AM57" s="7">
        <f t="shared" ref="AM57:AM76" si="16">I57-AG57</f>
        <v>370806</v>
      </c>
      <c r="AN57" s="7">
        <f t="shared" ref="AN57:AN76" si="17">M57-AK57</f>
        <v>0</v>
      </c>
      <c r="AO57" s="10">
        <f t="shared" si="4"/>
        <v>0</v>
      </c>
      <c r="AP57" s="7">
        <f t="shared" si="5"/>
        <v>-43777</v>
      </c>
      <c r="AQ57" s="10">
        <f t="shared" si="6"/>
        <v>312718</v>
      </c>
      <c r="AR57" s="7">
        <f t="shared" si="7"/>
        <v>-399169</v>
      </c>
      <c r="AS57" s="10">
        <f t="shared" si="8"/>
        <v>1069693</v>
      </c>
      <c r="AT57" s="10">
        <f t="shared" si="9"/>
        <v>3748</v>
      </c>
      <c r="AU57" s="7">
        <f t="shared" si="10"/>
        <v>0</v>
      </c>
    </row>
    <row r="58" spans="1:47" x14ac:dyDescent="0.25">
      <c r="A58" t="s">
        <v>96</v>
      </c>
      <c r="B58">
        <v>37305</v>
      </c>
      <c r="C58" s="7">
        <f>VLOOKUP(B58,'ER Contributions'!A:D,4,FALSE)</f>
        <v>525973</v>
      </c>
      <c r="D58" s="8">
        <f>VLOOKUP(B58,'ER Contributions'!A:D,3,FALSE)</f>
        <v>3.9560000000000002E-4</v>
      </c>
      <c r="E58" s="10">
        <f>VLOOKUP(B58,'75 - Summary Exhibit'!A:N,3,FALSE)</f>
        <v>12516472</v>
      </c>
      <c r="F58" s="10">
        <f>VLOOKUP(B58,'75 - Summary Exhibit'!A:N,4,FALSE)</f>
        <v>0</v>
      </c>
      <c r="G58" s="10">
        <f>VLOOKUP(B58,'75 - Summary Exhibit'!A:N,5,FALSE)</f>
        <v>8335</v>
      </c>
      <c r="H58" s="10">
        <f>VLOOKUP(B58,'75 - Summary Exhibit'!A:N,6,FALSE)</f>
        <v>601601</v>
      </c>
      <c r="I58" s="7">
        <f>VLOOKUP(B58,'75 - Summary Exhibit'!A:N,7,FALSE)</f>
        <v>0</v>
      </c>
      <c r="J58" s="7">
        <f>VLOOKUP(B58,'75 - Summary Exhibit'!A:N,8,FALSE)</f>
        <v>630988</v>
      </c>
      <c r="K58" s="7">
        <f>VLOOKUP(B58,'75 - Summary Exhibit'!A:N,9,FALSE)</f>
        <v>0</v>
      </c>
      <c r="L58" s="7">
        <f>VLOOKUP(B58,'75 - Summary Exhibit'!A:N,10,FALSE)</f>
        <v>3763000</v>
      </c>
      <c r="M58" s="7">
        <f>VLOOKUP(B58,'75 - Summary Exhibit'!A:N,11,FALSE)</f>
        <v>1877544</v>
      </c>
      <c r="N58" s="7">
        <f>VLOOKUP(B58,'75 - Summary Exhibit'!A:N,12,FALSE)</f>
        <v>-184762</v>
      </c>
      <c r="O58" s="7">
        <f>VLOOKUP(B58,'75 - Summary Exhibit'!A:N,13,FALSE)</f>
        <v>-562649</v>
      </c>
      <c r="P58" s="7">
        <f t="shared" si="14"/>
        <v>-747411</v>
      </c>
      <c r="Q58" s="7">
        <f>VLOOKUP(B58,'75- Deferred Amortization'!A:G,3,FALSE)</f>
        <v>-1761554</v>
      </c>
      <c r="R58" s="7">
        <f>VLOOKUP(B58,'75- Deferred Amortization'!A:G,4,FALSE)</f>
        <v>-1761554</v>
      </c>
      <c r="S58" s="7">
        <f>VLOOKUP(B58,'75- Deferred Amortization'!A:G,5,FALSE)</f>
        <v>-1760349</v>
      </c>
      <c r="T58" s="7">
        <f>VLOOKUP(B58,'75- Deferred Amortization'!A:G,6,FALSE)</f>
        <v>-414561</v>
      </c>
      <c r="U58" s="7">
        <f>VLOOKUP(B58,'75- Deferred Amortization'!A:G,7,FALSE)</f>
        <v>36421</v>
      </c>
      <c r="V58" s="7">
        <f t="shared" si="11"/>
        <v>-1</v>
      </c>
      <c r="W58" s="7">
        <f t="shared" si="15"/>
        <v>1</v>
      </c>
      <c r="X58">
        <v>2</v>
      </c>
      <c r="AC58" s="10">
        <v>11623498</v>
      </c>
      <c r="AD58" s="10">
        <v>0</v>
      </c>
      <c r="AE58" s="10">
        <v>1250</v>
      </c>
      <c r="AF58" s="10">
        <v>0</v>
      </c>
      <c r="AG58" s="7">
        <v>0</v>
      </c>
      <c r="AH58" s="7">
        <v>794866</v>
      </c>
      <c r="AI58" s="7">
        <v>0</v>
      </c>
      <c r="AJ58" s="7">
        <v>5035568</v>
      </c>
      <c r="AK58" s="7">
        <v>1998769</v>
      </c>
      <c r="AM58" s="7">
        <f t="shared" si="16"/>
        <v>0</v>
      </c>
      <c r="AN58" s="7">
        <f t="shared" si="17"/>
        <v>-121225</v>
      </c>
      <c r="AO58" s="10">
        <f t="shared" si="4"/>
        <v>0</v>
      </c>
      <c r="AP58" s="7">
        <f t="shared" si="5"/>
        <v>-163878</v>
      </c>
      <c r="AQ58" s="10">
        <f t="shared" si="6"/>
        <v>601601</v>
      </c>
      <c r="AR58" s="7">
        <f t="shared" si="7"/>
        <v>-1272568</v>
      </c>
      <c r="AS58" s="10">
        <f t="shared" si="8"/>
        <v>892974</v>
      </c>
      <c r="AT58" s="10">
        <f t="shared" si="9"/>
        <v>7085</v>
      </c>
      <c r="AU58" s="7">
        <f t="shared" si="10"/>
        <v>0</v>
      </c>
    </row>
    <row r="59" spans="1:47" x14ac:dyDescent="0.25">
      <c r="A59" t="s">
        <v>97</v>
      </c>
      <c r="B59">
        <v>37405</v>
      </c>
      <c r="C59" s="7">
        <f>VLOOKUP(B59,'ER Contributions'!A:D,4,FALSE)</f>
        <v>1810063</v>
      </c>
      <c r="D59" s="8">
        <f>VLOOKUP(B59,'ER Contributions'!A:D,3,FALSE)</f>
        <v>1.6570999999999999E-3</v>
      </c>
      <c r="E59" s="10">
        <f>VLOOKUP(B59,'75 - Summary Exhibit'!A:N,3,FALSE)</f>
        <v>52428497</v>
      </c>
      <c r="F59" s="10">
        <f>VLOOKUP(B59,'75 - Summary Exhibit'!A:N,4,FALSE)</f>
        <v>0</v>
      </c>
      <c r="G59" s="10">
        <f>VLOOKUP(B59,'75 - Summary Exhibit'!A:N,5,FALSE)</f>
        <v>34913</v>
      </c>
      <c r="H59" s="10">
        <f>VLOOKUP(B59,'75 - Summary Exhibit'!A:N,6,FALSE)</f>
        <v>2519960</v>
      </c>
      <c r="I59" s="7">
        <f>VLOOKUP(B59,'75 - Summary Exhibit'!A:N,7,FALSE)</f>
        <v>1343376</v>
      </c>
      <c r="J59" s="7">
        <f>VLOOKUP(B59,'75 - Summary Exhibit'!A:N,8,FALSE)</f>
        <v>2643057</v>
      </c>
      <c r="K59" s="7">
        <f>VLOOKUP(B59,'75 - Summary Exhibit'!A:N,9,FALSE)</f>
        <v>0</v>
      </c>
      <c r="L59" s="7">
        <f>VLOOKUP(B59,'75 - Summary Exhibit'!A:N,10,FALSE)</f>
        <v>15762304</v>
      </c>
      <c r="M59" s="7">
        <f>VLOOKUP(B59,'75 - Summary Exhibit'!A:N,11,FALSE)</f>
        <v>5674561</v>
      </c>
      <c r="N59" s="7">
        <f>VLOOKUP(B59,'75 - Summary Exhibit'!A:N,12,FALSE)</f>
        <v>-773923</v>
      </c>
      <c r="O59" s="7">
        <f>VLOOKUP(B59,'75 - Summary Exhibit'!A:N,13,FALSE)</f>
        <v>-967952</v>
      </c>
      <c r="P59" s="7">
        <f t="shared" si="14"/>
        <v>-1741875</v>
      </c>
      <c r="Q59" s="7">
        <f>VLOOKUP(B59,'75- Deferred Amortization'!A:G,3,FALSE)</f>
        <v>-5989897</v>
      </c>
      <c r="R59" s="7">
        <f>VLOOKUP(B59,'75- Deferred Amortization'!A:G,4,FALSE)</f>
        <v>-5989897</v>
      </c>
      <c r="S59" s="7">
        <f>VLOOKUP(B59,'75- Deferred Amortization'!A:G,5,FALSE)</f>
        <v>-5984850</v>
      </c>
      <c r="T59" s="7">
        <f>VLOOKUP(B59,'75- Deferred Amortization'!A:G,6,FALSE)</f>
        <v>-1796174</v>
      </c>
      <c r="U59" s="7">
        <f>VLOOKUP(B59,'75- Deferred Amortization'!A:G,7,FALSE)</f>
        <v>-420854</v>
      </c>
      <c r="V59" s="7">
        <f t="shared" si="11"/>
        <v>-3</v>
      </c>
      <c r="W59" s="7">
        <f t="shared" si="15"/>
        <v>-1</v>
      </c>
      <c r="X59">
        <v>2</v>
      </c>
      <c r="AC59" s="10">
        <v>50717589</v>
      </c>
      <c r="AD59" s="10">
        <v>0</v>
      </c>
      <c r="AE59" s="10">
        <v>5454</v>
      </c>
      <c r="AF59" s="10">
        <v>0</v>
      </c>
      <c r="AG59" s="7">
        <v>1679220</v>
      </c>
      <c r="AH59" s="7">
        <v>3468292</v>
      </c>
      <c r="AI59" s="7">
        <v>0</v>
      </c>
      <c r="AJ59" s="7">
        <v>21972030</v>
      </c>
      <c r="AK59" s="7">
        <v>1688868</v>
      </c>
      <c r="AM59" s="7">
        <f t="shared" si="16"/>
        <v>-335844</v>
      </c>
      <c r="AN59" s="7">
        <f t="shared" si="17"/>
        <v>3985693</v>
      </c>
      <c r="AO59" s="10">
        <f t="shared" si="4"/>
        <v>0</v>
      </c>
      <c r="AP59" s="7">
        <f t="shared" si="5"/>
        <v>-825235</v>
      </c>
      <c r="AQ59" s="10">
        <f t="shared" si="6"/>
        <v>2519960</v>
      </c>
      <c r="AR59" s="7">
        <f t="shared" si="7"/>
        <v>-6209726</v>
      </c>
      <c r="AS59" s="10">
        <f t="shared" si="8"/>
        <v>1710908</v>
      </c>
      <c r="AT59" s="10">
        <f t="shared" si="9"/>
        <v>29459</v>
      </c>
      <c r="AU59" s="7">
        <f t="shared" si="10"/>
        <v>0</v>
      </c>
    </row>
    <row r="60" spans="1:47" x14ac:dyDescent="0.25">
      <c r="A60" t="s">
        <v>98</v>
      </c>
      <c r="B60">
        <v>37605</v>
      </c>
      <c r="C60" s="7">
        <f>VLOOKUP(B60,'ER Contributions'!A:D,4,FALSE)</f>
        <v>695168</v>
      </c>
      <c r="D60" s="8">
        <f>VLOOKUP(B60,'ER Contributions'!A:D,3,FALSE)</f>
        <v>6.5269999999999998E-4</v>
      </c>
      <c r="E60" s="10">
        <f>VLOOKUP(B60,'75 - Summary Exhibit'!A:N,3,FALSE)</f>
        <v>20652286</v>
      </c>
      <c r="F60" s="10">
        <f>VLOOKUP(B60,'75 - Summary Exhibit'!A:N,4,FALSE)</f>
        <v>0</v>
      </c>
      <c r="G60" s="10">
        <f>VLOOKUP(B60,'75 - Summary Exhibit'!A:N,5,FALSE)</f>
        <v>13753</v>
      </c>
      <c r="H60" s="10">
        <f>VLOOKUP(B60,'75 - Summary Exhibit'!A:N,6,FALSE)</f>
        <v>992646</v>
      </c>
      <c r="I60" s="7">
        <f>VLOOKUP(B60,'75 - Summary Exhibit'!A:N,7,FALSE)</f>
        <v>336616</v>
      </c>
      <c r="J60" s="7">
        <f>VLOOKUP(B60,'75 - Summary Exhibit'!A:N,8,FALSE)</f>
        <v>1041135</v>
      </c>
      <c r="K60" s="7">
        <f>VLOOKUP(B60,'75 - Summary Exhibit'!A:N,9,FALSE)</f>
        <v>0</v>
      </c>
      <c r="L60" s="7">
        <f>VLOOKUP(B60,'75 - Summary Exhibit'!A:N,10,FALSE)</f>
        <v>6208982</v>
      </c>
      <c r="M60" s="7">
        <f>VLOOKUP(B60,'75 - Summary Exhibit'!A:N,11,FALSE)</f>
        <v>906994</v>
      </c>
      <c r="N60" s="7">
        <f>VLOOKUP(B60,'75 - Summary Exhibit'!A:N,12,FALSE)</f>
        <v>-304858</v>
      </c>
      <c r="O60" s="7">
        <f>VLOOKUP(B60,'75 - Summary Exhibit'!A:N,13,FALSE)</f>
        <v>-138475</v>
      </c>
      <c r="P60" s="7">
        <f t="shared" si="14"/>
        <v>-443333</v>
      </c>
      <c r="Q60" s="7">
        <f>VLOOKUP(B60,'75- Deferred Amortization'!A:G,3,FALSE)</f>
        <v>-2116684</v>
      </c>
      <c r="R60" s="7">
        <f>VLOOKUP(B60,'75- Deferred Amortization'!A:G,4,FALSE)</f>
        <v>-2116684</v>
      </c>
      <c r="S60" s="7">
        <f>VLOOKUP(B60,'75- Deferred Amortization'!A:G,5,FALSE)</f>
        <v>-2114696</v>
      </c>
      <c r="T60" s="7">
        <f>VLOOKUP(B60,'75- Deferred Amortization'!A:G,6,FALSE)</f>
        <v>-527964</v>
      </c>
      <c r="U60" s="7">
        <f>VLOOKUP(B60,'75- Deferred Amortization'!A:G,7,FALSE)</f>
        <v>61932</v>
      </c>
      <c r="V60" s="7">
        <f t="shared" si="11"/>
        <v>1</v>
      </c>
      <c r="W60" s="7">
        <f t="shared" si="15"/>
        <v>0</v>
      </c>
      <c r="X60">
        <v>2</v>
      </c>
      <c r="AC60" s="10">
        <v>19056518</v>
      </c>
      <c r="AD60" s="10">
        <v>0</v>
      </c>
      <c r="AE60" s="10">
        <v>2049</v>
      </c>
      <c r="AF60" s="10">
        <v>0</v>
      </c>
      <c r="AG60" s="7">
        <v>420770</v>
      </c>
      <c r="AH60" s="7">
        <v>1303169</v>
      </c>
      <c r="AI60" s="7">
        <v>0</v>
      </c>
      <c r="AJ60" s="7">
        <v>8255724</v>
      </c>
      <c r="AK60" s="7">
        <v>412292</v>
      </c>
      <c r="AM60" s="7">
        <f t="shared" si="16"/>
        <v>-84154</v>
      </c>
      <c r="AN60" s="7">
        <f t="shared" si="17"/>
        <v>494702</v>
      </c>
      <c r="AO60" s="10">
        <f t="shared" si="4"/>
        <v>0</v>
      </c>
      <c r="AP60" s="7">
        <f t="shared" si="5"/>
        <v>-262034</v>
      </c>
      <c r="AQ60" s="10">
        <f t="shared" si="6"/>
        <v>992646</v>
      </c>
      <c r="AR60" s="7">
        <f t="shared" si="7"/>
        <v>-2046742</v>
      </c>
      <c r="AS60" s="10">
        <f t="shared" si="8"/>
        <v>1595768</v>
      </c>
      <c r="AT60" s="10">
        <f t="shared" si="9"/>
        <v>11704</v>
      </c>
      <c r="AU60" s="7">
        <f t="shared" si="10"/>
        <v>0</v>
      </c>
    </row>
    <row r="61" spans="1:47" x14ac:dyDescent="0.25">
      <c r="A61" t="s">
        <v>99</v>
      </c>
      <c r="B61">
        <v>37705</v>
      </c>
      <c r="C61" s="7">
        <f>VLOOKUP(B61,'ER Contributions'!A:D,4,FALSE)</f>
        <v>763659</v>
      </c>
      <c r="D61" s="8">
        <f>VLOOKUP(B61,'ER Contributions'!A:D,3,FALSE)</f>
        <v>6.9280000000000003E-4</v>
      </c>
      <c r="E61" s="10">
        <f>VLOOKUP(B61,'75 - Summary Exhibit'!A:N,3,FALSE)</f>
        <v>21919804</v>
      </c>
      <c r="F61" s="10">
        <f>VLOOKUP(B61,'75 - Summary Exhibit'!A:N,4,FALSE)</f>
        <v>0</v>
      </c>
      <c r="G61" s="10">
        <f>VLOOKUP(B61,'75 - Summary Exhibit'!A:N,5,FALSE)</f>
        <v>14597</v>
      </c>
      <c r="H61" s="10">
        <f>VLOOKUP(B61,'75 - Summary Exhibit'!A:N,6,FALSE)</f>
        <v>1053569</v>
      </c>
      <c r="I61" s="7">
        <f>VLOOKUP(B61,'75 - Summary Exhibit'!A:N,7,FALSE)</f>
        <v>1133496</v>
      </c>
      <c r="J61" s="7">
        <f>VLOOKUP(B61,'75 - Summary Exhibit'!A:N,8,FALSE)</f>
        <v>1105034</v>
      </c>
      <c r="K61" s="7">
        <f>VLOOKUP(B61,'75 - Summary Exhibit'!A:N,9,FALSE)</f>
        <v>0</v>
      </c>
      <c r="L61" s="7">
        <f>VLOOKUP(B61,'75 - Summary Exhibit'!A:N,10,FALSE)</f>
        <v>6590054</v>
      </c>
      <c r="M61" s="7">
        <f>VLOOKUP(B61,'75 - Summary Exhibit'!A:N,11,FALSE)</f>
        <v>996570</v>
      </c>
      <c r="N61" s="7">
        <f>VLOOKUP(B61,'75 - Summary Exhibit'!A:N,12,FALSE)</f>
        <v>-323569</v>
      </c>
      <c r="O61" s="7">
        <f>VLOOKUP(B61,'75 - Summary Exhibit'!A:N,13,FALSE)</f>
        <v>25840</v>
      </c>
      <c r="P61" s="7">
        <f t="shared" si="14"/>
        <v>-297729</v>
      </c>
      <c r="Q61" s="7">
        <f>VLOOKUP(B61,'75- Deferred Amortization'!A:G,3,FALSE)</f>
        <v>-2073779</v>
      </c>
      <c r="R61" s="7">
        <f>VLOOKUP(B61,'75- Deferred Amortization'!A:G,4,FALSE)</f>
        <v>-2073779</v>
      </c>
      <c r="S61" s="7">
        <f>VLOOKUP(B61,'75- Deferred Amortization'!A:G,5,FALSE)</f>
        <v>-2071669</v>
      </c>
      <c r="T61" s="7">
        <f>VLOOKUP(B61,'75- Deferred Amortization'!A:G,6,FALSE)</f>
        <v>-351407</v>
      </c>
      <c r="U61" s="7">
        <f>VLOOKUP(B61,'75- Deferred Amortization'!A:G,7,FALSE)</f>
        <v>80638</v>
      </c>
      <c r="V61" s="7">
        <f t="shared" si="11"/>
        <v>1</v>
      </c>
      <c r="W61" s="7">
        <f t="shared" si="15"/>
        <v>0</v>
      </c>
      <c r="X61">
        <v>2</v>
      </c>
      <c r="AC61" s="10">
        <v>20183736</v>
      </c>
      <c r="AD61" s="10">
        <v>0</v>
      </c>
      <c r="AE61" s="10">
        <v>2171</v>
      </c>
      <c r="AF61" s="10">
        <v>0</v>
      </c>
      <c r="AG61" s="7">
        <v>1416870</v>
      </c>
      <c r="AH61" s="7">
        <v>1380253</v>
      </c>
      <c r="AI61" s="7">
        <v>0</v>
      </c>
      <c r="AJ61" s="7">
        <v>8744061</v>
      </c>
      <c r="AK61" s="7">
        <v>582180</v>
      </c>
      <c r="AM61" s="7">
        <f t="shared" si="16"/>
        <v>-283374</v>
      </c>
      <c r="AN61" s="7">
        <f t="shared" si="17"/>
        <v>414390</v>
      </c>
      <c r="AO61" s="10">
        <f t="shared" si="4"/>
        <v>0</v>
      </c>
      <c r="AP61" s="7">
        <f t="shared" si="5"/>
        <v>-275219</v>
      </c>
      <c r="AQ61" s="10">
        <f t="shared" si="6"/>
        <v>1053569</v>
      </c>
      <c r="AR61" s="7">
        <f t="shared" si="7"/>
        <v>-2154007</v>
      </c>
      <c r="AS61" s="10">
        <f t="shared" si="8"/>
        <v>1736068</v>
      </c>
      <c r="AT61" s="10">
        <f t="shared" si="9"/>
        <v>12426</v>
      </c>
      <c r="AU61" s="7">
        <f t="shared" si="10"/>
        <v>0</v>
      </c>
    </row>
    <row r="62" spans="1:47" x14ac:dyDescent="0.25">
      <c r="A62" t="s">
        <v>79</v>
      </c>
      <c r="B62">
        <v>34605</v>
      </c>
      <c r="C62" s="7">
        <f>VLOOKUP(B62,'ER Contributions'!A:D,4,FALSE)</f>
        <v>230630</v>
      </c>
      <c r="D62" s="8">
        <f>VLOOKUP(B62,'ER Contributions'!A:D,3,FALSE)</f>
        <v>1.873E-4</v>
      </c>
      <c r="E62" s="10">
        <f>VLOOKUP(B62,'75 - Summary Exhibit'!A:N,3,FALSE)</f>
        <v>5925752</v>
      </c>
      <c r="F62" s="10">
        <f>VLOOKUP(B62,'75 - Summary Exhibit'!A:N,4,FALSE)</f>
        <v>0</v>
      </c>
      <c r="G62" s="10">
        <f>VLOOKUP(B62,'75 - Summary Exhibit'!A:N,5,FALSE)</f>
        <v>3946</v>
      </c>
      <c r="H62" s="10">
        <f>VLOOKUP(B62,'75 - Summary Exhibit'!A:N,6,FALSE)</f>
        <v>284820</v>
      </c>
      <c r="I62" s="7">
        <f>VLOOKUP(B62,'75 - Summary Exhibit'!A:N,7,FALSE)</f>
        <v>0</v>
      </c>
      <c r="J62" s="7">
        <f>VLOOKUP(B62,'75 - Summary Exhibit'!A:N,8,FALSE)</f>
        <v>298733</v>
      </c>
      <c r="K62" s="7">
        <f>VLOOKUP(B62,'75 - Summary Exhibit'!A:N,9,FALSE)</f>
        <v>0</v>
      </c>
      <c r="L62" s="7">
        <f>VLOOKUP(B62,'75 - Summary Exhibit'!A:N,10,FALSE)</f>
        <v>1781541</v>
      </c>
      <c r="M62" s="7">
        <f>VLOOKUP(B62,'75 - Summary Exhibit'!A:N,11,FALSE)</f>
        <v>1742841</v>
      </c>
      <c r="N62" s="7">
        <f>VLOOKUP(B62,'75 - Summary Exhibit'!A:N,12,FALSE)</f>
        <v>-87473</v>
      </c>
      <c r="O62" s="7">
        <f>VLOOKUP(B62,'75 - Summary Exhibit'!A:N,13,FALSE)</f>
        <v>-430336</v>
      </c>
      <c r="P62" s="7">
        <f t="shared" si="14"/>
        <v>-517809</v>
      </c>
      <c r="Q62" s="7">
        <f>VLOOKUP(B62,'75- Deferred Amortization'!A:G,3,FALSE)</f>
        <v>-997948</v>
      </c>
      <c r="R62" s="7">
        <f>VLOOKUP(B62,'75- Deferred Amortization'!A:G,4,FALSE)</f>
        <v>-997948</v>
      </c>
      <c r="S62" s="7">
        <f>VLOOKUP(B62,'75- Deferred Amortization'!A:G,5,FALSE)</f>
        <v>-997378</v>
      </c>
      <c r="T62" s="7">
        <f>VLOOKUP(B62,'75- Deferred Amortization'!A:G,6,FALSE)</f>
        <v>-425523</v>
      </c>
      <c r="U62" s="7">
        <f>VLOOKUP(B62,'75- Deferred Amortization'!A:G,7,FALSE)</f>
        <v>-115552</v>
      </c>
      <c r="V62" s="7">
        <f t="shared" si="11"/>
        <v>-2</v>
      </c>
      <c r="W62" s="7">
        <f t="shared" si="15"/>
        <v>0</v>
      </c>
      <c r="X62">
        <v>2</v>
      </c>
      <c r="AC62" s="10">
        <v>6021387</v>
      </c>
      <c r="AD62" s="10">
        <v>0</v>
      </c>
      <c r="AE62" s="10">
        <v>648</v>
      </c>
      <c r="AF62" s="10">
        <v>0</v>
      </c>
      <c r="AG62" s="7">
        <v>0</v>
      </c>
      <c r="AH62" s="7">
        <v>411769</v>
      </c>
      <c r="AI62" s="7">
        <v>0</v>
      </c>
      <c r="AJ62" s="7">
        <v>2608604</v>
      </c>
      <c r="AK62" s="7">
        <v>1167426</v>
      </c>
      <c r="AM62" s="7">
        <f t="shared" si="16"/>
        <v>0</v>
      </c>
      <c r="AN62" s="7">
        <f t="shared" si="17"/>
        <v>575415</v>
      </c>
      <c r="AO62" s="10">
        <f t="shared" si="4"/>
        <v>0</v>
      </c>
      <c r="AP62" s="7">
        <f t="shared" si="5"/>
        <v>-113036</v>
      </c>
      <c r="AQ62" s="10">
        <f t="shared" si="6"/>
        <v>284820</v>
      </c>
      <c r="AR62" s="7">
        <f t="shared" si="7"/>
        <v>-827063</v>
      </c>
      <c r="AS62" s="10">
        <f t="shared" si="8"/>
        <v>-95635</v>
      </c>
      <c r="AT62" s="10">
        <f t="shared" si="9"/>
        <v>3298</v>
      </c>
      <c r="AU62" s="7">
        <f t="shared" si="10"/>
        <v>0</v>
      </c>
    </row>
    <row r="63" spans="1:47" x14ac:dyDescent="0.25">
      <c r="A63" t="s">
        <v>100</v>
      </c>
      <c r="B63">
        <v>37805</v>
      </c>
      <c r="C63" s="7">
        <f>VLOOKUP(B63,'ER Contributions'!A:D,4,FALSE)</f>
        <v>613569</v>
      </c>
      <c r="D63" s="8">
        <f>VLOOKUP(B63,'ER Contributions'!A:D,3,FALSE)</f>
        <v>4.8519999999999998E-4</v>
      </c>
      <c r="E63" s="10">
        <f>VLOOKUP(B63,'75 - Summary Exhibit'!A:N,3,FALSE)</f>
        <v>15350675</v>
      </c>
      <c r="F63" s="10">
        <f>VLOOKUP(B63,'75 - Summary Exhibit'!A:N,4,FALSE)</f>
        <v>0</v>
      </c>
      <c r="G63" s="10">
        <f>VLOOKUP(B63,'75 - Summary Exhibit'!A:N,5,FALSE)</f>
        <v>10222</v>
      </c>
      <c r="H63" s="10">
        <f>VLOOKUP(B63,'75 - Summary Exhibit'!A:N,6,FALSE)</f>
        <v>737826</v>
      </c>
      <c r="I63" s="7">
        <f>VLOOKUP(B63,'75 - Summary Exhibit'!A:N,7,FALSE)</f>
        <v>333772</v>
      </c>
      <c r="J63" s="7">
        <f>VLOOKUP(B63,'75 - Summary Exhibit'!A:N,8,FALSE)</f>
        <v>773867</v>
      </c>
      <c r="K63" s="7">
        <f>VLOOKUP(B63,'75 - Summary Exhibit'!A:N,9,FALSE)</f>
        <v>0</v>
      </c>
      <c r="L63" s="7">
        <f>VLOOKUP(B63,'75 - Summary Exhibit'!A:N,10,FALSE)</f>
        <v>4615086</v>
      </c>
      <c r="M63" s="7">
        <f>VLOOKUP(B63,'75 - Summary Exhibit'!A:N,11,FALSE)</f>
        <v>3182547</v>
      </c>
      <c r="N63" s="7">
        <f>VLOOKUP(B63,'75 - Summary Exhibit'!A:N,12,FALSE)</f>
        <v>-226599</v>
      </c>
      <c r="O63" s="7">
        <f>VLOOKUP(B63,'75 - Summary Exhibit'!A:N,13,FALSE)</f>
        <v>-709928</v>
      </c>
      <c r="P63" s="7">
        <f t="shared" si="14"/>
        <v>-936527</v>
      </c>
      <c r="Q63" s="7">
        <f>VLOOKUP(B63,'75- Deferred Amortization'!A:G,3,FALSE)</f>
        <v>-2180315</v>
      </c>
      <c r="R63" s="7">
        <f>VLOOKUP(B63,'75- Deferred Amortization'!A:G,4,FALSE)</f>
        <v>-2180315</v>
      </c>
      <c r="S63" s="7">
        <f>VLOOKUP(B63,'75- Deferred Amortization'!A:G,5,FALSE)</f>
        <v>-2178837</v>
      </c>
      <c r="T63" s="7">
        <f>VLOOKUP(B63,'75- Deferred Amortization'!A:G,6,FALSE)</f>
        <v>-683892</v>
      </c>
      <c r="U63" s="7">
        <f>VLOOKUP(B63,'75- Deferred Amortization'!A:G,7,FALSE)</f>
        <v>-266319</v>
      </c>
      <c r="V63" s="7">
        <f t="shared" si="11"/>
        <v>0</v>
      </c>
      <c r="W63" s="7">
        <f t="shared" si="15"/>
        <v>-2</v>
      </c>
      <c r="X63">
        <v>2</v>
      </c>
      <c r="AC63" s="10">
        <v>15477223</v>
      </c>
      <c r="AD63" s="10">
        <v>0</v>
      </c>
      <c r="AE63" s="10">
        <v>1664</v>
      </c>
      <c r="AF63" s="10">
        <v>0</v>
      </c>
      <c r="AG63" s="7">
        <v>417215</v>
      </c>
      <c r="AH63" s="7">
        <v>1058401</v>
      </c>
      <c r="AI63" s="7">
        <v>0</v>
      </c>
      <c r="AJ63" s="7">
        <v>6705090</v>
      </c>
      <c r="AK63" s="7">
        <v>1568616</v>
      </c>
      <c r="AM63" s="7">
        <f t="shared" si="16"/>
        <v>-83443</v>
      </c>
      <c r="AN63" s="7">
        <f t="shared" si="17"/>
        <v>1613931</v>
      </c>
      <c r="AO63" s="10">
        <f t="shared" si="4"/>
        <v>0</v>
      </c>
      <c r="AP63" s="7">
        <f t="shared" si="5"/>
        <v>-284534</v>
      </c>
      <c r="AQ63" s="10">
        <f t="shared" si="6"/>
        <v>737826</v>
      </c>
      <c r="AR63" s="7">
        <f t="shared" si="7"/>
        <v>-2090004</v>
      </c>
      <c r="AS63" s="10">
        <f t="shared" si="8"/>
        <v>-126548</v>
      </c>
      <c r="AT63" s="10">
        <f t="shared" si="9"/>
        <v>8558</v>
      </c>
      <c r="AU63" s="7">
        <f t="shared" si="10"/>
        <v>0</v>
      </c>
    </row>
    <row r="64" spans="1:47" x14ac:dyDescent="0.25">
      <c r="A64" t="s">
        <v>101</v>
      </c>
      <c r="B64">
        <v>37905</v>
      </c>
      <c r="C64" s="7">
        <f>VLOOKUP(B64,'ER Contributions'!A:D,4,FALSE)</f>
        <v>513592</v>
      </c>
      <c r="D64" s="8">
        <f>VLOOKUP(B64,'ER Contributions'!A:D,3,FALSE)</f>
        <v>3.947E-4</v>
      </c>
      <c r="E64" s="10">
        <f>VLOOKUP(B64,'75 - Summary Exhibit'!A:N,3,FALSE)</f>
        <v>12488981</v>
      </c>
      <c r="F64" s="10">
        <f>VLOOKUP(B64,'75 - Summary Exhibit'!A:N,4,FALSE)</f>
        <v>0</v>
      </c>
      <c r="G64" s="10">
        <f>VLOOKUP(B64,'75 - Summary Exhibit'!A:N,5,FALSE)</f>
        <v>8317</v>
      </c>
      <c r="H64" s="10">
        <f>VLOOKUP(B64,'75 - Summary Exhibit'!A:N,6,FALSE)</f>
        <v>600279</v>
      </c>
      <c r="I64" s="7">
        <f>VLOOKUP(B64,'75 - Summary Exhibit'!A:N,7,FALSE)</f>
        <v>0</v>
      </c>
      <c r="J64" s="7">
        <f>VLOOKUP(B64,'75 - Summary Exhibit'!A:N,8,FALSE)</f>
        <v>629602</v>
      </c>
      <c r="K64" s="7">
        <f>VLOOKUP(B64,'75 - Summary Exhibit'!A:N,9,FALSE)</f>
        <v>0</v>
      </c>
      <c r="L64" s="7">
        <f>VLOOKUP(B64,'75 - Summary Exhibit'!A:N,10,FALSE)</f>
        <v>3754735</v>
      </c>
      <c r="M64" s="7">
        <f>VLOOKUP(B64,'75 - Summary Exhibit'!A:N,11,FALSE)</f>
        <v>1459793</v>
      </c>
      <c r="N64" s="7">
        <f>VLOOKUP(B64,'75 - Summary Exhibit'!A:N,12,FALSE)</f>
        <v>-184356</v>
      </c>
      <c r="O64" s="7">
        <f>VLOOKUP(B64,'75 - Summary Exhibit'!A:N,13,FALSE)</f>
        <v>-328350</v>
      </c>
      <c r="P64" s="7">
        <f t="shared" si="14"/>
        <v>-512706</v>
      </c>
      <c r="Q64" s="7">
        <f>VLOOKUP(B64,'75- Deferred Amortization'!A:G,3,FALSE)</f>
        <v>-1524627</v>
      </c>
      <c r="R64" s="7">
        <f>VLOOKUP(B64,'75- Deferred Amortization'!A:G,4,FALSE)</f>
        <v>-1524627</v>
      </c>
      <c r="S64" s="7">
        <f>VLOOKUP(B64,'75- Deferred Amortization'!A:G,5,FALSE)</f>
        <v>-1523424</v>
      </c>
      <c r="T64" s="7">
        <f>VLOOKUP(B64,'75- Deferred Amortization'!A:G,6,FALSE)</f>
        <v>-625023</v>
      </c>
      <c r="U64" s="7">
        <f>VLOOKUP(B64,'75- Deferred Amortization'!A:G,7,FALSE)</f>
        <v>-37833</v>
      </c>
      <c r="V64" s="7">
        <f t="shared" si="11"/>
        <v>1</v>
      </c>
      <c r="W64" s="7">
        <f t="shared" si="15"/>
        <v>0</v>
      </c>
      <c r="X64">
        <v>2</v>
      </c>
      <c r="AC64" s="10">
        <v>11886892</v>
      </c>
      <c r="AD64" s="10">
        <v>0</v>
      </c>
      <c r="AE64" s="10">
        <v>1278</v>
      </c>
      <c r="AF64" s="10">
        <v>0</v>
      </c>
      <c r="AG64" s="7">
        <v>0</v>
      </c>
      <c r="AH64" s="7">
        <v>812878</v>
      </c>
      <c r="AI64" s="7">
        <v>0</v>
      </c>
      <c r="AJ64" s="7">
        <v>5149676</v>
      </c>
      <c r="AK64" s="7">
        <v>902646</v>
      </c>
      <c r="AM64" s="7">
        <f t="shared" si="16"/>
        <v>0</v>
      </c>
      <c r="AN64" s="7">
        <f t="shared" si="17"/>
        <v>557147</v>
      </c>
      <c r="AO64" s="10">
        <f t="shared" si="4"/>
        <v>0</v>
      </c>
      <c r="AP64" s="7">
        <f t="shared" si="5"/>
        <v>-183276</v>
      </c>
      <c r="AQ64" s="10">
        <f t="shared" si="6"/>
        <v>600279</v>
      </c>
      <c r="AR64" s="7">
        <f t="shared" si="7"/>
        <v>-1394941</v>
      </c>
      <c r="AS64" s="10">
        <f t="shared" si="8"/>
        <v>602089</v>
      </c>
      <c r="AT64" s="10">
        <f t="shared" si="9"/>
        <v>7039</v>
      </c>
      <c r="AU64" s="7">
        <f t="shared" si="10"/>
        <v>0</v>
      </c>
    </row>
    <row r="65" spans="1:47" x14ac:dyDescent="0.25">
      <c r="A65" t="s">
        <v>102</v>
      </c>
      <c r="B65">
        <v>38005</v>
      </c>
      <c r="C65" s="7">
        <f>VLOOKUP(B65,'ER Contributions'!A:D,4,FALSE)</f>
        <v>1339842</v>
      </c>
      <c r="D65" s="8">
        <f>VLOOKUP(B65,'ER Contributions'!A:D,3,FALSE)</f>
        <v>1.1770999999999999E-3</v>
      </c>
      <c r="E65" s="10">
        <f>VLOOKUP(B65,'75 - Summary Exhibit'!A:N,3,FALSE)</f>
        <v>37241916</v>
      </c>
      <c r="F65" s="10">
        <f>VLOOKUP(B65,'75 - Summary Exhibit'!A:N,4,FALSE)</f>
        <v>0</v>
      </c>
      <c r="G65" s="10">
        <f>VLOOKUP(B65,'75 - Summary Exhibit'!A:N,5,FALSE)</f>
        <v>24800</v>
      </c>
      <c r="H65" s="10">
        <f>VLOOKUP(B65,'75 - Summary Exhibit'!A:N,6,FALSE)</f>
        <v>1790022</v>
      </c>
      <c r="I65" s="7">
        <f>VLOOKUP(B65,'75 - Summary Exhibit'!A:N,7,FALSE)</f>
        <v>533455</v>
      </c>
      <c r="J65" s="7">
        <f>VLOOKUP(B65,'75 - Summary Exhibit'!A:N,8,FALSE)</f>
        <v>1877462</v>
      </c>
      <c r="K65" s="7">
        <f>VLOOKUP(B65,'75 - Summary Exhibit'!A:N,9,FALSE)</f>
        <v>0</v>
      </c>
      <c r="L65" s="7">
        <f>VLOOKUP(B65,'75 - Summary Exhibit'!A:N,10,FALSE)</f>
        <v>11196552</v>
      </c>
      <c r="M65" s="7">
        <f>VLOOKUP(B65,'75 - Summary Exhibit'!A:N,11,FALSE)</f>
        <v>3623967</v>
      </c>
      <c r="N65" s="7">
        <f>VLOOKUP(B65,'75 - Summary Exhibit'!A:N,12,FALSE)</f>
        <v>-549746</v>
      </c>
      <c r="O65" s="7">
        <f>VLOOKUP(B65,'75 - Summary Exhibit'!A:N,13,FALSE)</f>
        <v>-1086294</v>
      </c>
      <c r="P65" s="7">
        <f t="shared" si="14"/>
        <v>-1636040</v>
      </c>
      <c r="Q65" s="7">
        <f>VLOOKUP(B65,'75- Deferred Amortization'!A:G,3,FALSE)</f>
        <v>-4653567</v>
      </c>
      <c r="R65" s="7">
        <f>VLOOKUP(B65,'75- Deferred Amortization'!A:G,4,FALSE)</f>
        <v>-4653567</v>
      </c>
      <c r="S65" s="7">
        <f>VLOOKUP(B65,'75- Deferred Amortization'!A:G,5,FALSE)</f>
        <v>-4649981</v>
      </c>
      <c r="T65" s="7">
        <f>VLOOKUP(B65,'75- Deferred Amortization'!A:G,6,FALSE)</f>
        <v>-826552</v>
      </c>
      <c r="U65" s="7">
        <f>VLOOKUP(B65,'75- Deferred Amortization'!A:G,7,FALSE)</f>
        <v>433963</v>
      </c>
      <c r="V65" s="7">
        <f t="shared" si="11"/>
        <v>-2</v>
      </c>
      <c r="W65" s="7">
        <f t="shared" si="15"/>
        <v>0</v>
      </c>
      <c r="X65">
        <v>2</v>
      </c>
      <c r="AC65" s="10">
        <v>33133899</v>
      </c>
      <c r="AD65" s="10">
        <v>0</v>
      </c>
      <c r="AE65" s="10">
        <v>3563</v>
      </c>
      <c r="AF65" s="10">
        <v>0</v>
      </c>
      <c r="AG65" s="7">
        <v>0</v>
      </c>
      <c r="AH65" s="7">
        <v>2265842</v>
      </c>
      <c r="AI65" s="7">
        <v>0</v>
      </c>
      <c r="AJ65" s="7">
        <v>14354370</v>
      </c>
      <c r="AK65" s="7">
        <v>4816952</v>
      </c>
      <c r="AM65" s="7">
        <f t="shared" si="16"/>
        <v>533455</v>
      </c>
      <c r="AN65" s="7">
        <f t="shared" si="17"/>
        <v>-1192985</v>
      </c>
      <c r="AO65" s="10">
        <f t="shared" si="4"/>
        <v>0</v>
      </c>
      <c r="AP65" s="7">
        <f t="shared" si="5"/>
        <v>-388380</v>
      </c>
      <c r="AQ65" s="10">
        <f t="shared" si="6"/>
        <v>1790022</v>
      </c>
      <c r="AR65" s="7">
        <f t="shared" si="7"/>
        <v>-3157818</v>
      </c>
      <c r="AS65" s="10">
        <f t="shared" si="8"/>
        <v>4108017</v>
      </c>
      <c r="AT65" s="10">
        <f t="shared" si="9"/>
        <v>21237</v>
      </c>
      <c r="AU65" s="7">
        <f t="shared" si="10"/>
        <v>0</v>
      </c>
    </row>
    <row r="66" spans="1:47" x14ac:dyDescent="0.25">
      <c r="A66" t="s">
        <v>104</v>
      </c>
      <c r="B66">
        <v>38205</v>
      </c>
      <c r="C66" s="7">
        <f>VLOOKUP(B66,'ER Contributions'!A:D,4,FALSE)</f>
        <v>430696</v>
      </c>
      <c r="D66" s="8">
        <f>VLOOKUP(B66,'ER Contributions'!A:D,3,FALSE)</f>
        <v>3.7280000000000001E-4</v>
      </c>
      <c r="E66" s="10">
        <f>VLOOKUP(B66,'75 - Summary Exhibit'!A:N,3,FALSE)</f>
        <v>11795730</v>
      </c>
      <c r="F66" s="10">
        <f>VLOOKUP(B66,'75 - Summary Exhibit'!A:N,4,FALSE)</f>
        <v>0</v>
      </c>
      <c r="G66" s="10">
        <f>VLOOKUP(B66,'75 - Summary Exhibit'!A:N,5,FALSE)</f>
        <v>7855</v>
      </c>
      <c r="H66" s="10">
        <f>VLOOKUP(B66,'75 - Summary Exhibit'!A:N,6,FALSE)</f>
        <v>566958</v>
      </c>
      <c r="I66" s="7">
        <f>VLOOKUP(B66,'75 - Summary Exhibit'!A:N,7,FALSE)</f>
        <v>145552</v>
      </c>
      <c r="J66" s="7">
        <f>VLOOKUP(B66,'75 - Summary Exhibit'!A:N,8,FALSE)</f>
        <v>594653</v>
      </c>
      <c r="K66" s="7">
        <f>VLOOKUP(B66,'75 - Summary Exhibit'!A:N,9,FALSE)</f>
        <v>0</v>
      </c>
      <c r="L66" s="7">
        <f>VLOOKUP(B66,'75 - Summary Exhibit'!A:N,10,FALSE)</f>
        <v>3546313</v>
      </c>
      <c r="M66" s="7">
        <f>VLOOKUP(B66,'75 - Summary Exhibit'!A:N,11,FALSE)</f>
        <v>314385</v>
      </c>
      <c r="N66" s="7">
        <f>VLOOKUP(B66,'75 - Summary Exhibit'!A:N,12,FALSE)</f>
        <v>-174122</v>
      </c>
      <c r="O66" s="7">
        <f>VLOOKUP(B66,'75 - Summary Exhibit'!A:N,13,FALSE)</f>
        <v>-55138</v>
      </c>
      <c r="P66" s="7">
        <f t="shared" si="14"/>
        <v>-229260</v>
      </c>
      <c r="Q66" s="7">
        <f>VLOOKUP(B66,'75- Deferred Amortization'!A:G,3,FALSE)</f>
        <v>-1185007</v>
      </c>
      <c r="R66" s="7">
        <f>VLOOKUP(B66,'75- Deferred Amortization'!A:G,4,FALSE)</f>
        <v>-1185007</v>
      </c>
      <c r="S66" s="7">
        <f>VLOOKUP(B66,'75- Deferred Amortization'!A:G,5,FALSE)</f>
        <v>-1183871</v>
      </c>
      <c r="T66" s="7">
        <f>VLOOKUP(B66,'75- Deferred Amortization'!A:G,6,FALSE)</f>
        <v>-264852</v>
      </c>
      <c r="U66" s="7">
        <f>VLOOKUP(B66,'75- Deferred Amortization'!A:G,7,FALSE)</f>
        <v>83750</v>
      </c>
      <c r="V66" s="7">
        <f t="shared" si="11"/>
        <v>1</v>
      </c>
      <c r="W66" s="7">
        <f t="shared" si="15"/>
        <v>1</v>
      </c>
      <c r="X66">
        <v>2</v>
      </c>
      <c r="AC66" s="10">
        <v>10713389</v>
      </c>
      <c r="AD66" s="10">
        <v>0</v>
      </c>
      <c r="AE66" s="10">
        <v>1152</v>
      </c>
      <c r="AF66" s="10">
        <v>0</v>
      </c>
      <c r="AG66" s="7">
        <v>181940</v>
      </c>
      <c r="AH66" s="7">
        <v>732629</v>
      </c>
      <c r="AI66" s="7">
        <v>0</v>
      </c>
      <c r="AJ66" s="7">
        <v>4641287</v>
      </c>
      <c r="AK66" s="7">
        <v>286460</v>
      </c>
      <c r="AM66" s="7">
        <f t="shared" si="16"/>
        <v>-36388</v>
      </c>
      <c r="AN66" s="7">
        <f t="shared" si="17"/>
        <v>27925</v>
      </c>
      <c r="AO66" s="10">
        <f t="shared" si="4"/>
        <v>0</v>
      </c>
      <c r="AP66" s="7">
        <f t="shared" si="5"/>
        <v>-137976</v>
      </c>
      <c r="AQ66" s="10">
        <f t="shared" si="6"/>
        <v>566958</v>
      </c>
      <c r="AR66" s="7">
        <f t="shared" si="7"/>
        <v>-1094974</v>
      </c>
      <c r="AS66" s="10">
        <f t="shared" si="8"/>
        <v>1082341</v>
      </c>
      <c r="AT66" s="10">
        <f t="shared" si="9"/>
        <v>6703</v>
      </c>
      <c r="AU66" s="7">
        <f t="shared" si="10"/>
        <v>0</v>
      </c>
    </row>
    <row r="67" spans="1:47" x14ac:dyDescent="0.25">
      <c r="A67" t="s">
        <v>90</v>
      </c>
      <c r="B67">
        <v>36305</v>
      </c>
      <c r="C67" s="7">
        <f>VLOOKUP(B67,'ER Contributions'!A:D,4,FALSE)</f>
        <v>1008169</v>
      </c>
      <c r="D67" s="8">
        <f>VLOOKUP(B67,'ER Contributions'!A:D,3,FALSE)</f>
        <v>7.9449999999999996E-4</v>
      </c>
      <c r="E67" s="10">
        <f>VLOOKUP(B67,'75 - Summary Exhibit'!A:N,3,FALSE)</f>
        <v>25138046</v>
      </c>
      <c r="F67" s="10">
        <f>VLOOKUP(B67,'75 - Summary Exhibit'!A:N,4,FALSE)</f>
        <v>0</v>
      </c>
      <c r="G67" s="10">
        <f>VLOOKUP(B67,'75 - Summary Exhibit'!A:N,5,FALSE)</f>
        <v>16740</v>
      </c>
      <c r="H67" s="10">
        <f>VLOOKUP(B67,'75 - Summary Exhibit'!A:N,6,FALSE)</f>
        <v>1208253</v>
      </c>
      <c r="I67" s="7">
        <f>VLOOKUP(B67,'75 - Summary Exhibit'!A:N,7,FALSE)</f>
        <v>0</v>
      </c>
      <c r="J67" s="7">
        <f>VLOOKUP(B67,'75 - Summary Exhibit'!A:N,8,FALSE)</f>
        <v>1267274</v>
      </c>
      <c r="K67" s="7">
        <f>VLOOKUP(B67,'75 - Summary Exhibit'!A:N,9,FALSE)</f>
        <v>0</v>
      </c>
      <c r="L67" s="7">
        <f>VLOOKUP(B67,'75 - Summary Exhibit'!A:N,10,FALSE)</f>
        <v>7557598</v>
      </c>
      <c r="M67" s="7">
        <f>VLOOKUP(B67,'75 - Summary Exhibit'!A:N,11,FALSE)</f>
        <v>1765559</v>
      </c>
      <c r="N67" s="7">
        <f>VLOOKUP(B67,'75 - Summary Exhibit'!A:N,12,FALSE)</f>
        <v>-371075</v>
      </c>
      <c r="O67" s="7">
        <f>VLOOKUP(B67,'75 - Summary Exhibit'!A:N,13,FALSE)</f>
        <v>-555458</v>
      </c>
      <c r="P67" s="7">
        <f t="shared" ref="P67:P80" si="18">N67+O67</f>
        <v>-926533</v>
      </c>
      <c r="Q67" s="7">
        <f>VLOOKUP(B67,'75- Deferred Amortization'!A:G,3,FALSE)</f>
        <v>-2963346</v>
      </c>
      <c r="R67" s="7">
        <f>VLOOKUP(B67,'75- Deferred Amortization'!A:G,4,FALSE)</f>
        <v>-2963346</v>
      </c>
      <c r="S67" s="7">
        <f>VLOOKUP(B67,'75- Deferred Amortization'!A:G,5,FALSE)</f>
        <v>-2960925</v>
      </c>
      <c r="T67" s="7">
        <f>VLOOKUP(B67,'75- Deferred Amortization'!A:G,6,FALSE)</f>
        <v>-674168</v>
      </c>
      <c r="U67" s="7">
        <f>VLOOKUP(B67,'75- Deferred Amortization'!A:G,7,FALSE)</f>
        <v>196345</v>
      </c>
      <c r="V67" s="7">
        <f t="shared" si="11"/>
        <v>2</v>
      </c>
      <c r="W67" s="7">
        <f t="shared" si="15"/>
        <v>2</v>
      </c>
      <c r="X67">
        <v>2</v>
      </c>
      <c r="AC67" s="10">
        <v>22820204</v>
      </c>
      <c r="AD67" s="10">
        <v>0</v>
      </c>
      <c r="AE67" s="10">
        <v>2454</v>
      </c>
      <c r="AF67" s="10">
        <v>0</v>
      </c>
      <c r="AG67" s="7">
        <v>0</v>
      </c>
      <c r="AH67" s="7">
        <v>1560546</v>
      </c>
      <c r="AI67" s="7">
        <v>0</v>
      </c>
      <c r="AJ67" s="7">
        <v>9886239</v>
      </c>
      <c r="AK67" s="7">
        <v>2173653</v>
      </c>
      <c r="AM67" s="7">
        <f t="shared" si="16"/>
        <v>0</v>
      </c>
      <c r="AN67" s="7">
        <f t="shared" si="17"/>
        <v>-408094</v>
      </c>
      <c r="AO67" s="10">
        <f t="shared" si="4"/>
        <v>0</v>
      </c>
      <c r="AP67" s="7">
        <f t="shared" si="5"/>
        <v>-293272</v>
      </c>
      <c r="AQ67" s="10">
        <f t="shared" si="6"/>
        <v>1208253</v>
      </c>
      <c r="AR67" s="7">
        <f t="shared" si="7"/>
        <v>-2328641</v>
      </c>
      <c r="AS67" s="10">
        <f t="shared" si="8"/>
        <v>2317842</v>
      </c>
      <c r="AT67" s="10">
        <f t="shared" si="9"/>
        <v>14286</v>
      </c>
      <c r="AU67" s="7">
        <f t="shared" si="10"/>
        <v>0</v>
      </c>
    </row>
    <row r="68" spans="1:47" x14ac:dyDescent="0.25">
      <c r="A68" t="s">
        <v>55</v>
      </c>
      <c r="B68">
        <v>30405</v>
      </c>
      <c r="C68" s="7">
        <f>VLOOKUP(B68,'ER Contributions'!A:D,4,FALSE)</f>
        <v>657772</v>
      </c>
      <c r="D68" s="8">
        <f>VLOOKUP(B68,'ER Contributions'!A:D,3,FALSE)</f>
        <v>6.045E-4</v>
      </c>
      <c r="E68" s="10">
        <f>VLOOKUP(B68,'75 - Summary Exhibit'!A:N,3,FALSE)</f>
        <v>19124933</v>
      </c>
      <c r="F68" s="10">
        <f>VLOOKUP(B68,'75 - Summary Exhibit'!A:N,4,FALSE)</f>
        <v>0</v>
      </c>
      <c r="G68" s="10">
        <f>VLOOKUP(B68,'75 - Summary Exhibit'!A:N,5,FALSE)</f>
        <v>12736</v>
      </c>
      <c r="H68" s="10">
        <f>VLOOKUP(B68,'75 - Summary Exhibit'!A:N,6,FALSE)</f>
        <v>919234</v>
      </c>
      <c r="I68" s="7">
        <f>VLOOKUP(B68,'75 - Summary Exhibit'!A:N,7,FALSE)</f>
        <v>0</v>
      </c>
      <c r="J68" s="7">
        <f>VLOOKUP(B68,'75 - Summary Exhibit'!A:N,8,FALSE)</f>
        <v>964138</v>
      </c>
      <c r="K68" s="7">
        <f>VLOOKUP(B68,'75 - Summary Exhibit'!A:N,9,FALSE)</f>
        <v>0</v>
      </c>
      <c r="L68" s="7">
        <f>VLOOKUP(B68,'75 - Summary Exhibit'!A:N,10,FALSE)</f>
        <v>5749793</v>
      </c>
      <c r="M68" s="7">
        <f>VLOOKUP(B68,'75 - Summary Exhibit'!A:N,11,FALSE)</f>
        <v>4199252</v>
      </c>
      <c r="N68" s="7">
        <f>VLOOKUP(B68,'75 - Summary Exhibit'!A:N,12,FALSE)</f>
        <v>-282312</v>
      </c>
      <c r="O68" s="7">
        <f>VLOOKUP(B68,'75 - Summary Exhibit'!A:N,13,FALSE)</f>
        <v>-1007295</v>
      </c>
      <c r="P68" s="7">
        <f t="shared" si="18"/>
        <v>-1289607</v>
      </c>
      <c r="Q68" s="7">
        <f>VLOOKUP(B68,'75- Deferred Amortization'!A:G,3,FALSE)</f>
        <v>-2839207</v>
      </c>
      <c r="R68" s="7">
        <f>VLOOKUP(B68,'75- Deferred Amortization'!A:G,4,FALSE)</f>
        <v>-2839207</v>
      </c>
      <c r="S68" s="7">
        <f>VLOOKUP(B68,'75- Deferred Amortization'!A:G,5,FALSE)</f>
        <v>-2837366</v>
      </c>
      <c r="T68" s="7">
        <f>VLOOKUP(B68,'75- Deferred Amortization'!A:G,6,FALSE)</f>
        <v>-1096409</v>
      </c>
      <c r="U68" s="7">
        <f>VLOOKUP(B68,'75- Deferred Amortization'!A:G,7,FALSE)</f>
        <v>-369023</v>
      </c>
      <c r="V68" s="7">
        <f t="shared" si="11"/>
        <v>-2</v>
      </c>
      <c r="W68" s="7">
        <f t="shared" ref="W68:W88" si="19">ROUND((F68+G68+H68+I68-J68-K68-L68-M68-Q68-R68-S68-T68-U68),0)</f>
        <v>-1</v>
      </c>
      <c r="X68">
        <v>2</v>
      </c>
      <c r="AC68" s="10">
        <v>19360309</v>
      </c>
      <c r="AD68" s="10">
        <v>0</v>
      </c>
      <c r="AE68" s="10">
        <v>2082</v>
      </c>
      <c r="AF68" s="10">
        <v>0</v>
      </c>
      <c r="AG68" s="7">
        <v>0</v>
      </c>
      <c r="AH68" s="7">
        <v>1323943</v>
      </c>
      <c r="AI68" s="7">
        <v>0</v>
      </c>
      <c r="AJ68" s="7">
        <v>8387333</v>
      </c>
      <c r="AK68" s="7">
        <v>1984020</v>
      </c>
      <c r="AM68" s="7">
        <f t="shared" si="16"/>
        <v>0</v>
      </c>
      <c r="AN68" s="7">
        <f t="shared" si="17"/>
        <v>2215232</v>
      </c>
      <c r="AO68" s="10">
        <f t="shared" si="4"/>
        <v>0</v>
      </c>
      <c r="AP68" s="7">
        <f t="shared" si="5"/>
        <v>-359805</v>
      </c>
      <c r="AQ68" s="10">
        <f t="shared" si="6"/>
        <v>919234</v>
      </c>
      <c r="AR68" s="7">
        <f t="shared" si="7"/>
        <v>-2637540</v>
      </c>
      <c r="AS68" s="10">
        <f t="shared" si="8"/>
        <v>-235376</v>
      </c>
      <c r="AT68" s="10">
        <f t="shared" si="9"/>
        <v>10654</v>
      </c>
      <c r="AU68" s="7">
        <f t="shared" si="10"/>
        <v>0</v>
      </c>
    </row>
    <row r="69" spans="1:47" x14ac:dyDescent="0.25">
      <c r="A69" t="s">
        <v>66</v>
      </c>
      <c r="B69">
        <v>32405</v>
      </c>
      <c r="C69" s="7">
        <f>VLOOKUP(B69,'ER Contributions'!A:D,4,FALSE)</f>
        <v>582348</v>
      </c>
      <c r="D69" s="8">
        <f>VLOOKUP(B69,'ER Contributions'!A:D,3,FALSE)</f>
        <v>4.8119999999999999E-4</v>
      </c>
      <c r="E69" s="10">
        <f>VLOOKUP(B69,'75 - Summary Exhibit'!A:N,3,FALSE)</f>
        <v>15224962</v>
      </c>
      <c r="F69" s="10">
        <f>VLOOKUP(B69,'75 - Summary Exhibit'!A:N,4,FALSE)</f>
        <v>0</v>
      </c>
      <c r="G69" s="10">
        <f>VLOOKUP(B69,'75 - Summary Exhibit'!A:N,5,FALSE)</f>
        <v>10139</v>
      </c>
      <c r="H69" s="10">
        <f>VLOOKUP(B69,'75 - Summary Exhibit'!A:N,6,FALSE)</f>
        <v>731783</v>
      </c>
      <c r="I69" s="7">
        <f>VLOOKUP(B69,'75 - Summary Exhibit'!A:N,7,FALSE)</f>
        <v>178424</v>
      </c>
      <c r="J69" s="7">
        <f>VLOOKUP(B69,'75 - Summary Exhibit'!A:N,8,FALSE)</f>
        <v>767530</v>
      </c>
      <c r="K69" s="7">
        <f>VLOOKUP(B69,'75 - Summary Exhibit'!A:N,9,FALSE)</f>
        <v>0</v>
      </c>
      <c r="L69" s="7">
        <f>VLOOKUP(B69,'75 - Summary Exhibit'!A:N,10,FALSE)</f>
        <v>4577291</v>
      </c>
      <c r="M69" s="7">
        <f>VLOOKUP(B69,'75 - Summary Exhibit'!A:N,11,FALSE)</f>
        <v>161030</v>
      </c>
      <c r="N69" s="7">
        <f>VLOOKUP(B69,'75 - Summary Exhibit'!A:N,12,FALSE)</f>
        <v>-224743</v>
      </c>
      <c r="O69" s="7">
        <f>VLOOKUP(B69,'75 - Summary Exhibit'!A:N,13,FALSE)</f>
        <v>14728</v>
      </c>
      <c r="P69" s="7">
        <f t="shared" si="18"/>
        <v>-210015</v>
      </c>
      <c r="Q69" s="7">
        <f>VLOOKUP(B69,'75- Deferred Amortization'!A:G,3,FALSE)</f>
        <v>-1443617</v>
      </c>
      <c r="R69" s="7">
        <f>VLOOKUP(B69,'75- Deferred Amortization'!A:G,4,FALSE)</f>
        <v>-1443617</v>
      </c>
      <c r="S69" s="7">
        <f>VLOOKUP(B69,'75- Deferred Amortization'!A:G,5,FALSE)</f>
        <v>-1442151</v>
      </c>
      <c r="T69" s="7">
        <f>VLOOKUP(B69,'75- Deferred Amortization'!A:G,6,FALSE)</f>
        <v>-357707</v>
      </c>
      <c r="U69" s="7">
        <f>VLOOKUP(B69,'75- Deferred Amortization'!A:G,7,FALSE)</f>
        <v>101587</v>
      </c>
      <c r="V69" s="7">
        <f t="shared" si="11"/>
        <v>-2</v>
      </c>
      <c r="W69" s="7">
        <f t="shared" si="19"/>
        <v>0</v>
      </c>
      <c r="X69">
        <v>2</v>
      </c>
      <c r="AC69" s="10">
        <v>13871588</v>
      </c>
      <c r="AD69" s="10">
        <v>0</v>
      </c>
      <c r="AE69" s="10">
        <v>1492</v>
      </c>
      <c r="AF69" s="10">
        <v>0</v>
      </c>
      <c r="AG69" s="7">
        <v>225360</v>
      </c>
      <c r="AH69" s="7">
        <v>948600</v>
      </c>
      <c r="AI69" s="7">
        <v>0</v>
      </c>
      <c r="AJ69" s="7">
        <v>6009492</v>
      </c>
      <c r="AK69" s="7">
        <v>0</v>
      </c>
      <c r="AM69" s="7">
        <f t="shared" si="16"/>
        <v>-46936</v>
      </c>
      <c r="AN69" s="7">
        <f t="shared" si="17"/>
        <v>161030</v>
      </c>
      <c r="AO69" s="10">
        <f t="shared" ref="AO69:AO88" si="20">F69-AD69</f>
        <v>0</v>
      </c>
      <c r="AP69" s="7">
        <f t="shared" ref="AP69:AP88" si="21">J69-AH69</f>
        <v>-181070</v>
      </c>
      <c r="AQ69" s="10">
        <f t="shared" ref="AQ69:AQ88" si="22">H69-AF69</f>
        <v>731783</v>
      </c>
      <c r="AR69" s="7">
        <f t="shared" ref="AR69:AR88" si="23">L69-AJ69</f>
        <v>-1432201</v>
      </c>
      <c r="AS69" s="10">
        <f t="shared" ref="AS69:AS88" si="24">E69-AC69</f>
        <v>1353374</v>
      </c>
      <c r="AT69" s="10">
        <f t="shared" ref="AT69:AT88" si="25">G69-AE69</f>
        <v>8647</v>
      </c>
      <c r="AU69" s="7">
        <f t="shared" ref="AU69:AU88" si="26">K69-AI69</f>
        <v>0</v>
      </c>
    </row>
    <row r="70" spans="1:47" x14ac:dyDescent="0.25">
      <c r="A70" t="s">
        <v>81</v>
      </c>
      <c r="B70">
        <v>35005</v>
      </c>
      <c r="C70" s="7">
        <f>VLOOKUP(B70,'ER Contributions'!A:D,4,FALSE)</f>
        <v>652313</v>
      </c>
      <c r="D70" s="8">
        <f>VLOOKUP(B70,'ER Contributions'!A:D,3,FALSE)</f>
        <v>5.8379999999999999E-4</v>
      </c>
      <c r="E70" s="10">
        <f>VLOOKUP(B70,'75 - Summary Exhibit'!A:N,3,FALSE)</f>
        <v>18470293</v>
      </c>
      <c r="F70" s="10">
        <f>VLOOKUP(B70,'75 - Summary Exhibit'!A:N,4,FALSE)</f>
        <v>0</v>
      </c>
      <c r="G70" s="10">
        <f>VLOOKUP(B70,'75 - Summary Exhibit'!A:N,5,FALSE)</f>
        <v>12300</v>
      </c>
      <c r="H70" s="10">
        <f>VLOOKUP(B70,'75 - Summary Exhibit'!A:N,6,FALSE)</f>
        <v>887769</v>
      </c>
      <c r="I70" s="7">
        <f>VLOOKUP(B70,'75 - Summary Exhibit'!A:N,7,FALSE)</f>
        <v>458508</v>
      </c>
      <c r="J70" s="7">
        <f>VLOOKUP(B70,'75 - Summary Exhibit'!A:N,8,FALSE)</f>
        <v>931135</v>
      </c>
      <c r="K70" s="7">
        <f>VLOOKUP(B70,'75 - Summary Exhibit'!A:N,9,FALSE)</f>
        <v>0</v>
      </c>
      <c r="L70" s="7">
        <f>VLOOKUP(B70,'75 - Summary Exhibit'!A:N,10,FALSE)</f>
        <v>5552979</v>
      </c>
      <c r="M70" s="7">
        <f>VLOOKUP(B70,'75 - Summary Exhibit'!A:N,11,FALSE)</f>
        <v>1169119</v>
      </c>
      <c r="N70" s="7">
        <f>VLOOKUP(B70,'75 - Summary Exhibit'!A:N,12,FALSE)</f>
        <v>-272649</v>
      </c>
      <c r="O70" s="7">
        <f>VLOOKUP(B70,'75 - Summary Exhibit'!A:N,13,FALSE)</f>
        <v>-198393</v>
      </c>
      <c r="P70" s="7">
        <f t="shared" si="18"/>
        <v>-471042</v>
      </c>
      <c r="Q70" s="7">
        <f>VLOOKUP(B70,'75- Deferred Amortization'!A:G,3,FALSE)</f>
        <v>-1967599</v>
      </c>
      <c r="R70" s="7">
        <f>VLOOKUP(B70,'75- Deferred Amortization'!A:G,4,FALSE)</f>
        <v>-1967599</v>
      </c>
      <c r="S70" s="7">
        <f>VLOOKUP(B70,'75- Deferred Amortization'!A:G,5,FALSE)</f>
        <v>-1965820</v>
      </c>
      <c r="T70" s="7">
        <f>VLOOKUP(B70,'75- Deferred Amortization'!A:G,6,FALSE)</f>
        <v>-440923</v>
      </c>
      <c r="U70" s="7">
        <f>VLOOKUP(B70,'75- Deferred Amortization'!A:G,7,FALSE)</f>
        <v>47284</v>
      </c>
      <c r="V70" s="7">
        <f t="shared" si="11"/>
        <v>1</v>
      </c>
      <c r="W70" s="7">
        <f t="shared" si="19"/>
        <v>1</v>
      </c>
      <c r="X70">
        <v>2</v>
      </c>
      <c r="AC70" s="10">
        <v>17095884</v>
      </c>
      <c r="AD70" s="10">
        <v>0</v>
      </c>
      <c r="AE70" s="10">
        <v>1839</v>
      </c>
      <c r="AF70" s="10">
        <v>0</v>
      </c>
      <c r="AG70" s="7">
        <v>573135</v>
      </c>
      <c r="AH70" s="7">
        <v>1169092</v>
      </c>
      <c r="AI70" s="7">
        <v>0</v>
      </c>
      <c r="AJ70" s="7">
        <v>7406331</v>
      </c>
      <c r="AK70" s="7">
        <v>791972</v>
      </c>
      <c r="AM70" s="7">
        <f t="shared" si="16"/>
        <v>-114627</v>
      </c>
      <c r="AN70" s="7">
        <f t="shared" si="17"/>
        <v>377147</v>
      </c>
      <c r="AO70" s="10">
        <f t="shared" si="20"/>
        <v>0</v>
      </c>
      <c r="AP70" s="7">
        <f t="shared" si="21"/>
        <v>-237957</v>
      </c>
      <c r="AQ70" s="10">
        <f t="shared" si="22"/>
        <v>887769</v>
      </c>
      <c r="AR70" s="7">
        <f t="shared" si="23"/>
        <v>-1853352</v>
      </c>
      <c r="AS70" s="10">
        <f t="shared" si="24"/>
        <v>1374409</v>
      </c>
      <c r="AT70" s="10">
        <f t="shared" si="25"/>
        <v>10461</v>
      </c>
      <c r="AU70" s="7">
        <f t="shared" si="26"/>
        <v>0</v>
      </c>
    </row>
    <row r="71" spans="1:47" x14ac:dyDescent="0.25">
      <c r="A71" t="s">
        <v>105</v>
      </c>
      <c r="B71">
        <v>38405</v>
      </c>
      <c r="C71" s="7">
        <f>VLOOKUP(B71,'ER Contributions'!A:D,4,FALSE)</f>
        <v>698285</v>
      </c>
      <c r="D71" s="8">
        <f>VLOOKUP(B71,'ER Contributions'!A:D,3,FALSE)</f>
        <v>6.3869999999999997E-4</v>
      </c>
      <c r="E71" s="10">
        <f>VLOOKUP(B71,'75 - Summary Exhibit'!A:N,3,FALSE)</f>
        <v>20209466</v>
      </c>
      <c r="F71" s="10">
        <f>VLOOKUP(B71,'75 - Summary Exhibit'!A:N,4,FALSE)</f>
        <v>0</v>
      </c>
      <c r="G71" s="10">
        <f>VLOOKUP(B71,'75 - Summary Exhibit'!A:N,5,FALSE)</f>
        <v>13458</v>
      </c>
      <c r="H71" s="10">
        <f>VLOOKUP(B71,'75 - Summary Exhibit'!A:N,6,FALSE)</f>
        <v>971362</v>
      </c>
      <c r="I71" s="7">
        <f>VLOOKUP(B71,'75 - Summary Exhibit'!A:N,7,FALSE)</f>
        <v>1414644</v>
      </c>
      <c r="J71" s="7">
        <f>VLOOKUP(B71,'75 - Summary Exhibit'!A:N,8,FALSE)</f>
        <v>1018812</v>
      </c>
      <c r="K71" s="7">
        <f>VLOOKUP(B71,'75 - Summary Exhibit'!A:N,9,FALSE)</f>
        <v>0</v>
      </c>
      <c r="L71" s="7">
        <f>VLOOKUP(B71,'75 - Summary Exhibit'!A:N,10,FALSE)</f>
        <v>6075851</v>
      </c>
      <c r="M71" s="7">
        <f>VLOOKUP(B71,'75 - Summary Exhibit'!A:N,11,FALSE)</f>
        <v>3060430</v>
      </c>
      <c r="N71" s="7">
        <f>VLOOKUP(B71,'75 - Summary Exhibit'!A:N,12,FALSE)</f>
        <v>-298322</v>
      </c>
      <c r="O71" s="7">
        <f>VLOOKUP(B71,'75 - Summary Exhibit'!A:N,13,FALSE)</f>
        <v>-347435</v>
      </c>
      <c r="P71" s="7">
        <f t="shared" si="18"/>
        <v>-645757</v>
      </c>
      <c r="Q71" s="7">
        <f>VLOOKUP(B71,'75- Deferred Amortization'!A:G,3,FALSE)</f>
        <v>-2283229</v>
      </c>
      <c r="R71" s="7">
        <f>VLOOKUP(B71,'75- Deferred Amortization'!A:G,4,FALSE)</f>
        <v>-2283229</v>
      </c>
      <c r="S71" s="7">
        <f>VLOOKUP(B71,'75- Deferred Amortization'!A:G,5,FALSE)</f>
        <v>-2281283</v>
      </c>
      <c r="T71" s="7">
        <f>VLOOKUP(B71,'75- Deferred Amortization'!A:G,6,FALSE)</f>
        <v>-606912</v>
      </c>
      <c r="U71" s="7">
        <f>VLOOKUP(B71,'75- Deferred Amortization'!A:G,7,FALSE)</f>
        <v>-300976</v>
      </c>
      <c r="V71" s="7">
        <f t="shared" ref="V71:V88" si="27">ROUND(((F71-AD71)+(G71-AE71)+(H71-AF71)+(I71-AG71)+(AI71-K71)+P71-(E71-AC71)-(J71-AH71)-(L71-AJ71)-(M71-AK71)-C71),0)</f>
        <v>-2</v>
      </c>
      <c r="W71" s="7">
        <f t="shared" si="19"/>
        <v>0</v>
      </c>
      <c r="X71">
        <v>2</v>
      </c>
      <c r="AC71" s="10">
        <v>20104789</v>
      </c>
      <c r="AD71" s="10">
        <v>0</v>
      </c>
      <c r="AE71" s="10">
        <v>2162</v>
      </c>
      <c r="AF71" s="10">
        <v>0</v>
      </c>
      <c r="AG71" s="7">
        <v>1768305</v>
      </c>
      <c r="AH71" s="7">
        <v>1374854</v>
      </c>
      <c r="AI71" s="7">
        <v>0</v>
      </c>
      <c r="AJ71" s="7">
        <v>8709859</v>
      </c>
      <c r="AK71" s="7">
        <v>890100</v>
      </c>
      <c r="AM71" s="7">
        <f t="shared" si="16"/>
        <v>-353661</v>
      </c>
      <c r="AN71" s="7">
        <f t="shared" si="17"/>
        <v>2170330</v>
      </c>
      <c r="AO71" s="10">
        <f t="shared" si="20"/>
        <v>0</v>
      </c>
      <c r="AP71" s="7">
        <f t="shared" si="21"/>
        <v>-356042</v>
      </c>
      <c r="AQ71" s="10">
        <f t="shared" si="22"/>
        <v>971362</v>
      </c>
      <c r="AR71" s="7">
        <f t="shared" si="23"/>
        <v>-2634008</v>
      </c>
      <c r="AS71" s="10">
        <f t="shared" si="24"/>
        <v>104677</v>
      </c>
      <c r="AT71" s="10">
        <f t="shared" si="25"/>
        <v>11296</v>
      </c>
      <c r="AU71" s="7">
        <f t="shared" si="26"/>
        <v>0</v>
      </c>
    </row>
    <row r="72" spans="1:47" x14ac:dyDescent="0.25">
      <c r="A72" t="s">
        <v>106</v>
      </c>
      <c r="B72">
        <v>38605</v>
      </c>
      <c r="C72" s="7">
        <f>VLOOKUP(B72,'ER Contributions'!A:D,4,FALSE)</f>
        <v>762378</v>
      </c>
      <c r="D72" s="8">
        <f>VLOOKUP(B72,'ER Contributions'!A:D,3,FALSE)</f>
        <v>6.5320000000000005E-4</v>
      </c>
      <c r="E72" s="10">
        <f>VLOOKUP(B72,'75 - Summary Exhibit'!A:N,3,FALSE)</f>
        <v>20667678</v>
      </c>
      <c r="F72" s="10">
        <f>VLOOKUP(B72,'75 - Summary Exhibit'!A:N,4,FALSE)</f>
        <v>0</v>
      </c>
      <c r="G72" s="10">
        <f>VLOOKUP(B72,'75 - Summary Exhibit'!A:N,5,FALSE)</f>
        <v>13763</v>
      </c>
      <c r="H72" s="10">
        <f>VLOOKUP(B72,'75 - Summary Exhibit'!A:N,6,FALSE)</f>
        <v>993386</v>
      </c>
      <c r="I72" s="7">
        <f>VLOOKUP(B72,'75 - Summary Exhibit'!A:N,7,FALSE)</f>
        <v>0</v>
      </c>
      <c r="J72" s="7">
        <f>VLOOKUP(B72,'75 - Summary Exhibit'!A:N,8,FALSE)</f>
        <v>1041911</v>
      </c>
      <c r="K72" s="7">
        <f>VLOOKUP(B72,'75 - Summary Exhibit'!A:N,9,FALSE)</f>
        <v>0</v>
      </c>
      <c r="L72" s="7">
        <f>VLOOKUP(B72,'75 - Summary Exhibit'!A:N,10,FALSE)</f>
        <v>6213610</v>
      </c>
      <c r="M72" s="7">
        <f>VLOOKUP(B72,'75 - Summary Exhibit'!A:N,11,FALSE)</f>
        <v>2595917</v>
      </c>
      <c r="N72" s="7">
        <f>VLOOKUP(B72,'75 - Summary Exhibit'!A:N,12,FALSE)</f>
        <v>-305086</v>
      </c>
      <c r="O72" s="7">
        <f>VLOOKUP(B72,'75 - Summary Exhibit'!A:N,13,FALSE)</f>
        <v>-649614</v>
      </c>
      <c r="P72" s="7">
        <f t="shared" si="18"/>
        <v>-954700</v>
      </c>
      <c r="Q72" s="7">
        <f>VLOOKUP(B72,'75- Deferred Amortization'!A:G,3,FALSE)</f>
        <v>-2629299</v>
      </c>
      <c r="R72" s="7">
        <f>VLOOKUP(B72,'75- Deferred Amortization'!A:G,4,FALSE)</f>
        <v>-2629299</v>
      </c>
      <c r="S72" s="7">
        <f>VLOOKUP(B72,'75- Deferred Amortization'!A:G,5,FALSE)</f>
        <v>-2627309</v>
      </c>
      <c r="T72" s="7">
        <f>VLOOKUP(B72,'75- Deferred Amortization'!A:G,6,FALSE)</f>
        <v>-860058</v>
      </c>
      <c r="U72" s="7">
        <f>VLOOKUP(B72,'75- Deferred Amortization'!A:G,7,FALSE)</f>
        <v>-98325</v>
      </c>
      <c r="V72" s="7">
        <f t="shared" si="27"/>
        <v>0</v>
      </c>
      <c r="W72" s="7">
        <f t="shared" si="19"/>
        <v>1</v>
      </c>
      <c r="X72">
        <v>2</v>
      </c>
      <c r="AC72" s="10">
        <v>19755709</v>
      </c>
      <c r="AD72" s="10">
        <v>0</v>
      </c>
      <c r="AE72" s="10">
        <v>2125</v>
      </c>
      <c r="AF72" s="10">
        <v>0</v>
      </c>
      <c r="AG72" s="7">
        <v>0</v>
      </c>
      <c r="AH72" s="7">
        <v>1350983</v>
      </c>
      <c r="AI72" s="7">
        <v>0</v>
      </c>
      <c r="AJ72" s="7">
        <v>8558629</v>
      </c>
      <c r="AK72" s="7">
        <v>1565849</v>
      </c>
      <c r="AM72" s="7">
        <f t="shared" si="16"/>
        <v>0</v>
      </c>
      <c r="AN72" s="7">
        <f t="shared" si="17"/>
        <v>1030068</v>
      </c>
      <c r="AO72" s="10">
        <f t="shared" si="20"/>
        <v>0</v>
      </c>
      <c r="AP72" s="7">
        <f t="shared" si="21"/>
        <v>-309072</v>
      </c>
      <c r="AQ72" s="10">
        <f t="shared" si="22"/>
        <v>993386</v>
      </c>
      <c r="AR72" s="7">
        <f t="shared" si="23"/>
        <v>-2345019</v>
      </c>
      <c r="AS72" s="10">
        <f t="shared" si="24"/>
        <v>911969</v>
      </c>
      <c r="AT72" s="10">
        <f t="shared" si="25"/>
        <v>11638</v>
      </c>
      <c r="AU72" s="7">
        <f t="shared" si="26"/>
        <v>0</v>
      </c>
    </row>
    <row r="73" spans="1:47" x14ac:dyDescent="0.25">
      <c r="A73" t="s">
        <v>64</v>
      </c>
      <c r="B73">
        <v>32005</v>
      </c>
      <c r="C73" s="7">
        <f>VLOOKUP(B73,'ER Contributions'!A:D,4,FALSE)</f>
        <v>308212</v>
      </c>
      <c r="D73" s="8">
        <f>VLOOKUP(B73,'ER Contributions'!A:D,3,FALSE)</f>
        <v>2.6140000000000001E-4</v>
      </c>
      <c r="E73" s="10">
        <f>VLOOKUP(B73,'75 - Summary Exhibit'!A:N,3,FALSE)</f>
        <v>8270540</v>
      </c>
      <c r="F73" s="10">
        <f>VLOOKUP(B73,'75 - Summary Exhibit'!A:N,4,FALSE)</f>
        <v>0</v>
      </c>
      <c r="G73" s="10">
        <f>VLOOKUP(B73,'75 - Summary Exhibit'!A:N,5,FALSE)</f>
        <v>5508</v>
      </c>
      <c r="H73" s="10">
        <f>VLOOKUP(B73,'75 - Summary Exhibit'!A:N,6,FALSE)</f>
        <v>397521</v>
      </c>
      <c r="I73" s="7">
        <f>VLOOKUP(B73,'75 - Summary Exhibit'!A:N,7,FALSE)</f>
        <v>314156</v>
      </c>
      <c r="J73" s="7">
        <f>VLOOKUP(B73,'75 - Summary Exhibit'!A:N,8,FALSE)</f>
        <v>416939</v>
      </c>
      <c r="K73" s="7">
        <f>VLOOKUP(B73,'75 - Summary Exhibit'!A:N,9,FALSE)</f>
        <v>0</v>
      </c>
      <c r="L73" s="7">
        <f>VLOOKUP(B73,'75 - Summary Exhibit'!A:N,10,FALSE)</f>
        <v>2486487</v>
      </c>
      <c r="M73" s="7">
        <f>VLOOKUP(B73,'75 - Summary Exhibit'!A:N,11,FALSE)</f>
        <v>924590</v>
      </c>
      <c r="N73" s="7">
        <f>VLOOKUP(B73,'75 - Summary Exhibit'!A:N,12,FALSE)</f>
        <v>-122085</v>
      </c>
      <c r="O73" s="7">
        <f>VLOOKUP(B73,'75 - Summary Exhibit'!A:N,13,FALSE)</f>
        <v>-132876</v>
      </c>
      <c r="P73" s="7">
        <f t="shared" si="18"/>
        <v>-254961</v>
      </c>
      <c r="Q73" s="7">
        <f>VLOOKUP(B73,'75- Deferred Amortization'!A:G,3,FALSE)</f>
        <v>-925081</v>
      </c>
      <c r="R73" s="7">
        <f>VLOOKUP(B73,'75- Deferred Amortization'!A:G,4,FALSE)</f>
        <v>-925081</v>
      </c>
      <c r="S73" s="7">
        <f>VLOOKUP(B73,'75- Deferred Amortization'!A:G,5,FALSE)</f>
        <v>-924285</v>
      </c>
      <c r="T73" s="7">
        <f>VLOOKUP(B73,'75- Deferred Amortization'!A:G,6,FALSE)</f>
        <v>-263890</v>
      </c>
      <c r="U73" s="7">
        <f>VLOOKUP(B73,'75- Deferred Amortization'!A:G,7,FALSE)</f>
        <v>-72495</v>
      </c>
      <c r="V73" s="7">
        <f t="shared" si="27"/>
        <v>0</v>
      </c>
      <c r="W73" s="7">
        <f t="shared" si="19"/>
        <v>1</v>
      </c>
      <c r="X73">
        <v>2</v>
      </c>
      <c r="AC73" s="10">
        <v>8040146</v>
      </c>
      <c r="AD73" s="10">
        <v>0</v>
      </c>
      <c r="AE73" s="10">
        <v>865</v>
      </c>
      <c r="AF73" s="10">
        <v>0</v>
      </c>
      <c r="AG73" s="7">
        <v>392695</v>
      </c>
      <c r="AH73" s="7">
        <v>549821</v>
      </c>
      <c r="AI73" s="7">
        <v>0</v>
      </c>
      <c r="AJ73" s="7">
        <v>3483177</v>
      </c>
      <c r="AK73" s="7">
        <v>264960</v>
      </c>
      <c r="AM73" s="7">
        <f t="shared" si="16"/>
        <v>-78539</v>
      </c>
      <c r="AN73" s="7">
        <f t="shared" si="17"/>
        <v>659630</v>
      </c>
      <c r="AO73" s="10">
        <f t="shared" si="20"/>
        <v>0</v>
      </c>
      <c r="AP73" s="7">
        <f t="shared" si="21"/>
        <v>-132882</v>
      </c>
      <c r="AQ73" s="10">
        <f t="shared" si="22"/>
        <v>397521</v>
      </c>
      <c r="AR73" s="7">
        <f t="shared" si="23"/>
        <v>-996690</v>
      </c>
      <c r="AS73" s="10">
        <f t="shared" si="24"/>
        <v>230394</v>
      </c>
      <c r="AT73" s="10">
        <f t="shared" si="25"/>
        <v>4643</v>
      </c>
      <c r="AU73" s="7">
        <f t="shared" si="26"/>
        <v>0</v>
      </c>
    </row>
    <row r="74" spans="1:47" x14ac:dyDescent="0.25">
      <c r="A74" t="s">
        <v>107</v>
      </c>
      <c r="B74">
        <v>39105</v>
      </c>
      <c r="C74" s="7">
        <f>VLOOKUP(B74,'ER Contributions'!A:D,4,FALSE)</f>
        <v>758977</v>
      </c>
      <c r="D74" s="8">
        <f>VLOOKUP(B74,'ER Contributions'!A:D,3,FALSE)</f>
        <v>6.5289999999999999E-4</v>
      </c>
      <c r="E74" s="10">
        <f>VLOOKUP(B74,'75 - Summary Exhibit'!A:N,3,FALSE)</f>
        <v>20658857</v>
      </c>
      <c r="F74" s="10">
        <f>VLOOKUP(B74,'75 - Summary Exhibit'!A:N,4,FALSE)</f>
        <v>0</v>
      </c>
      <c r="G74" s="10">
        <f>VLOOKUP(B74,'75 - Summary Exhibit'!A:N,5,FALSE)</f>
        <v>13757</v>
      </c>
      <c r="H74" s="10">
        <f>VLOOKUP(B74,'75 - Summary Exhibit'!A:N,6,FALSE)</f>
        <v>992962</v>
      </c>
      <c r="I74" s="7">
        <f>VLOOKUP(B74,'75 - Summary Exhibit'!A:N,7,FALSE)</f>
        <v>0</v>
      </c>
      <c r="J74" s="7">
        <f>VLOOKUP(B74,'75 - Summary Exhibit'!A:N,8,FALSE)</f>
        <v>1041467</v>
      </c>
      <c r="K74" s="7">
        <f>VLOOKUP(B74,'75 - Summary Exhibit'!A:N,9,FALSE)</f>
        <v>0</v>
      </c>
      <c r="L74" s="7">
        <f>VLOOKUP(B74,'75 - Summary Exhibit'!A:N,10,FALSE)</f>
        <v>6210958</v>
      </c>
      <c r="M74" s="7">
        <f>VLOOKUP(B74,'75 - Summary Exhibit'!A:N,11,FALSE)</f>
        <v>6966339</v>
      </c>
      <c r="N74" s="7">
        <f>VLOOKUP(B74,'75 - Summary Exhibit'!A:N,12,FALSE)</f>
        <v>-304955</v>
      </c>
      <c r="O74" s="7">
        <f>VLOOKUP(B74,'75 - Summary Exhibit'!A:N,13,FALSE)</f>
        <v>-1631724</v>
      </c>
      <c r="P74" s="7">
        <f t="shared" si="18"/>
        <v>-1936679</v>
      </c>
      <c r="Q74" s="7">
        <f>VLOOKUP(B74,'75- Deferred Amortization'!A:G,3,FALSE)</f>
        <v>-3610566</v>
      </c>
      <c r="R74" s="7">
        <f>VLOOKUP(B74,'75- Deferred Amortization'!A:G,4,FALSE)</f>
        <v>-3610566</v>
      </c>
      <c r="S74" s="7">
        <f>VLOOKUP(B74,'75- Deferred Amortization'!A:G,5,FALSE)</f>
        <v>-3608577</v>
      </c>
      <c r="T74" s="7">
        <f>VLOOKUP(B74,'75- Deferred Amortization'!A:G,6,FALSE)</f>
        <v>-1662708</v>
      </c>
      <c r="U74" s="7">
        <f>VLOOKUP(B74,'75- Deferred Amortization'!A:G,7,FALSE)</f>
        <v>-719628</v>
      </c>
      <c r="V74" s="7">
        <f t="shared" si="27"/>
        <v>0</v>
      </c>
      <c r="W74" s="7">
        <f t="shared" si="19"/>
        <v>0</v>
      </c>
      <c r="X74">
        <v>2</v>
      </c>
      <c r="AC74" s="10">
        <v>22228128</v>
      </c>
      <c r="AD74" s="10">
        <v>0</v>
      </c>
      <c r="AE74" s="10">
        <v>2391</v>
      </c>
      <c r="AF74" s="10">
        <v>0</v>
      </c>
      <c r="AG74" s="7">
        <v>0</v>
      </c>
      <c r="AH74" s="7">
        <v>1520057</v>
      </c>
      <c r="AI74" s="7">
        <v>0</v>
      </c>
      <c r="AJ74" s="7">
        <v>9629738</v>
      </c>
      <c r="AK74" s="7">
        <v>3191026</v>
      </c>
      <c r="AM74" s="7">
        <f t="shared" si="16"/>
        <v>0</v>
      </c>
      <c r="AN74" s="7">
        <f t="shared" si="17"/>
        <v>3775313</v>
      </c>
      <c r="AO74" s="10">
        <f t="shared" si="20"/>
        <v>0</v>
      </c>
      <c r="AP74" s="7">
        <f t="shared" si="21"/>
        <v>-478590</v>
      </c>
      <c r="AQ74" s="10">
        <f t="shared" si="22"/>
        <v>992962</v>
      </c>
      <c r="AR74" s="7">
        <f t="shared" si="23"/>
        <v>-3418780</v>
      </c>
      <c r="AS74" s="10">
        <f t="shared" si="24"/>
        <v>-1569271</v>
      </c>
      <c r="AT74" s="10">
        <f t="shared" si="25"/>
        <v>11366</v>
      </c>
      <c r="AU74" s="7">
        <f t="shared" si="26"/>
        <v>0</v>
      </c>
    </row>
    <row r="75" spans="1:47" x14ac:dyDescent="0.25">
      <c r="A75" t="s">
        <v>108</v>
      </c>
      <c r="B75">
        <v>39205</v>
      </c>
      <c r="C75" s="7">
        <f>VLOOKUP(B75,'ER Contributions'!A:D,4,FALSE)</f>
        <v>5312782</v>
      </c>
      <c r="D75" s="8">
        <f>VLOOKUP(B75,'ER Contributions'!A:D,3,FALSE)</f>
        <v>4.7543999999999998E-3</v>
      </c>
      <c r="E75" s="10">
        <f>VLOOKUP(B75,'75 - Summary Exhibit'!A:N,3,FALSE)</f>
        <v>150427580</v>
      </c>
      <c r="F75" s="10">
        <f>VLOOKUP(B75,'75 - Summary Exhibit'!A:N,4,FALSE)</f>
        <v>0</v>
      </c>
      <c r="G75" s="10">
        <f>VLOOKUP(B75,'75 - Summary Exhibit'!A:N,5,FALSE)</f>
        <v>100173</v>
      </c>
      <c r="H75" s="10">
        <f>VLOOKUP(B75,'75 - Summary Exhibit'!A:N,6,FALSE)</f>
        <v>7230258</v>
      </c>
      <c r="I75" s="7">
        <f>VLOOKUP(B75,'75 - Summary Exhibit'!A:N,7,FALSE)</f>
        <v>11311888</v>
      </c>
      <c r="J75" s="7">
        <f>VLOOKUP(B75,'75 - Summary Exhibit'!A:N,8,FALSE)</f>
        <v>7583445</v>
      </c>
      <c r="K75" s="7">
        <f>VLOOKUP(B75,'75 - Summary Exhibit'!A:N,9,FALSE)</f>
        <v>0</v>
      </c>
      <c r="L75" s="7">
        <f>VLOOKUP(B75,'75 - Summary Exhibit'!A:N,10,FALSE)</f>
        <v>45225123</v>
      </c>
      <c r="M75" s="7">
        <f>VLOOKUP(B75,'75 - Summary Exhibit'!A:N,11,FALSE)</f>
        <v>0</v>
      </c>
      <c r="N75" s="7">
        <f>VLOOKUP(B75,'75 - Summary Exhibit'!A:N,12,FALSE)</f>
        <v>-2220535</v>
      </c>
      <c r="O75" s="7">
        <f>VLOOKUP(B75,'75 - Summary Exhibit'!A:N,13,FALSE)</f>
        <v>2813848</v>
      </c>
      <c r="P75" s="7">
        <f t="shared" si="18"/>
        <v>593313</v>
      </c>
      <c r="Q75" s="7">
        <f>VLOOKUP(B75,'75- Deferred Amortization'!A:G,3,FALSE)</f>
        <v>-11595085</v>
      </c>
      <c r="R75" s="7">
        <f>VLOOKUP(B75,'75- Deferred Amortization'!A:G,4,FALSE)</f>
        <v>-11595085</v>
      </c>
      <c r="S75" s="7">
        <f>VLOOKUP(B75,'75- Deferred Amortization'!A:G,5,FALSE)</f>
        <v>-11580601</v>
      </c>
      <c r="T75" s="7">
        <f>VLOOKUP(B75,'75- Deferred Amortization'!A:G,6,FALSE)</f>
        <v>-1353406</v>
      </c>
      <c r="U75" s="7">
        <f>VLOOKUP(B75,'75- Deferred Amortization'!A:G,7,FALSE)</f>
        <v>1957927</v>
      </c>
      <c r="V75" s="7">
        <f t="shared" si="27"/>
        <v>1</v>
      </c>
      <c r="W75" s="7">
        <f t="shared" si="19"/>
        <v>1</v>
      </c>
      <c r="X75">
        <v>2</v>
      </c>
      <c r="AC75" s="10">
        <v>132949041</v>
      </c>
      <c r="AD75" s="10">
        <v>0</v>
      </c>
      <c r="AE75" s="10">
        <v>14298</v>
      </c>
      <c r="AF75" s="10">
        <v>0</v>
      </c>
      <c r="AG75" s="7">
        <v>10309680</v>
      </c>
      <c r="AH75" s="7">
        <v>9091642</v>
      </c>
      <c r="AI75" s="7">
        <v>0</v>
      </c>
      <c r="AJ75" s="7">
        <v>57596594</v>
      </c>
      <c r="AK75" s="7">
        <v>0</v>
      </c>
      <c r="AM75" s="7">
        <f t="shared" si="16"/>
        <v>1002208</v>
      </c>
      <c r="AN75" s="7">
        <f t="shared" si="17"/>
        <v>0</v>
      </c>
      <c r="AO75" s="10">
        <f t="shared" si="20"/>
        <v>0</v>
      </c>
      <c r="AP75" s="7">
        <f t="shared" si="21"/>
        <v>-1508197</v>
      </c>
      <c r="AQ75" s="10">
        <f t="shared" si="22"/>
        <v>7230258</v>
      </c>
      <c r="AR75" s="7">
        <f t="shared" si="23"/>
        <v>-12371471</v>
      </c>
      <c r="AS75" s="10">
        <f t="shared" si="24"/>
        <v>17478539</v>
      </c>
      <c r="AT75" s="10">
        <f t="shared" si="25"/>
        <v>85875</v>
      </c>
      <c r="AU75" s="7">
        <f t="shared" si="26"/>
        <v>0</v>
      </c>
    </row>
    <row r="76" spans="1:47" x14ac:dyDescent="0.25">
      <c r="A76" t="s">
        <v>109</v>
      </c>
      <c r="B76">
        <v>39605</v>
      </c>
      <c r="C76" s="7">
        <f>VLOOKUP(B76,'ER Contributions'!A:D,4,FALSE)</f>
        <v>934844</v>
      </c>
      <c r="D76" s="8">
        <f>VLOOKUP(B76,'ER Contributions'!A:D,3,FALSE)</f>
        <v>8.1519999999999997E-4</v>
      </c>
      <c r="E76" s="10">
        <f>VLOOKUP(B76,'75 - Summary Exhibit'!A:N,3,FALSE)</f>
        <v>25793597</v>
      </c>
      <c r="F76" s="10">
        <f>VLOOKUP(B76,'75 - Summary Exhibit'!A:N,4,FALSE)</f>
        <v>0</v>
      </c>
      <c r="G76" s="10">
        <f>VLOOKUP(B76,'75 - Summary Exhibit'!A:N,5,FALSE)</f>
        <v>17176</v>
      </c>
      <c r="H76" s="10">
        <f>VLOOKUP(B76,'75 - Summary Exhibit'!A:N,6,FALSE)</f>
        <v>1239762</v>
      </c>
      <c r="I76" s="7">
        <f>VLOOKUP(B76,'75 - Summary Exhibit'!A:N,7,FALSE)</f>
        <v>1640572</v>
      </c>
      <c r="J76" s="7">
        <f>VLOOKUP(B76,'75 - Summary Exhibit'!A:N,8,FALSE)</f>
        <v>1300322</v>
      </c>
      <c r="K76" s="7">
        <f>VLOOKUP(B76,'75 - Summary Exhibit'!A:N,9,FALSE)</f>
        <v>0</v>
      </c>
      <c r="L76" s="7">
        <f>VLOOKUP(B76,'75 - Summary Exhibit'!A:N,10,FALSE)</f>
        <v>7754686</v>
      </c>
      <c r="M76" s="7">
        <f>VLOOKUP(B76,'75 - Summary Exhibit'!A:N,11,FALSE)</f>
        <v>1230151</v>
      </c>
      <c r="N76" s="7">
        <f>VLOOKUP(B76,'75 - Summary Exhibit'!A:N,12,FALSE)</f>
        <v>-380752</v>
      </c>
      <c r="O76" s="7">
        <f>VLOOKUP(B76,'75 - Summary Exhibit'!A:N,13,FALSE)</f>
        <v>126490</v>
      </c>
      <c r="P76" s="7">
        <f t="shared" si="18"/>
        <v>-254262</v>
      </c>
      <c r="Q76" s="7">
        <f>VLOOKUP(B76,'75- Deferred Amortization'!A:G,3,FALSE)</f>
        <v>-2344188</v>
      </c>
      <c r="R76" s="7">
        <f>VLOOKUP(B76,'75- Deferred Amortization'!A:G,4,FALSE)</f>
        <v>-2344188</v>
      </c>
      <c r="S76" s="7">
        <f>VLOOKUP(B76,'75- Deferred Amortization'!A:G,5,FALSE)</f>
        <v>-2341705</v>
      </c>
      <c r="T76" s="7">
        <f>VLOOKUP(B76,'75- Deferred Amortization'!A:G,6,FALSE)</f>
        <v>-394638</v>
      </c>
      <c r="U76" s="7">
        <f>VLOOKUP(B76,'75- Deferred Amortization'!A:G,7,FALSE)</f>
        <v>37071</v>
      </c>
      <c r="V76" s="7">
        <f t="shared" si="27"/>
        <v>0</v>
      </c>
      <c r="W76" s="7">
        <f t="shared" si="19"/>
        <v>-1</v>
      </c>
      <c r="X76">
        <v>2</v>
      </c>
      <c r="AC76" s="10">
        <v>24005888</v>
      </c>
      <c r="AD76" s="10">
        <v>0</v>
      </c>
      <c r="AE76" s="10">
        <v>2582</v>
      </c>
      <c r="AF76" s="10">
        <v>0</v>
      </c>
      <c r="AG76" s="7">
        <v>2050715</v>
      </c>
      <c r="AH76" s="7">
        <v>1641628</v>
      </c>
      <c r="AI76" s="7">
        <v>0</v>
      </c>
      <c r="AJ76" s="7">
        <v>10399905</v>
      </c>
      <c r="AK76" s="7">
        <v>376228</v>
      </c>
      <c r="AM76" s="7">
        <f t="shared" si="16"/>
        <v>-410143</v>
      </c>
      <c r="AN76" s="7">
        <f t="shared" si="17"/>
        <v>853923</v>
      </c>
      <c r="AO76" s="10">
        <f t="shared" si="20"/>
        <v>0</v>
      </c>
      <c r="AP76" s="7">
        <f t="shared" si="21"/>
        <v>-341306</v>
      </c>
      <c r="AQ76" s="10">
        <f t="shared" si="22"/>
        <v>1239762</v>
      </c>
      <c r="AR76" s="7">
        <f t="shared" si="23"/>
        <v>-2645219</v>
      </c>
      <c r="AS76" s="10">
        <f t="shared" si="24"/>
        <v>1787709</v>
      </c>
      <c r="AT76" s="10">
        <f t="shared" si="25"/>
        <v>14594</v>
      </c>
      <c r="AU76" s="7">
        <f t="shared" si="26"/>
        <v>0</v>
      </c>
    </row>
    <row r="77" spans="1:47" x14ac:dyDescent="0.25">
      <c r="A77" t="s">
        <v>60</v>
      </c>
      <c r="B77">
        <v>31205</v>
      </c>
      <c r="C77" s="7">
        <f>VLOOKUP(B77,'ER Contributions'!A:D,4,FALSE)</f>
        <v>519724</v>
      </c>
      <c r="D77" s="8">
        <f>VLOOKUP(B77,'ER Contributions'!A:D,3,FALSE)</f>
        <v>4.2180000000000001E-4</v>
      </c>
      <c r="E77" s="10">
        <f>VLOOKUP(B77,'75 - Summary Exhibit'!A:N,3,FALSE)</f>
        <v>13346911</v>
      </c>
      <c r="F77" s="10">
        <f>VLOOKUP(B77,'75 - Summary Exhibit'!A:N,4,FALSE)</f>
        <v>0</v>
      </c>
      <c r="G77" s="10">
        <f>VLOOKUP(B77,'75 - Summary Exhibit'!A:N,5,FALSE)</f>
        <v>8888</v>
      </c>
      <c r="H77" s="10">
        <f>VLOOKUP(B77,'75 - Summary Exhibit'!A:N,6,FALSE)</f>
        <v>641515</v>
      </c>
      <c r="I77" s="7">
        <f>VLOOKUP(B77,'75 - Summary Exhibit'!A:N,7,FALSE)</f>
        <v>0</v>
      </c>
      <c r="J77" s="7">
        <f>VLOOKUP(B77,'75 - Summary Exhibit'!A:N,8,FALSE)</f>
        <v>672852</v>
      </c>
      <c r="K77" s="7">
        <f>VLOOKUP(B77,'75 - Summary Exhibit'!A:N,9,FALSE)</f>
        <v>0</v>
      </c>
      <c r="L77" s="7">
        <f>VLOOKUP(B77,'75 - Summary Exhibit'!A:N,10,FALSE)</f>
        <v>4012667</v>
      </c>
      <c r="M77" s="7">
        <f>VLOOKUP(B77,'75 - Summary Exhibit'!A:N,11,FALSE)</f>
        <v>2100735</v>
      </c>
      <c r="N77" s="7">
        <f>VLOOKUP(B77,'75 - Summary Exhibit'!A:N,12,FALSE)</f>
        <v>-197020</v>
      </c>
      <c r="O77" s="7">
        <f>VLOOKUP(B77,'75 - Summary Exhibit'!A:N,13,FALSE)</f>
        <v>-575039</v>
      </c>
      <c r="P77" s="7">
        <f t="shared" si="18"/>
        <v>-772059</v>
      </c>
      <c r="Q77" s="7">
        <f>VLOOKUP(B77,'75- Deferred Amortization'!A:G,3,FALSE)</f>
        <v>-1853491</v>
      </c>
      <c r="R77" s="7">
        <f>VLOOKUP(B77,'75- Deferred Amortization'!A:G,4,FALSE)</f>
        <v>-1853491</v>
      </c>
      <c r="S77" s="7">
        <f>VLOOKUP(B77,'75- Deferred Amortization'!A:G,5,FALSE)</f>
        <v>-1852206</v>
      </c>
      <c r="T77" s="7">
        <f>VLOOKUP(B77,'75- Deferred Amortization'!A:G,6,FALSE)</f>
        <v>-514968</v>
      </c>
      <c r="U77" s="7">
        <f>VLOOKUP(B77,'75- Deferred Amortization'!A:G,7,FALSE)</f>
        <v>-61695</v>
      </c>
      <c r="V77" s="7">
        <f t="shared" si="27"/>
        <v>0</v>
      </c>
      <c r="W77" s="7">
        <f t="shared" si="19"/>
        <v>0</v>
      </c>
      <c r="X77">
        <v>2</v>
      </c>
      <c r="AC77" s="10">
        <v>12769016</v>
      </c>
      <c r="AD77" s="10">
        <v>0</v>
      </c>
      <c r="AE77" s="10">
        <v>1373</v>
      </c>
      <c r="AF77" s="10">
        <v>0</v>
      </c>
      <c r="AG77" s="7">
        <v>0</v>
      </c>
      <c r="AH77" s="7">
        <v>873202</v>
      </c>
      <c r="AI77" s="7">
        <v>0</v>
      </c>
      <c r="AJ77" s="7">
        <v>5531833</v>
      </c>
      <c r="AK77" s="7">
        <v>1601867</v>
      </c>
      <c r="AM77" s="7">
        <f t="shared" ref="AM77:AM85" si="28">I77-AG77</f>
        <v>0</v>
      </c>
      <c r="AN77" s="7">
        <f t="shared" ref="AN77:AN85" si="29">M77-AK77</f>
        <v>498868</v>
      </c>
      <c r="AO77" s="10">
        <f t="shared" si="20"/>
        <v>0</v>
      </c>
      <c r="AP77" s="7">
        <f t="shared" si="21"/>
        <v>-200350</v>
      </c>
      <c r="AQ77" s="10">
        <f t="shared" si="22"/>
        <v>641515</v>
      </c>
      <c r="AR77" s="7">
        <f t="shared" si="23"/>
        <v>-1519166</v>
      </c>
      <c r="AS77" s="10">
        <f t="shared" si="24"/>
        <v>577895</v>
      </c>
      <c r="AT77" s="10">
        <f t="shared" si="25"/>
        <v>7515</v>
      </c>
      <c r="AU77" s="7">
        <f t="shared" si="26"/>
        <v>0</v>
      </c>
    </row>
    <row r="78" spans="1:47" x14ac:dyDescent="0.25">
      <c r="A78" t="s">
        <v>110</v>
      </c>
      <c r="B78">
        <v>39705</v>
      </c>
      <c r="C78" s="7">
        <f>VLOOKUP(B78,'ER Contributions'!A:D,4,FALSE)</f>
        <v>889287</v>
      </c>
      <c r="D78" s="8">
        <f>VLOOKUP(B78,'ER Contributions'!A:D,3,FALSE)</f>
        <v>7.607E-4</v>
      </c>
      <c r="E78" s="10">
        <f>VLOOKUP(B78,'75 - Summary Exhibit'!A:N,3,FALSE)</f>
        <v>24069237</v>
      </c>
      <c r="F78" s="10">
        <f>VLOOKUP(B78,'75 - Summary Exhibit'!A:N,4,FALSE)</f>
        <v>0</v>
      </c>
      <c r="G78" s="10">
        <f>VLOOKUP(B78,'75 - Summary Exhibit'!A:N,5,FALSE)</f>
        <v>16028</v>
      </c>
      <c r="H78" s="10">
        <f>VLOOKUP(B78,'75 - Summary Exhibit'!A:N,6,FALSE)</f>
        <v>1156881</v>
      </c>
      <c r="I78" s="7">
        <f>VLOOKUP(B78,'75 - Summary Exhibit'!A:N,7,FALSE)</f>
        <v>575308</v>
      </c>
      <c r="J78" s="7">
        <f>VLOOKUP(B78,'75 - Summary Exhibit'!A:N,8,FALSE)</f>
        <v>1213393</v>
      </c>
      <c r="K78" s="7">
        <f>VLOOKUP(B78,'75 - Summary Exhibit'!A:N,9,FALSE)</f>
        <v>0</v>
      </c>
      <c r="L78" s="7">
        <f>VLOOKUP(B78,'75 - Summary Exhibit'!A:N,10,FALSE)</f>
        <v>7236268</v>
      </c>
      <c r="M78" s="7">
        <f>VLOOKUP(B78,'75 - Summary Exhibit'!A:N,11,FALSE)</f>
        <v>1074365</v>
      </c>
      <c r="N78" s="7">
        <f>VLOOKUP(B78,'75 - Summary Exhibit'!A:N,12,FALSE)</f>
        <v>-355298</v>
      </c>
      <c r="O78" s="7">
        <f>VLOOKUP(B78,'75 - Summary Exhibit'!A:N,13,FALSE)</f>
        <v>-199182</v>
      </c>
      <c r="P78" s="7">
        <f t="shared" si="18"/>
        <v>-554480</v>
      </c>
      <c r="Q78" s="7">
        <f>VLOOKUP(B78,'75- Deferred Amortization'!A:G,3,FALSE)</f>
        <v>-2504688</v>
      </c>
      <c r="R78" s="7">
        <f>VLOOKUP(B78,'75- Deferred Amortization'!A:G,4,FALSE)</f>
        <v>-2504688</v>
      </c>
      <c r="S78" s="7">
        <f>VLOOKUP(B78,'75- Deferred Amortization'!A:G,5,FALSE)</f>
        <v>-2502371</v>
      </c>
      <c r="T78" s="7">
        <f>VLOOKUP(B78,'75- Deferred Amortization'!A:G,6,FALSE)</f>
        <v>-452904</v>
      </c>
      <c r="U78" s="7">
        <f>VLOOKUP(B78,'75- Deferred Amortization'!A:G,7,FALSE)</f>
        <v>188842</v>
      </c>
      <c r="V78" s="7">
        <f t="shared" si="27"/>
        <v>0</v>
      </c>
      <c r="W78" s="7">
        <f t="shared" si="19"/>
        <v>0</v>
      </c>
      <c r="X78">
        <v>2</v>
      </c>
      <c r="AC78" s="10">
        <v>21795943</v>
      </c>
      <c r="AD78" s="10">
        <v>0</v>
      </c>
      <c r="AE78" s="10">
        <v>2344</v>
      </c>
      <c r="AF78" s="10">
        <v>0</v>
      </c>
      <c r="AG78" s="7">
        <v>719135</v>
      </c>
      <c r="AH78" s="7">
        <v>1490503</v>
      </c>
      <c r="AI78" s="7">
        <v>0</v>
      </c>
      <c r="AJ78" s="7">
        <v>9442506</v>
      </c>
      <c r="AK78" s="7">
        <v>1281340</v>
      </c>
      <c r="AM78" s="7">
        <f t="shared" si="28"/>
        <v>-143827</v>
      </c>
      <c r="AN78" s="7">
        <f t="shared" si="29"/>
        <v>-206975</v>
      </c>
      <c r="AO78" s="10">
        <f t="shared" si="20"/>
        <v>0</v>
      </c>
      <c r="AP78" s="7">
        <f t="shared" si="21"/>
        <v>-277110</v>
      </c>
      <c r="AQ78" s="10">
        <f t="shared" si="22"/>
        <v>1156881</v>
      </c>
      <c r="AR78" s="7">
        <f t="shared" si="23"/>
        <v>-2206238</v>
      </c>
      <c r="AS78" s="10">
        <f t="shared" si="24"/>
        <v>2273294</v>
      </c>
      <c r="AT78" s="10">
        <f t="shared" si="25"/>
        <v>13684</v>
      </c>
      <c r="AU78" s="7">
        <f t="shared" si="26"/>
        <v>0</v>
      </c>
    </row>
    <row r="79" spans="1:47" x14ac:dyDescent="0.25">
      <c r="A79" t="s">
        <v>111</v>
      </c>
      <c r="B79">
        <v>39805</v>
      </c>
      <c r="C79" s="7">
        <f>VLOOKUP(B79,'ER Contributions'!A:D,4,FALSE)</f>
        <v>492684</v>
      </c>
      <c r="D79" s="8">
        <f>VLOOKUP(B79,'ER Contributions'!A:D,3,FALSE)</f>
        <v>4.1879999999999999E-4</v>
      </c>
      <c r="E79" s="10">
        <f>VLOOKUP(B79,'75 - Summary Exhibit'!A:N,3,FALSE)</f>
        <v>13249934</v>
      </c>
      <c r="F79" s="10">
        <f>VLOOKUP(B79,'75 - Summary Exhibit'!A:N,4,FALSE)</f>
        <v>0</v>
      </c>
      <c r="G79" s="10">
        <f>VLOOKUP(B79,'75 - Summary Exhibit'!A:N,5,FALSE)</f>
        <v>8823</v>
      </c>
      <c r="H79" s="10">
        <f>VLOOKUP(B79,'75 - Summary Exhibit'!A:N,6,FALSE)</f>
        <v>636854</v>
      </c>
      <c r="I79" s="7">
        <f>VLOOKUP(B79,'75 - Summary Exhibit'!A:N,7,FALSE)</f>
        <v>541585</v>
      </c>
      <c r="J79" s="7">
        <f>VLOOKUP(B79,'75 - Summary Exhibit'!A:N,8,FALSE)</f>
        <v>667964</v>
      </c>
      <c r="K79" s="7">
        <f>VLOOKUP(B79,'75 - Summary Exhibit'!A:N,9,FALSE)</f>
        <v>0</v>
      </c>
      <c r="L79" s="7">
        <f>VLOOKUP(B79,'75 - Summary Exhibit'!A:N,10,FALSE)</f>
        <v>3983511</v>
      </c>
      <c r="M79" s="7">
        <f>VLOOKUP(B79,'75 - Summary Exhibit'!A:N,11,FALSE)</f>
        <v>367964</v>
      </c>
      <c r="N79" s="7">
        <f>VLOOKUP(B79,'75 - Summary Exhibit'!A:N,12,FALSE)</f>
        <v>-195589</v>
      </c>
      <c r="O79" s="7">
        <f>VLOOKUP(B79,'75 - Summary Exhibit'!A:N,13,FALSE)</f>
        <v>7216</v>
      </c>
      <c r="P79" s="7">
        <f t="shared" si="18"/>
        <v>-188373</v>
      </c>
      <c r="Q79" s="7">
        <f>VLOOKUP(B79,'75- Deferred Amortization'!A:G,3,FALSE)</f>
        <v>-1261948</v>
      </c>
      <c r="R79" s="7">
        <f>VLOOKUP(B79,'75- Deferred Amortization'!A:G,4,FALSE)</f>
        <v>-1261948</v>
      </c>
      <c r="S79" s="7">
        <f>VLOOKUP(B79,'75- Deferred Amortization'!A:G,5,FALSE)</f>
        <v>-1260672</v>
      </c>
      <c r="T79" s="7">
        <f>VLOOKUP(B79,'75- Deferred Amortization'!A:G,6,FALSE)</f>
        <v>-272362</v>
      </c>
      <c r="U79" s="7">
        <f>VLOOKUP(B79,'75- Deferred Amortization'!A:G,7,FALSE)</f>
        <v>224754</v>
      </c>
      <c r="V79" s="7">
        <f t="shared" si="27"/>
        <v>-1</v>
      </c>
      <c r="W79" s="7">
        <f t="shared" si="19"/>
        <v>-1</v>
      </c>
      <c r="X79">
        <v>2</v>
      </c>
      <c r="AC79" s="10">
        <v>11517885</v>
      </c>
      <c r="AD79" s="10">
        <v>0</v>
      </c>
      <c r="AE79" s="10">
        <v>1239</v>
      </c>
      <c r="AF79" s="10">
        <v>0</v>
      </c>
      <c r="AG79" s="7">
        <v>0</v>
      </c>
      <c r="AH79" s="7">
        <v>787644</v>
      </c>
      <c r="AI79" s="7">
        <v>0</v>
      </c>
      <c r="AJ79" s="7">
        <v>4989813</v>
      </c>
      <c r="AK79" s="7">
        <v>469064</v>
      </c>
      <c r="AM79" s="7">
        <f t="shared" si="28"/>
        <v>541585</v>
      </c>
      <c r="AN79" s="7">
        <f t="shared" si="29"/>
        <v>-101100</v>
      </c>
      <c r="AO79" s="10">
        <f t="shared" si="20"/>
        <v>0</v>
      </c>
      <c r="AP79" s="7">
        <f t="shared" si="21"/>
        <v>-119680</v>
      </c>
      <c r="AQ79" s="10">
        <f t="shared" si="22"/>
        <v>636854</v>
      </c>
      <c r="AR79" s="7">
        <f t="shared" si="23"/>
        <v>-1006302</v>
      </c>
      <c r="AS79" s="10">
        <f t="shared" si="24"/>
        <v>1732049</v>
      </c>
      <c r="AT79" s="10">
        <f t="shared" si="25"/>
        <v>7584</v>
      </c>
      <c r="AU79" s="7">
        <f t="shared" si="26"/>
        <v>0</v>
      </c>
    </row>
    <row r="80" spans="1:47" x14ac:dyDescent="0.25">
      <c r="A80" t="s">
        <v>112</v>
      </c>
      <c r="B80">
        <v>11310</v>
      </c>
      <c r="C80" s="7">
        <f>VLOOKUP(B80,'ER Contributions'!A:D,4,FALSE)</f>
        <v>592088</v>
      </c>
      <c r="D80" s="8">
        <f>VLOOKUP(B80,'ER Contributions'!A:D,3,FALSE)</f>
        <v>4.7610000000000003E-4</v>
      </c>
      <c r="E80" s="10">
        <f>VLOOKUP(B80,'75 - Summary Exhibit'!A:N,3,FALSE)</f>
        <v>15062391</v>
      </c>
      <c r="F80" s="10">
        <f>VLOOKUP(B80,'75 - Summary Exhibit'!A:N,4,FALSE)</f>
        <v>0</v>
      </c>
      <c r="G80" s="10">
        <f>VLOOKUP(B80,'75 - Summary Exhibit'!A:N,5,FALSE)</f>
        <v>10030</v>
      </c>
      <c r="H80" s="10">
        <f>VLOOKUP(B80,'75 - Summary Exhibit'!A:N,6,FALSE)</f>
        <v>723969</v>
      </c>
      <c r="I80" s="7">
        <f>VLOOKUP(B80,'75 - Summary Exhibit'!A:N,7,FALSE)</f>
        <v>1661368</v>
      </c>
      <c r="J80" s="7">
        <f>VLOOKUP(B80,'75 - Summary Exhibit'!A:N,8,FALSE)</f>
        <v>759334</v>
      </c>
      <c r="K80" s="7">
        <f>VLOOKUP(B80,'75 - Summary Exhibit'!A:N,9,FALSE)</f>
        <v>0</v>
      </c>
      <c r="L80" s="7">
        <f>VLOOKUP(B80,'75 - Summary Exhibit'!A:N,10,FALSE)</f>
        <v>4528415</v>
      </c>
      <c r="M80" s="7">
        <f>VLOOKUP(B80,'75 - Summary Exhibit'!A:N,11,FALSE)</f>
        <v>0</v>
      </c>
      <c r="N80" s="7">
        <f>VLOOKUP(B80,'75 - Summary Exhibit'!A:N,12,FALSE)</f>
        <v>-222343</v>
      </c>
      <c r="O80" s="7">
        <f>VLOOKUP(B80,'75 - Summary Exhibit'!A:N,13,FALSE)</f>
        <v>444554</v>
      </c>
      <c r="P80" s="7">
        <f t="shared" si="18"/>
        <v>222211</v>
      </c>
      <c r="Q80" s="7">
        <f>VLOOKUP(B80,'75- Deferred Amortization'!A:G,3,FALSE)</f>
        <v>-998217</v>
      </c>
      <c r="R80" s="7">
        <f>VLOOKUP(B80,'75- Deferred Amortization'!A:G,4,FALSE)</f>
        <v>-998217</v>
      </c>
      <c r="S80" s="7">
        <f>VLOOKUP(B80,'75- Deferred Amortization'!A:G,5,FALSE)</f>
        <v>-996767</v>
      </c>
      <c r="T80" s="7">
        <f>VLOOKUP(B80,'75- Deferred Amortization'!A:G,6,FALSE)</f>
        <v>-83741</v>
      </c>
      <c r="U80" s="7">
        <f>VLOOKUP(B80,'75- Deferred Amortization'!A:G,7,FALSE)</f>
        <v>184559</v>
      </c>
      <c r="V80" s="7">
        <f t="shared" si="27"/>
        <v>-1</v>
      </c>
      <c r="W80" s="7">
        <f t="shared" si="19"/>
        <v>1</v>
      </c>
      <c r="X80">
        <v>3</v>
      </c>
      <c r="AC80" s="10">
        <v>13398205</v>
      </c>
      <c r="AD80" s="10">
        <v>0</v>
      </c>
      <c r="AE80" s="10">
        <v>1441</v>
      </c>
      <c r="AF80" s="10">
        <v>0</v>
      </c>
      <c r="AG80" s="7">
        <v>1792755</v>
      </c>
      <c r="AH80" s="7">
        <v>916228</v>
      </c>
      <c r="AI80" s="7">
        <v>0</v>
      </c>
      <c r="AJ80" s="7">
        <v>5804412</v>
      </c>
      <c r="AK80" s="7">
        <v>0</v>
      </c>
      <c r="AM80" s="7">
        <f t="shared" si="28"/>
        <v>-131387</v>
      </c>
      <c r="AN80" s="7">
        <f t="shared" si="29"/>
        <v>0</v>
      </c>
      <c r="AO80" s="10">
        <f t="shared" si="20"/>
        <v>0</v>
      </c>
      <c r="AP80" s="7">
        <f t="shared" si="21"/>
        <v>-156894</v>
      </c>
      <c r="AQ80" s="10">
        <f t="shared" si="22"/>
        <v>723969</v>
      </c>
      <c r="AR80" s="7">
        <f t="shared" si="23"/>
        <v>-1275997</v>
      </c>
      <c r="AS80" s="10">
        <f t="shared" si="24"/>
        <v>1664186</v>
      </c>
      <c r="AT80" s="10">
        <f t="shared" si="25"/>
        <v>8589</v>
      </c>
      <c r="AU80" s="7">
        <f t="shared" si="26"/>
        <v>0</v>
      </c>
    </row>
    <row r="81" spans="1:47" s="165" customFormat="1" x14ac:dyDescent="0.25">
      <c r="A81" s="168" t="s">
        <v>168</v>
      </c>
      <c r="B81" s="169">
        <v>14300.2</v>
      </c>
      <c r="C81" s="170">
        <f>VLOOKUP(B81,'ER Contributions'!A:D,4,FALSE)</f>
        <v>210639</v>
      </c>
      <c r="D81" s="172">
        <f>VLOOKUP(B81,'ER Contributions'!A:D,3,FALSE)</f>
        <v>1.4449999999999999E-4</v>
      </c>
      <c r="E81" s="171">
        <f>VLOOKUP(B81,'75 - Summary Exhibit'!A:N,3,FALSE)</f>
        <v>4570489</v>
      </c>
      <c r="F81" s="171">
        <f>VLOOKUP(B81,'75 - Summary Exhibit'!A:N,4,FALSE)</f>
        <v>0</v>
      </c>
      <c r="G81" s="171">
        <f>VLOOKUP(B81,'75 - Summary Exhibit'!A:N,5,FALSE)</f>
        <v>3044</v>
      </c>
      <c r="H81" s="171">
        <f>VLOOKUP(B81,'75 - Summary Exhibit'!A:N,6,FALSE)</f>
        <v>219679</v>
      </c>
      <c r="I81" s="170">
        <f>VLOOKUP(B81,'75 - Summary Exhibit'!A:N,7,FALSE)</f>
        <v>1026785</v>
      </c>
      <c r="J81" s="170">
        <f>VLOOKUP(B81,'75 - Summary Exhibit'!A:N,8,FALSE)</f>
        <v>230410</v>
      </c>
      <c r="K81" s="170">
        <f>VLOOKUP(B81,'75 - Summary Exhibit'!A:N,9,FALSE)</f>
        <v>0</v>
      </c>
      <c r="L81" s="170">
        <f>VLOOKUP(B81,'75 - Summary Exhibit'!A:N,10,FALSE)</f>
        <v>1374089</v>
      </c>
      <c r="M81" s="170">
        <f>VLOOKUP(B81,'75 - Summary Exhibit'!A:N,11,FALSE)</f>
        <v>766516</v>
      </c>
      <c r="N81" s="170">
        <f>VLOOKUP(B81,'75 - Summary Exhibit'!A:N,12,FALSE)</f>
        <v>-67467</v>
      </c>
      <c r="O81" s="170">
        <f>VLOOKUP(B81,'75 - Summary Exhibit'!A:N,13,FALSE)</f>
        <v>135169</v>
      </c>
      <c r="P81" s="170">
        <f>N81+O81</f>
        <v>67702</v>
      </c>
      <c r="Q81" s="170">
        <f>VLOOKUP(B81,'75- Deferred Amortization'!A:G,3,FALSE)</f>
        <v>-302623</v>
      </c>
      <c r="R81" s="170">
        <f>VLOOKUP(B81,'75- Deferred Amortization'!A:G,4,FALSE)</f>
        <v>-302623</v>
      </c>
      <c r="S81" s="170">
        <f>VLOOKUP(B81,'75- Deferred Amortization'!A:G,5,FALSE)</f>
        <v>-302183</v>
      </c>
      <c r="T81" s="170">
        <f>VLOOKUP(B81,'75- Deferred Amortization'!A:G,6,FALSE)</f>
        <v>-277440</v>
      </c>
      <c r="U81" s="170">
        <f>VLOOKUP(B81,'75- Deferred Amortization'!A:G,7,FALSE)</f>
        <v>63361</v>
      </c>
      <c r="V81" s="170">
        <f t="shared" si="27"/>
        <v>0</v>
      </c>
      <c r="W81" s="170">
        <f>ROUND((F81+G81+H81+I81-J81-K81-L81-M81-Q81-R81-S81-T81-U81),0)</f>
        <v>1</v>
      </c>
      <c r="X81" s="169">
        <v>3</v>
      </c>
      <c r="Y81" s="169"/>
      <c r="Z81" s="169"/>
      <c r="AA81" s="169"/>
      <c r="AB81" s="169"/>
      <c r="AC81" s="171">
        <v>4056735</v>
      </c>
      <c r="AD81" s="171">
        <v>0</v>
      </c>
      <c r="AE81" s="171">
        <v>436</v>
      </c>
      <c r="AF81" s="171">
        <v>0</v>
      </c>
      <c r="AG81" s="170">
        <v>1214400</v>
      </c>
      <c r="AH81" s="170">
        <v>277417</v>
      </c>
      <c r="AI81" s="170">
        <v>0</v>
      </c>
      <c r="AJ81" s="170">
        <v>1757472</v>
      </c>
      <c r="AK81" s="170">
        <v>958145</v>
      </c>
      <c r="AL81" s="169"/>
      <c r="AM81" s="170">
        <f t="shared" si="28"/>
        <v>-187615</v>
      </c>
      <c r="AN81" s="170">
        <f t="shared" si="29"/>
        <v>-191629</v>
      </c>
      <c r="AO81" s="171">
        <f t="shared" si="20"/>
        <v>0</v>
      </c>
      <c r="AP81" s="170">
        <f t="shared" si="21"/>
        <v>-47007</v>
      </c>
      <c r="AQ81" s="171">
        <f t="shared" si="22"/>
        <v>219679</v>
      </c>
      <c r="AR81" s="170">
        <f t="shared" si="23"/>
        <v>-383383</v>
      </c>
      <c r="AS81" s="171">
        <f t="shared" si="24"/>
        <v>513754</v>
      </c>
      <c r="AT81" s="10">
        <f t="shared" si="25"/>
        <v>2608</v>
      </c>
      <c r="AU81" s="7">
        <f t="shared" si="26"/>
        <v>0</v>
      </c>
    </row>
    <row r="82" spans="1:47" s="165" customFormat="1" x14ac:dyDescent="0.25">
      <c r="A82" s="168" t="s">
        <v>809</v>
      </c>
      <c r="B82" s="169">
        <v>21525</v>
      </c>
      <c r="C82" s="170">
        <f>VLOOKUP(B82,'ER Contributions'!A:D,4,FALSE)</f>
        <v>1794900</v>
      </c>
      <c r="D82" s="172">
        <f>VLOOKUP(B82,'ER Contributions'!A:D,3,FALSE)</f>
        <v>1.5966000000000001E-3</v>
      </c>
      <c r="E82" s="171">
        <f>VLOOKUP(B82,'75 - Summary Exhibit'!A:N,3,FALSE)</f>
        <v>50516020</v>
      </c>
      <c r="F82" s="171">
        <f>VLOOKUP(B82,'75 - Summary Exhibit'!A:N,4,FALSE)</f>
        <v>0</v>
      </c>
      <c r="G82" s="171">
        <f>VLOOKUP(B82,'75 - Summary Exhibit'!A:N,5,FALSE)</f>
        <v>33640</v>
      </c>
      <c r="H82" s="171">
        <f>VLOOKUP(B82,'75 - Summary Exhibit'!A:N,6,FALSE)</f>
        <v>2428038</v>
      </c>
      <c r="I82" s="170">
        <f>VLOOKUP(B82,'75 - Summary Exhibit'!A:N,7,FALSE)</f>
        <v>739655</v>
      </c>
      <c r="J82" s="170">
        <f>VLOOKUP(B82,'75 - Summary Exhibit'!A:N,8,FALSE)</f>
        <v>2546644</v>
      </c>
      <c r="K82" s="170">
        <f>VLOOKUP(B82,'75 - Summary Exhibit'!A:N,9,FALSE)</f>
        <v>0</v>
      </c>
      <c r="L82" s="170">
        <f>VLOOKUP(B82,'75 - Summary Exhibit'!A:N,10,FALSE)</f>
        <v>15187330</v>
      </c>
      <c r="M82" s="170">
        <f>VLOOKUP(B82,'75 - Summary Exhibit'!A:N,11,FALSE)</f>
        <v>4487717</v>
      </c>
      <c r="N82" s="170">
        <f>VLOOKUP(B82,'75 - Summary Exhibit'!A:N,12,FALSE)</f>
        <v>-745692</v>
      </c>
      <c r="O82" s="170">
        <f>VLOOKUP(B82,'75 - Summary Exhibit'!A:N,13,FALSE)</f>
        <v>-1124543</v>
      </c>
      <c r="P82" s="170">
        <f>N82+O82</f>
        <v>-1870235</v>
      </c>
      <c r="Q82" s="170">
        <f>VLOOKUP(B82,'75- Deferred Amortization'!A:G,3,FALSE)</f>
        <v>-5963297</v>
      </c>
      <c r="R82" s="170">
        <f>VLOOKUP(B82,'75- Deferred Amortization'!A:G,4,FALSE)</f>
        <v>-5963297</v>
      </c>
      <c r="S82" s="170">
        <f>VLOOKUP(B82,'75- Deferred Amortization'!A:G,5,FALSE)</f>
        <v>-5958433</v>
      </c>
      <c r="T82" s="170">
        <f>VLOOKUP(B82,'75- Deferred Amortization'!A:G,6,FALSE)</f>
        <v>-1727184</v>
      </c>
      <c r="U82" s="170">
        <f>VLOOKUP(B82,'75- Deferred Amortization'!A:G,7,FALSE)</f>
        <v>591852</v>
      </c>
      <c r="V82" s="170">
        <f t="shared" si="27"/>
        <v>0</v>
      </c>
      <c r="W82" s="170">
        <f>ROUND((F82+G82+H82+I82-J82-K82-L82-M82-Q82-R82-S82-T82-U82),0)</f>
        <v>1</v>
      </c>
      <c r="X82" s="171">
        <v>1</v>
      </c>
      <c r="Y82" s="202"/>
      <c r="Z82" s="169"/>
      <c r="AA82" s="169"/>
      <c r="AB82" s="169"/>
      <c r="AC82" s="171">
        <v>44915965</v>
      </c>
      <c r="AD82" s="171">
        <v>0</v>
      </c>
      <c r="AE82" s="171">
        <v>4830</v>
      </c>
      <c r="AF82" s="171">
        <v>0</v>
      </c>
      <c r="AG82" s="170">
        <v>0</v>
      </c>
      <c r="AH82" s="170">
        <v>3071552</v>
      </c>
      <c r="AI82" s="170">
        <v>0</v>
      </c>
      <c r="AJ82" s="170">
        <v>19458633</v>
      </c>
      <c r="AK82" s="170">
        <v>5760193</v>
      </c>
      <c r="AL82" s="169"/>
      <c r="AM82" s="170">
        <f t="shared" si="28"/>
        <v>739655</v>
      </c>
      <c r="AN82" s="170">
        <f t="shared" si="29"/>
        <v>-1272476</v>
      </c>
      <c r="AO82" s="171">
        <f t="shared" si="20"/>
        <v>0</v>
      </c>
      <c r="AP82" s="170">
        <f t="shared" si="21"/>
        <v>-524908</v>
      </c>
      <c r="AQ82" s="171">
        <f t="shared" si="22"/>
        <v>2428038</v>
      </c>
      <c r="AR82" s="170">
        <f t="shared" si="23"/>
        <v>-4271303</v>
      </c>
      <c r="AS82" s="171">
        <f t="shared" si="24"/>
        <v>5600055</v>
      </c>
      <c r="AT82" s="10">
        <f t="shared" si="25"/>
        <v>28810</v>
      </c>
      <c r="AU82" s="7">
        <f t="shared" si="26"/>
        <v>0</v>
      </c>
    </row>
    <row r="83" spans="1:47" s="165" customFormat="1" x14ac:dyDescent="0.25">
      <c r="A83" s="168" t="s">
        <v>162</v>
      </c>
      <c r="B83" s="169">
        <v>21525.200000000001</v>
      </c>
      <c r="C83" s="170">
        <f>VLOOKUP(B83,'ER Contributions'!A:D,4,FALSE)</f>
        <v>219917</v>
      </c>
      <c r="D83" s="172">
        <f>VLOOKUP(B83,'ER Contributions'!A:D,3,FALSE)</f>
        <v>1.4980000000000001E-4</v>
      </c>
      <c r="E83" s="171">
        <f>VLOOKUP(B83,'75 - Summary Exhibit'!A:N,3,FALSE)</f>
        <v>4740014</v>
      </c>
      <c r="F83" s="171">
        <f>VLOOKUP(B83,'75 - Summary Exhibit'!A:N,4,FALSE)</f>
        <v>0</v>
      </c>
      <c r="G83" s="171">
        <f>VLOOKUP(B83,'75 - Summary Exhibit'!A:N,5,FALSE)</f>
        <v>3156</v>
      </c>
      <c r="H83" s="171">
        <f>VLOOKUP(B83,'75 - Summary Exhibit'!A:N,6,FALSE)</f>
        <v>227827</v>
      </c>
      <c r="I83" s="170">
        <f>VLOOKUP(B83,'75 - Summary Exhibit'!A:N,7,FALSE)</f>
        <v>1603830</v>
      </c>
      <c r="J83" s="170">
        <f>VLOOKUP(B83,'75 - Summary Exhibit'!A:N,8,FALSE)</f>
        <v>238956</v>
      </c>
      <c r="K83" s="170">
        <f>VLOOKUP(B83,'75 - Summary Exhibit'!A:N,9,FALSE)</f>
        <v>0</v>
      </c>
      <c r="L83" s="170">
        <f>VLOOKUP(B83,'75 - Summary Exhibit'!A:N,10,FALSE)</f>
        <v>1425056</v>
      </c>
      <c r="M83" s="170">
        <f>VLOOKUP(B83,'75 - Summary Exhibit'!A:N,11,FALSE)</f>
        <v>110875</v>
      </c>
      <c r="N83" s="170">
        <f>VLOOKUP(B83,'75 - Summary Exhibit'!A:N,12,FALSE)</f>
        <v>-69970</v>
      </c>
      <c r="O83" s="170">
        <f>VLOOKUP(B83,'75 - Summary Exhibit'!A:N,13,FALSE)</f>
        <v>418012</v>
      </c>
      <c r="P83" s="170">
        <f>N83+O83</f>
        <v>348042</v>
      </c>
      <c r="Q83" s="170">
        <f>VLOOKUP(B83,'75- Deferred Amortization'!A:G,3,FALSE)</f>
        <v>-36017</v>
      </c>
      <c r="R83" s="170">
        <f>VLOOKUP(B83,'75- Deferred Amortization'!A:G,4,FALSE)</f>
        <v>-36017</v>
      </c>
      <c r="S83" s="170">
        <f>VLOOKUP(B83,'75- Deferred Amortization'!A:G,5,FALSE)</f>
        <v>-35561</v>
      </c>
      <c r="T83" s="170">
        <f>VLOOKUP(B83,'75- Deferred Amortization'!A:G,6,FALSE)</f>
        <v>148043</v>
      </c>
      <c r="U83" s="170">
        <f>VLOOKUP(B83,'75- Deferred Amortization'!A:G,7,FALSE)</f>
        <v>19479</v>
      </c>
      <c r="V83" s="170">
        <f t="shared" si="27"/>
        <v>-2</v>
      </c>
      <c r="W83" s="170">
        <f>ROUND((F83+G83+H83+I83-J83-K83-L83-M83-Q83-R83-S83-T83-U83),0)</f>
        <v>-1</v>
      </c>
      <c r="X83" s="169">
        <v>3</v>
      </c>
      <c r="Y83" s="202"/>
      <c r="Z83" s="169"/>
      <c r="AA83" s="169"/>
      <c r="AB83" s="169"/>
      <c r="AC83" s="171">
        <v>4392925</v>
      </c>
      <c r="AD83" s="171">
        <v>0</v>
      </c>
      <c r="AE83" s="171">
        <v>472</v>
      </c>
      <c r="AF83" s="171">
        <v>0</v>
      </c>
      <c r="AG83" s="170">
        <v>2044017</v>
      </c>
      <c r="AH83" s="170">
        <v>300408</v>
      </c>
      <c r="AI83" s="170">
        <v>0</v>
      </c>
      <c r="AJ83" s="170">
        <v>1903117</v>
      </c>
      <c r="AK83" s="170">
        <v>0</v>
      </c>
      <c r="AL83" s="169"/>
      <c r="AM83" s="170">
        <f t="shared" si="28"/>
        <v>-440187</v>
      </c>
      <c r="AN83" s="170">
        <f t="shared" si="29"/>
        <v>110875</v>
      </c>
      <c r="AO83" s="171">
        <f t="shared" si="20"/>
        <v>0</v>
      </c>
      <c r="AP83" s="170">
        <f t="shared" si="21"/>
        <v>-61452</v>
      </c>
      <c r="AQ83" s="171">
        <f t="shared" si="22"/>
        <v>227827</v>
      </c>
      <c r="AR83" s="170">
        <f t="shared" si="23"/>
        <v>-478061</v>
      </c>
      <c r="AS83" s="171">
        <f t="shared" si="24"/>
        <v>347089</v>
      </c>
      <c r="AT83" s="10">
        <f t="shared" si="25"/>
        <v>2684</v>
      </c>
      <c r="AU83" s="7">
        <f t="shared" si="26"/>
        <v>0</v>
      </c>
    </row>
    <row r="84" spans="1:47" s="165" customFormat="1" x14ac:dyDescent="0.25">
      <c r="A84" s="168" t="s">
        <v>170</v>
      </c>
      <c r="B84" s="169">
        <v>51000.2</v>
      </c>
      <c r="C84" s="170">
        <f>VLOOKUP(B84,'ER Contributions'!A:D,4,FALSE)</f>
        <v>203348</v>
      </c>
      <c r="D84" s="172">
        <f>VLOOKUP(B84,'ER Contributions'!A:D,3,FALSE)</f>
        <v>2.6100000000000001E-5</v>
      </c>
      <c r="E84" s="171">
        <f>VLOOKUP(B84,'75 - Summary Exhibit'!A:N,3,FALSE)</f>
        <v>826868</v>
      </c>
      <c r="F84" s="171">
        <f>VLOOKUP(B84,'75 - Summary Exhibit'!A:N,4,FALSE)</f>
        <v>0</v>
      </c>
      <c r="G84" s="171">
        <f>VLOOKUP(B84,'75 - Summary Exhibit'!A:N,5,FALSE)</f>
        <v>551</v>
      </c>
      <c r="H84" s="171">
        <f>VLOOKUP(B84,'75 - Summary Exhibit'!A:N,6,FALSE)</f>
        <v>39743</v>
      </c>
      <c r="I84" s="170">
        <f>VLOOKUP(B84,'75 - Summary Exhibit'!A:N,7,FALSE)</f>
        <v>507519</v>
      </c>
      <c r="J84" s="170">
        <f>VLOOKUP(B84,'75 - Summary Exhibit'!A:N,8,FALSE)</f>
        <v>41685</v>
      </c>
      <c r="K84" s="170">
        <f>VLOOKUP(B84,'75 - Summary Exhibit'!A:N,9,FALSE)</f>
        <v>0</v>
      </c>
      <c r="L84" s="170">
        <f>VLOOKUP(B84,'75 - Summary Exhibit'!A:N,10,FALSE)</f>
        <v>248593</v>
      </c>
      <c r="M84" s="170">
        <f>VLOOKUP(B84,'75 - Summary Exhibit'!A:N,11,FALSE)</f>
        <v>0</v>
      </c>
      <c r="N84" s="170">
        <f>VLOOKUP(B84,'75 - Summary Exhibit'!A:N,12,FALSE)</f>
        <v>-12206</v>
      </c>
      <c r="O84" s="170">
        <f>VLOOKUP(B84,'75 - Summary Exhibit'!A:N,13,FALSE)</f>
        <v>112779</v>
      </c>
      <c r="P84" s="170">
        <f>N84+O84</f>
        <v>100573</v>
      </c>
      <c r="Q84" s="170">
        <f>VLOOKUP(B84,'75- Deferred Amortization'!A:G,3,FALSE)</f>
        <v>33575</v>
      </c>
      <c r="R84" s="170">
        <f>VLOOKUP(B84,'75- Deferred Amortization'!A:G,4,FALSE)</f>
        <v>33575</v>
      </c>
      <c r="S84" s="170">
        <f>VLOOKUP(B84,'75- Deferred Amortization'!A:G,5,FALSE)</f>
        <v>33655</v>
      </c>
      <c r="T84" s="170">
        <f>VLOOKUP(B84,'75- Deferred Amortization'!A:G,6,FALSE)</f>
        <v>85914</v>
      </c>
      <c r="U84" s="170">
        <f>VLOOKUP(B84,'75- Deferred Amortization'!A:G,7,FALSE)</f>
        <v>70816</v>
      </c>
      <c r="V84" s="170">
        <f t="shared" si="27"/>
        <v>-3</v>
      </c>
      <c r="W84" s="170">
        <f>ROUND((F84+G84+H84+I84-J84-K84-L84-M84-Q84-R84-S84-T84-U84),0)</f>
        <v>0</v>
      </c>
      <c r="X84" s="169">
        <v>3</v>
      </c>
      <c r="Y84" s="169"/>
      <c r="Z84" s="169"/>
      <c r="AA84" s="169"/>
      <c r="AB84" s="169"/>
      <c r="AC84" s="171">
        <v>606794</v>
      </c>
      <c r="AD84" s="171">
        <v>0</v>
      </c>
      <c r="AE84" s="171">
        <v>65</v>
      </c>
      <c r="AF84" s="171">
        <v>0</v>
      </c>
      <c r="AG84" s="170">
        <v>238997</v>
      </c>
      <c r="AH84" s="170">
        <v>41495</v>
      </c>
      <c r="AI84" s="170">
        <v>0</v>
      </c>
      <c r="AJ84" s="170">
        <v>262878</v>
      </c>
      <c r="AK84" s="170">
        <v>0</v>
      </c>
      <c r="AL84" s="169"/>
      <c r="AM84" s="170">
        <f t="shared" si="28"/>
        <v>268522</v>
      </c>
      <c r="AN84" s="170">
        <f t="shared" si="29"/>
        <v>0</v>
      </c>
      <c r="AO84" s="171">
        <f t="shared" si="20"/>
        <v>0</v>
      </c>
      <c r="AP84" s="170">
        <f t="shared" si="21"/>
        <v>190</v>
      </c>
      <c r="AQ84" s="171">
        <f t="shared" si="22"/>
        <v>39743</v>
      </c>
      <c r="AR84" s="170">
        <f t="shared" si="23"/>
        <v>-14285</v>
      </c>
      <c r="AS84" s="171">
        <f t="shared" si="24"/>
        <v>220074</v>
      </c>
      <c r="AT84" s="10">
        <f t="shared" si="25"/>
        <v>486</v>
      </c>
      <c r="AU84" s="7">
        <f t="shared" si="26"/>
        <v>0</v>
      </c>
    </row>
    <row r="85" spans="1:47" s="166" customFormat="1" x14ac:dyDescent="0.25">
      <c r="A85" s="168" t="s">
        <v>169</v>
      </c>
      <c r="B85" s="169">
        <v>51000.3</v>
      </c>
      <c r="C85" s="170">
        <f>VLOOKUP(B85,'ER Contributions'!A:D,4,FALSE)</f>
        <v>831313</v>
      </c>
      <c r="D85" s="172">
        <f>VLOOKUP(B85,'ER Contributions'!A:D,3,FALSE)</f>
        <v>6.6390000000000004E-4</v>
      </c>
      <c r="E85" s="171">
        <f>VLOOKUP(B85,'75 - Summary Exhibit'!A:N,3,FALSE)</f>
        <v>21004451</v>
      </c>
      <c r="F85" s="171">
        <f>VLOOKUP(B85,'75 - Summary Exhibit'!A:N,4,FALSE)</f>
        <v>0</v>
      </c>
      <c r="G85" s="171">
        <f>VLOOKUP(B85,'75 - Summary Exhibit'!A:N,5,FALSE)</f>
        <v>13987</v>
      </c>
      <c r="H85" s="171">
        <f>VLOOKUP(B85,'75 - Summary Exhibit'!A:N,6,FALSE)</f>
        <v>1009573</v>
      </c>
      <c r="I85" s="170">
        <f>VLOOKUP(B85,'75 - Summary Exhibit'!A:N,7,FALSE)</f>
        <v>1946211</v>
      </c>
      <c r="J85" s="170">
        <f>VLOOKUP(B85,'75 - Summary Exhibit'!A:N,8,FALSE)</f>
        <v>1058889</v>
      </c>
      <c r="K85" s="170">
        <f>VLOOKUP(B85,'75 - Summary Exhibit'!A:N,9,FALSE)</f>
        <v>0</v>
      </c>
      <c r="L85" s="170">
        <f>VLOOKUP(B85,'75 - Summary Exhibit'!A:N,10,FALSE)</f>
        <v>6314859</v>
      </c>
      <c r="M85" s="170">
        <f>VLOOKUP(B85,'75 - Summary Exhibit'!A:N,11,FALSE)</f>
        <v>0</v>
      </c>
      <c r="N85" s="170">
        <f>VLOOKUP(B85,'75 - Summary Exhibit'!A:N,12,FALSE)</f>
        <v>-310057</v>
      </c>
      <c r="O85" s="170">
        <f>VLOOKUP(B85,'75 - Summary Exhibit'!A:N,13,FALSE)</f>
        <v>479509</v>
      </c>
      <c r="P85" s="170">
        <f>N85+O85</f>
        <v>169452</v>
      </c>
      <c r="Q85" s="170">
        <f>VLOOKUP(B85,'75- Deferred Amortization'!A:G,3,FALSE)</f>
        <v>-1532433</v>
      </c>
      <c r="R85" s="170">
        <f>VLOOKUP(B85,'75- Deferred Amortization'!A:G,4,FALSE)</f>
        <v>-1532433</v>
      </c>
      <c r="S85" s="170">
        <f>VLOOKUP(B85,'75- Deferred Amortization'!A:G,5,FALSE)</f>
        <v>-1530411</v>
      </c>
      <c r="T85" s="170">
        <f>VLOOKUP(B85,'75- Deferred Amortization'!A:G,6,FALSE)</f>
        <v>-102313</v>
      </c>
      <c r="U85" s="170">
        <f>VLOOKUP(B85,'75- Deferred Amortization'!A:G,7,FALSE)</f>
        <v>293613</v>
      </c>
      <c r="V85" s="170">
        <f t="shared" si="27"/>
        <v>0</v>
      </c>
      <c r="W85" s="170">
        <f>ROUND((F85+G85+H85+I85-J85-K85-L85-M85-Q85-R85-S85-T85-U85),0)</f>
        <v>0</v>
      </c>
      <c r="X85" s="169">
        <v>3</v>
      </c>
      <c r="Y85" s="169"/>
      <c r="Z85" s="169"/>
      <c r="AA85" s="169"/>
      <c r="AB85" s="169"/>
      <c r="AC85" s="171">
        <v>18542674</v>
      </c>
      <c r="AD85" s="171">
        <v>0</v>
      </c>
      <c r="AE85" s="171">
        <v>1994</v>
      </c>
      <c r="AF85" s="171">
        <v>0</v>
      </c>
      <c r="AG85" s="170">
        <v>1771535</v>
      </c>
      <c r="AH85" s="170">
        <v>1268030</v>
      </c>
      <c r="AI85" s="170">
        <v>0</v>
      </c>
      <c r="AJ85" s="170">
        <v>8033114</v>
      </c>
      <c r="AK85" s="170">
        <v>0</v>
      </c>
      <c r="AL85" s="169"/>
      <c r="AM85" s="170">
        <f t="shared" si="28"/>
        <v>174676</v>
      </c>
      <c r="AN85" s="170">
        <f t="shared" si="29"/>
        <v>0</v>
      </c>
      <c r="AO85" s="171">
        <f t="shared" si="20"/>
        <v>0</v>
      </c>
      <c r="AP85" s="170">
        <f t="shared" si="21"/>
        <v>-209141</v>
      </c>
      <c r="AQ85" s="171">
        <f t="shared" si="22"/>
        <v>1009573</v>
      </c>
      <c r="AR85" s="170">
        <f t="shared" si="23"/>
        <v>-1718255</v>
      </c>
      <c r="AS85" s="171">
        <f t="shared" si="24"/>
        <v>2461777</v>
      </c>
      <c r="AT85" s="10">
        <f t="shared" si="25"/>
        <v>11993</v>
      </c>
      <c r="AU85" s="7">
        <f t="shared" si="26"/>
        <v>0</v>
      </c>
    </row>
    <row r="86" spans="1:47" x14ac:dyDescent="0.25">
      <c r="A86" s="174" t="s">
        <v>159</v>
      </c>
      <c r="B86" s="175">
        <v>99000</v>
      </c>
      <c r="C86" s="176">
        <f>SUMIF($X$4:$X$85,1,C$4:C$85)</f>
        <v>276436447</v>
      </c>
      <c r="D86" s="176"/>
      <c r="E86" s="176">
        <f t="shared" ref="E86:U86" si="30">SUMIF($X$4:$X$85,1,E$4:E$85)</f>
        <v>7946586029</v>
      </c>
      <c r="F86" s="176">
        <f t="shared" si="30"/>
        <v>0</v>
      </c>
      <c r="G86" s="176">
        <f t="shared" si="30"/>
        <v>5291794</v>
      </c>
      <c r="H86" s="176">
        <f t="shared" si="30"/>
        <v>381950341</v>
      </c>
      <c r="I86" s="176">
        <f t="shared" si="30"/>
        <v>668971006</v>
      </c>
      <c r="J86" s="176">
        <f t="shared" si="30"/>
        <v>400608042</v>
      </c>
      <c r="K86" s="176">
        <f t="shared" si="30"/>
        <v>0</v>
      </c>
      <c r="L86" s="176">
        <f t="shared" si="30"/>
        <v>2389092042</v>
      </c>
      <c r="M86" s="176">
        <f t="shared" si="30"/>
        <v>541957783</v>
      </c>
      <c r="N86" s="176">
        <f t="shared" si="30"/>
        <v>-117303416</v>
      </c>
      <c r="O86" s="176">
        <f t="shared" si="30"/>
        <v>-26993260</v>
      </c>
      <c r="P86" s="176">
        <f t="shared" si="30"/>
        <v>-144296676</v>
      </c>
      <c r="Q86" s="176">
        <f t="shared" si="30"/>
        <v>-788168935</v>
      </c>
      <c r="R86" s="176">
        <f t="shared" si="30"/>
        <v>-788168935</v>
      </c>
      <c r="S86" s="176">
        <f t="shared" si="30"/>
        <v>-787403840</v>
      </c>
      <c r="T86" s="176">
        <f t="shared" si="30"/>
        <v>-39213320</v>
      </c>
      <c r="U86" s="176">
        <f t="shared" si="30"/>
        <v>127510306</v>
      </c>
      <c r="V86" s="176">
        <f t="shared" si="27"/>
        <v>3</v>
      </c>
      <c r="W86" s="176">
        <f t="shared" si="19"/>
        <v>-2</v>
      </c>
      <c r="X86" s="175"/>
      <c r="Y86" s="175"/>
      <c r="Z86" s="175"/>
      <c r="AA86" s="175"/>
      <c r="AB86" s="175"/>
      <c r="AC86" s="176">
        <v>6924220650</v>
      </c>
      <c r="AD86" s="176">
        <v>0</v>
      </c>
      <c r="AE86" s="176">
        <v>744664</v>
      </c>
      <c r="AF86" s="176">
        <v>0</v>
      </c>
      <c r="AG86" s="176">
        <v>466538345</v>
      </c>
      <c r="AH86" s="176">
        <v>473508739</v>
      </c>
      <c r="AI86" s="176">
        <v>0</v>
      </c>
      <c r="AJ86" s="176">
        <v>2999732239</v>
      </c>
      <c r="AK86" s="176">
        <v>712585262</v>
      </c>
      <c r="AL86" s="176"/>
      <c r="AM86" s="176">
        <f>SUMIF($X$4:$X$85,1,AM$4:AM$85)</f>
        <v>202432661</v>
      </c>
      <c r="AN86" s="176">
        <f>SUMIF($X$4:$X$85,1,AN$4:AN$85)</f>
        <v>-170627479</v>
      </c>
      <c r="AO86" s="203">
        <f t="shared" si="20"/>
        <v>0</v>
      </c>
      <c r="AP86" s="176">
        <f t="shared" si="21"/>
        <v>-72900697</v>
      </c>
      <c r="AQ86" s="203">
        <f t="shared" si="22"/>
        <v>381950341</v>
      </c>
      <c r="AR86" s="176">
        <f t="shared" si="23"/>
        <v>-610640197</v>
      </c>
      <c r="AS86" s="203">
        <f t="shared" si="24"/>
        <v>1022365379</v>
      </c>
      <c r="AT86" s="10">
        <f t="shared" si="25"/>
        <v>4547130</v>
      </c>
      <c r="AU86" s="7">
        <f t="shared" si="26"/>
        <v>0</v>
      </c>
    </row>
    <row r="87" spans="1:47" x14ac:dyDescent="0.25">
      <c r="A87" s="177" t="s">
        <v>160</v>
      </c>
      <c r="B87" s="175">
        <v>99100</v>
      </c>
      <c r="C87" s="176">
        <f>SUMIF($X$4:$X$85,2,C$4:C$85)</f>
        <v>56710479</v>
      </c>
      <c r="D87" s="176"/>
      <c r="E87" s="176">
        <f t="shared" ref="E87:U87" si="31">SUMIF($X$4:$X$85,2,E$4:E$85)</f>
        <v>1536342246</v>
      </c>
      <c r="F87" s="176">
        <f t="shared" si="31"/>
        <v>0</v>
      </c>
      <c r="G87" s="176">
        <f t="shared" si="31"/>
        <v>1023085</v>
      </c>
      <c r="H87" s="176">
        <f t="shared" si="31"/>
        <v>73843840</v>
      </c>
      <c r="I87" s="176">
        <f t="shared" si="31"/>
        <v>47767370</v>
      </c>
      <c r="J87" s="176">
        <f t="shared" si="31"/>
        <v>77451004</v>
      </c>
      <c r="K87" s="176">
        <f t="shared" si="31"/>
        <v>0</v>
      </c>
      <c r="L87" s="176">
        <f t="shared" si="31"/>
        <v>461891813</v>
      </c>
      <c r="M87" s="176">
        <f t="shared" si="31"/>
        <v>122123332</v>
      </c>
      <c r="N87" s="176">
        <f t="shared" si="31"/>
        <v>-22678693</v>
      </c>
      <c r="O87" s="176">
        <f t="shared" si="31"/>
        <v>-19668658</v>
      </c>
      <c r="P87" s="176">
        <f t="shared" si="31"/>
        <v>-42347351</v>
      </c>
      <c r="Q87" s="176">
        <f t="shared" si="31"/>
        <v>-166829540</v>
      </c>
      <c r="R87" s="176">
        <f t="shared" si="31"/>
        <v>-166829540</v>
      </c>
      <c r="S87" s="176">
        <f t="shared" si="31"/>
        <v>-166681621</v>
      </c>
      <c r="T87" s="176">
        <f t="shared" si="31"/>
        <v>-40981814</v>
      </c>
      <c r="U87" s="176">
        <f t="shared" si="31"/>
        <v>2490659</v>
      </c>
      <c r="V87" s="176">
        <f t="shared" si="27"/>
        <v>-10</v>
      </c>
      <c r="W87" s="176">
        <f t="shared" si="19"/>
        <v>2</v>
      </c>
      <c r="X87" s="175"/>
      <c r="Y87" s="175"/>
      <c r="Z87" s="175"/>
      <c r="AA87" s="175"/>
      <c r="AB87" s="175"/>
      <c r="AC87" s="176">
        <v>1429416722</v>
      </c>
      <c r="AD87" s="176">
        <v>0</v>
      </c>
      <c r="AE87" s="176">
        <v>153727</v>
      </c>
      <c r="AF87" s="176">
        <v>0</v>
      </c>
      <c r="AG87" s="176">
        <v>51573726</v>
      </c>
      <c r="AH87" s="176">
        <v>97749818</v>
      </c>
      <c r="AI87" s="176">
        <v>0</v>
      </c>
      <c r="AJ87" s="176">
        <v>619256322</v>
      </c>
      <c r="AK87" s="176">
        <v>79536511</v>
      </c>
      <c r="AL87" s="176"/>
      <c r="AM87" s="176">
        <f>SUMIF($X$4:$X$85,2,AM$4:AM$85)</f>
        <v>-3806356</v>
      </c>
      <c r="AN87" s="176">
        <f>SUMIF($X$4:$X$85,2,AN$4:AN$85)</f>
        <v>42586821</v>
      </c>
      <c r="AO87" s="203">
        <f t="shared" si="20"/>
        <v>0</v>
      </c>
      <c r="AP87" s="176">
        <f t="shared" si="21"/>
        <v>-20298814</v>
      </c>
      <c r="AQ87" s="203">
        <f t="shared" si="22"/>
        <v>73843840</v>
      </c>
      <c r="AR87" s="176">
        <f t="shared" si="23"/>
        <v>-157364509</v>
      </c>
      <c r="AS87" s="203">
        <f t="shared" si="24"/>
        <v>106925524</v>
      </c>
      <c r="AT87" s="10">
        <f t="shared" si="25"/>
        <v>869358</v>
      </c>
      <c r="AU87" s="7">
        <f t="shared" si="26"/>
        <v>0</v>
      </c>
    </row>
    <row r="88" spans="1:47" x14ac:dyDescent="0.25">
      <c r="A88" s="177" t="s">
        <v>161</v>
      </c>
      <c r="B88" s="175">
        <v>99200</v>
      </c>
      <c r="C88" s="176">
        <f>SUMIF($X$4:$X$85,3,C$4:C$85)</f>
        <v>2057305</v>
      </c>
      <c r="D88" s="176"/>
      <c r="E88" s="176">
        <f t="shared" ref="E88:U88" si="32">SUMIF($X$4:$X$85,3,E$4:E$85)</f>
        <v>46204213</v>
      </c>
      <c r="F88" s="176">
        <f t="shared" si="32"/>
        <v>0</v>
      </c>
      <c r="G88" s="176">
        <f t="shared" si="32"/>
        <v>30768</v>
      </c>
      <c r="H88" s="176">
        <f t="shared" si="32"/>
        <v>2220791</v>
      </c>
      <c r="I88" s="176">
        <f t="shared" si="32"/>
        <v>6745713</v>
      </c>
      <c r="J88" s="176">
        <f t="shared" si="32"/>
        <v>2329274</v>
      </c>
      <c r="K88" s="176">
        <f t="shared" si="32"/>
        <v>0</v>
      </c>
      <c r="L88" s="176">
        <f t="shared" si="32"/>
        <v>13891012</v>
      </c>
      <c r="M88" s="176">
        <f t="shared" si="32"/>
        <v>877391</v>
      </c>
      <c r="N88" s="176">
        <f t="shared" si="32"/>
        <v>-682043</v>
      </c>
      <c r="O88" s="176">
        <f t="shared" si="32"/>
        <v>1590023</v>
      </c>
      <c r="P88" s="176">
        <f t="shared" si="32"/>
        <v>907980</v>
      </c>
      <c r="Q88" s="176">
        <f t="shared" si="32"/>
        <v>-2835715</v>
      </c>
      <c r="R88" s="176">
        <f t="shared" si="32"/>
        <v>-2835715</v>
      </c>
      <c r="S88" s="176">
        <f t="shared" si="32"/>
        <v>-2831267</v>
      </c>
      <c r="T88" s="176">
        <f t="shared" si="32"/>
        <v>-229537</v>
      </c>
      <c r="U88" s="176">
        <f t="shared" si="32"/>
        <v>631828</v>
      </c>
      <c r="V88" s="176">
        <f t="shared" si="27"/>
        <v>-6</v>
      </c>
      <c r="W88" s="176">
        <f t="shared" si="19"/>
        <v>1</v>
      </c>
      <c r="X88" s="175"/>
      <c r="Y88" s="175"/>
      <c r="Z88" s="175"/>
      <c r="AA88" s="175"/>
      <c r="AB88" s="175"/>
      <c r="AC88" s="176">
        <v>40997333</v>
      </c>
      <c r="AD88" s="176">
        <v>0</v>
      </c>
      <c r="AE88" s="176">
        <v>4408</v>
      </c>
      <c r="AF88" s="176">
        <v>0</v>
      </c>
      <c r="AG88" s="176">
        <v>7061704</v>
      </c>
      <c r="AH88" s="176">
        <v>2803578</v>
      </c>
      <c r="AI88" s="176">
        <v>0</v>
      </c>
      <c r="AJ88" s="176">
        <v>17760993</v>
      </c>
      <c r="AK88" s="176">
        <v>958145</v>
      </c>
      <c r="AL88" s="176"/>
      <c r="AM88" s="176">
        <f>SUMIF($X$4:$X$85,3,AM$4:AM$85)</f>
        <v>-315991</v>
      </c>
      <c r="AN88" s="176">
        <f>SUMIF($X$4:$X$85,3,AN$4:AN$85)</f>
        <v>-80754</v>
      </c>
      <c r="AO88" s="203">
        <f t="shared" si="20"/>
        <v>0</v>
      </c>
      <c r="AP88" s="176">
        <f t="shared" si="21"/>
        <v>-474304</v>
      </c>
      <c r="AQ88" s="203">
        <f t="shared" si="22"/>
        <v>2220791</v>
      </c>
      <c r="AR88" s="176">
        <f t="shared" si="23"/>
        <v>-3869981</v>
      </c>
      <c r="AS88" s="203">
        <f t="shared" si="24"/>
        <v>5206880</v>
      </c>
      <c r="AT88" s="10">
        <f t="shared" si="25"/>
        <v>26360</v>
      </c>
      <c r="AU88" s="7">
        <f t="shared" si="26"/>
        <v>0</v>
      </c>
    </row>
    <row r="90" spans="1:47" s="173" customFormat="1" x14ac:dyDescent="0.25">
      <c r="AT90" s="227"/>
    </row>
    <row r="91" spans="1:47" x14ac:dyDescent="0.25">
      <c r="A91" s="219"/>
    </row>
    <row r="92" spans="1:47" x14ac:dyDescent="0.25">
      <c r="A92" s="221"/>
      <c r="B92" s="193"/>
      <c r="C92" s="193"/>
      <c r="D92" s="193"/>
    </row>
    <row r="93" spans="1:47" x14ac:dyDescent="0.25">
      <c r="A93" s="229"/>
      <c r="B93" s="229"/>
      <c r="C93" s="222"/>
      <c r="D93" s="223"/>
    </row>
    <row r="94" spans="1:47" x14ac:dyDescent="0.25">
      <c r="A94" s="229"/>
      <c r="B94" s="229"/>
      <c r="C94" s="222"/>
      <c r="D94" s="223"/>
    </row>
    <row r="95" spans="1:47" x14ac:dyDescent="0.25">
      <c r="A95" s="229"/>
      <c r="B95" s="229"/>
      <c r="C95" s="222"/>
      <c r="D95" s="223"/>
    </row>
    <row r="96" spans="1:47" x14ac:dyDescent="0.25">
      <c r="A96" s="229"/>
      <c r="B96" s="229"/>
      <c r="C96" s="193"/>
      <c r="D96" s="193"/>
    </row>
    <row r="97" spans="1:2" x14ac:dyDescent="0.25">
      <c r="A97" s="229"/>
      <c r="B97" s="230"/>
    </row>
    <row r="98" spans="1:2" x14ac:dyDescent="0.25">
      <c r="A98" s="229"/>
      <c r="B98" s="230"/>
    </row>
    <row r="99" spans="1:2" x14ac:dyDescent="0.25">
      <c r="A99" s="229"/>
      <c r="B99" s="230"/>
    </row>
    <row r="100" spans="1:2" x14ac:dyDescent="0.25">
      <c r="A100" s="229"/>
      <c r="B100" s="230"/>
    </row>
    <row r="101" spans="1:2" x14ac:dyDescent="0.25">
      <c r="A101" s="229"/>
      <c r="B101" s="230"/>
    </row>
    <row r="102" spans="1:2" x14ac:dyDescent="0.25">
      <c r="A102" s="229"/>
      <c r="B102" s="230"/>
    </row>
    <row r="103" spans="1:2" x14ac:dyDescent="0.25">
      <c r="A103" s="229"/>
      <c r="B103" s="230"/>
    </row>
  </sheetData>
  <sortState xmlns:xlrd2="http://schemas.microsoft.com/office/spreadsheetml/2017/richdata2" ref="A81:AN85">
    <sortCondition ref="B81:B85"/>
  </sortState>
  <mergeCells count="6">
    <mergeCell ref="AH2:AK2"/>
    <mergeCell ref="J2:M2"/>
    <mergeCell ref="N2:P2"/>
    <mergeCell ref="F2:I2"/>
    <mergeCell ref="Q2:U2"/>
    <mergeCell ref="AD2:AG2"/>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4"/>
  <sheetViews>
    <sheetView workbookViewId="0"/>
  </sheetViews>
  <sheetFormatPr defaultRowHeight="13.2" x14ac:dyDescent="0.25"/>
  <cols>
    <col min="1" max="1" width="15" style="246" customWidth="1"/>
    <col min="2" max="2" width="57.88671875" customWidth="1"/>
    <col min="3" max="3" width="16.6640625" style="178" customWidth="1"/>
    <col min="4" max="4" width="18.44140625" style="7" customWidth="1"/>
    <col min="5" max="5" width="11.44140625" bestFit="1" customWidth="1"/>
  </cols>
  <sheetData>
    <row r="1" spans="1:11" x14ac:dyDescent="0.25">
      <c r="A1" s="243">
        <v>1</v>
      </c>
      <c r="B1" s="18">
        <v>2</v>
      </c>
      <c r="C1" s="18">
        <v>3</v>
      </c>
      <c r="D1" s="233">
        <v>4</v>
      </c>
      <c r="F1" s="177" t="s">
        <v>760</v>
      </c>
      <c r="G1" s="175"/>
      <c r="H1" s="175"/>
      <c r="I1" s="175"/>
      <c r="J1" s="175"/>
      <c r="K1" s="175"/>
    </row>
    <row r="2" spans="1:11" ht="38.25" customHeight="1" x14ac:dyDescent="0.25">
      <c r="A2" s="244" t="s">
        <v>164</v>
      </c>
      <c r="B2" s="160" t="s">
        <v>166</v>
      </c>
      <c r="C2" s="55" t="s">
        <v>171</v>
      </c>
      <c r="D2" s="234" t="s">
        <v>35</v>
      </c>
      <c r="F2" s="219"/>
      <c r="G2" s="193"/>
      <c r="H2" s="193"/>
      <c r="I2" s="193"/>
      <c r="J2" s="193"/>
    </row>
    <row r="3" spans="1:11" x14ac:dyDescent="0.25">
      <c r="A3" s="254">
        <v>10200</v>
      </c>
      <c r="B3" s="253" t="s">
        <v>558</v>
      </c>
      <c r="C3" s="287">
        <v>9.4010000000000003E-4</v>
      </c>
      <c r="D3" s="256">
        <v>1054383</v>
      </c>
    </row>
    <row r="4" spans="1:11" x14ac:dyDescent="0.25">
      <c r="A4" s="254">
        <v>10400</v>
      </c>
      <c r="B4" s="253" t="s">
        <v>559</v>
      </c>
      <c r="C4" s="287">
        <v>2.745E-3</v>
      </c>
      <c r="D4" s="256">
        <v>3065485</v>
      </c>
    </row>
    <row r="5" spans="1:11" x14ac:dyDescent="0.25">
      <c r="A5" s="254">
        <v>10500</v>
      </c>
      <c r="B5" s="253" t="s">
        <v>761</v>
      </c>
      <c r="C5" s="287">
        <v>6.5760000000000005E-4</v>
      </c>
      <c r="D5" s="256">
        <v>700466</v>
      </c>
    </row>
    <row r="6" spans="1:11" x14ac:dyDescent="0.25">
      <c r="A6" s="254">
        <v>10700</v>
      </c>
      <c r="B6" s="253" t="s">
        <v>560</v>
      </c>
      <c r="C6" s="287">
        <v>4.3565000000000001E-3</v>
      </c>
      <c r="D6" s="256">
        <v>5122785</v>
      </c>
    </row>
    <row r="7" spans="1:11" x14ac:dyDescent="0.25">
      <c r="A7" s="254">
        <v>10800</v>
      </c>
      <c r="B7" s="253" t="s">
        <v>561</v>
      </c>
      <c r="C7" s="287">
        <v>1.7896700000000001E-2</v>
      </c>
      <c r="D7" s="256">
        <v>20950123</v>
      </c>
    </row>
    <row r="8" spans="1:11" x14ac:dyDescent="0.25">
      <c r="A8" s="254">
        <v>10850</v>
      </c>
      <c r="B8" s="253" t="s">
        <v>762</v>
      </c>
      <c r="C8" s="287">
        <v>1.4880000000000001E-4</v>
      </c>
      <c r="D8" s="256">
        <v>232034</v>
      </c>
    </row>
    <row r="9" spans="1:11" x14ac:dyDescent="0.25">
      <c r="A9" s="254">
        <v>10900</v>
      </c>
      <c r="B9" s="253" t="s">
        <v>562</v>
      </c>
      <c r="C9" s="288">
        <v>1.3324999999999999E-3</v>
      </c>
      <c r="D9" s="256">
        <v>1862428</v>
      </c>
    </row>
    <row r="10" spans="1:11" x14ac:dyDescent="0.25">
      <c r="A10" s="254">
        <v>10910</v>
      </c>
      <c r="B10" s="253" t="s">
        <v>763</v>
      </c>
      <c r="C10" s="288">
        <v>2.899E-4</v>
      </c>
      <c r="D10" s="256">
        <v>310617</v>
      </c>
    </row>
    <row r="11" spans="1:11" x14ac:dyDescent="0.25">
      <c r="A11" s="254">
        <v>10930</v>
      </c>
      <c r="B11" s="253" t="s">
        <v>764</v>
      </c>
      <c r="C11" s="288">
        <v>4.1469999999999996E-3</v>
      </c>
      <c r="D11" s="256">
        <v>5603562</v>
      </c>
    </row>
    <row r="12" spans="1:11" x14ac:dyDescent="0.25">
      <c r="A12" s="254">
        <v>10940</v>
      </c>
      <c r="B12" s="253" t="s">
        <v>765</v>
      </c>
      <c r="C12" s="288">
        <v>5.6950000000000002E-4</v>
      </c>
      <c r="D12" s="256">
        <v>754966</v>
      </c>
    </row>
    <row r="13" spans="1:11" x14ac:dyDescent="0.25">
      <c r="A13" s="254">
        <v>10950</v>
      </c>
      <c r="B13" s="253" t="s">
        <v>36</v>
      </c>
      <c r="C13" s="288">
        <v>7.8209999999999998E-4</v>
      </c>
      <c r="D13" s="256">
        <v>874246</v>
      </c>
    </row>
    <row r="14" spans="1:11" x14ac:dyDescent="0.25">
      <c r="A14" s="254">
        <v>11050</v>
      </c>
      <c r="B14" s="253" t="s">
        <v>766</v>
      </c>
      <c r="C14" s="288">
        <v>1.9599999999999999E-4</v>
      </c>
      <c r="D14" s="256">
        <v>272270</v>
      </c>
    </row>
    <row r="15" spans="1:11" x14ac:dyDescent="0.25">
      <c r="A15" s="254">
        <v>11300</v>
      </c>
      <c r="B15" s="253" t="s">
        <v>767</v>
      </c>
      <c r="C15" s="287">
        <v>4.1491999999999996E-3</v>
      </c>
      <c r="D15" s="256">
        <v>5387847</v>
      </c>
    </row>
    <row r="16" spans="1:11" x14ac:dyDescent="0.25">
      <c r="A16" s="254">
        <v>11310</v>
      </c>
      <c r="B16" s="253" t="s">
        <v>112</v>
      </c>
      <c r="C16" s="287">
        <v>4.7610000000000003E-4</v>
      </c>
      <c r="D16" s="256">
        <v>592088</v>
      </c>
    </row>
    <row r="17" spans="1:4" x14ac:dyDescent="0.25">
      <c r="A17" s="254">
        <v>11600</v>
      </c>
      <c r="B17" s="253" t="s">
        <v>563</v>
      </c>
      <c r="C17" s="287">
        <v>2.0717999999999999E-3</v>
      </c>
      <c r="D17" s="256">
        <v>2188977</v>
      </c>
    </row>
    <row r="18" spans="1:4" x14ac:dyDescent="0.25">
      <c r="A18" s="254">
        <v>11900</v>
      </c>
      <c r="B18" s="253" t="s">
        <v>564</v>
      </c>
      <c r="C18" s="287">
        <v>2.2450000000000001E-4</v>
      </c>
      <c r="D18" s="256">
        <v>286025</v>
      </c>
    </row>
    <row r="19" spans="1:4" x14ac:dyDescent="0.25">
      <c r="A19" s="254">
        <v>12100</v>
      </c>
      <c r="B19" s="253" t="s">
        <v>768</v>
      </c>
      <c r="C19" s="287">
        <v>2.2770000000000001E-4</v>
      </c>
      <c r="D19" s="256">
        <v>260225</v>
      </c>
    </row>
    <row r="20" spans="1:4" x14ac:dyDescent="0.25">
      <c r="A20" s="254">
        <v>12150</v>
      </c>
      <c r="B20" s="253" t="s">
        <v>769</v>
      </c>
      <c r="C20" s="287">
        <v>4.1199999999999999E-5</v>
      </c>
      <c r="D20" s="256">
        <v>36064</v>
      </c>
    </row>
    <row r="21" spans="1:4" x14ac:dyDescent="0.25">
      <c r="A21" s="254">
        <v>12160</v>
      </c>
      <c r="B21" s="253" t="s">
        <v>565</v>
      </c>
      <c r="C21" s="288">
        <v>1.6084000000000001E-3</v>
      </c>
      <c r="D21" s="256">
        <v>2084215</v>
      </c>
    </row>
    <row r="22" spans="1:4" x14ac:dyDescent="0.25">
      <c r="A22" s="254">
        <v>12220</v>
      </c>
      <c r="B22" s="253" t="s">
        <v>770</v>
      </c>
      <c r="C22" s="288">
        <v>4.1711100000000001E-2</v>
      </c>
      <c r="D22" s="256">
        <v>51986038</v>
      </c>
    </row>
    <row r="23" spans="1:4" x14ac:dyDescent="0.25">
      <c r="A23" s="254">
        <v>12510</v>
      </c>
      <c r="B23" s="253" t="s">
        <v>566</v>
      </c>
      <c r="C23" s="288">
        <v>3.8222E-3</v>
      </c>
      <c r="D23" s="256">
        <v>5374195</v>
      </c>
    </row>
    <row r="24" spans="1:4" x14ac:dyDescent="0.25">
      <c r="A24" s="254">
        <v>12600</v>
      </c>
      <c r="B24" s="253" t="s">
        <v>771</v>
      </c>
      <c r="C24" s="288">
        <v>1.7262E-3</v>
      </c>
      <c r="D24" s="256">
        <v>2276071</v>
      </c>
    </row>
    <row r="25" spans="1:4" x14ac:dyDescent="0.25">
      <c r="A25" s="254">
        <v>12700</v>
      </c>
      <c r="B25" s="253" t="s">
        <v>772</v>
      </c>
      <c r="C25" s="288">
        <v>9.8780000000000005E-4</v>
      </c>
      <c r="D25" s="256">
        <v>1302054</v>
      </c>
    </row>
    <row r="26" spans="1:4" x14ac:dyDescent="0.25">
      <c r="A26" s="254">
        <v>13500</v>
      </c>
      <c r="B26" s="253" t="s">
        <v>773</v>
      </c>
      <c r="C26" s="288">
        <v>3.7778E-3</v>
      </c>
      <c r="D26" s="256">
        <v>4523861</v>
      </c>
    </row>
    <row r="27" spans="1:4" x14ac:dyDescent="0.25">
      <c r="A27" s="254">
        <v>13700</v>
      </c>
      <c r="B27" s="253" t="s">
        <v>774</v>
      </c>
      <c r="C27" s="287">
        <v>4.0789999999999999E-4</v>
      </c>
      <c r="D27" s="256">
        <v>552553</v>
      </c>
    </row>
    <row r="28" spans="1:4" x14ac:dyDescent="0.25">
      <c r="A28" s="254">
        <v>14300</v>
      </c>
      <c r="B28" s="253" t="s">
        <v>775</v>
      </c>
      <c r="C28" s="287">
        <v>1.3366999999999999E-3</v>
      </c>
      <c r="D28" s="256">
        <v>1506471</v>
      </c>
    </row>
    <row r="29" spans="1:4" x14ac:dyDescent="0.25">
      <c r="A29" s="255">
        <v>14300.2</v>
      </c>
      <c r="B29" s="175" t="s">
        <v>168</v>
      </c>
      <c r="C29" s="287">
        <v>1.4449999999999999E-4</v>
      </c>
      <c r="D29" s="256">
        <v>210639</v>
      </c>
    </row>
    <row r="30" spans="1:4" x14ac:dyDescent="0.25">
      <c r="A30" s="254">
        <v>18400</v>
      </c>
      <c r="B30" s="253" t="s">
        <v>776</v>
      </c>
      <c r="C30" s="287">
        <v>4.8034999999999996E-3</v>
      </c>
      <c r="D30" s="256">
        <v>5797925</v>
      </c>
    </row>
    <row r="31" spans="1:4" x14ac:dyDescent="0.25">
      <c r="A31" s="254">
        <v>18600</v>
      </c>
      <c r="B31" s="253" t="s">
        <v>777</v>
      </c>
      <c r="C31" s="287">
        <v>1.34E-5</v>
      </c>
      <c r="D31" s="256">
        <v>16682</v>
      </c>
    </row>
    <row r="32" spans="1:4" x14ac:dyDescent="0.25">
      <c r="A32" s="254">
        <v>18640</v>
      </c>
      <c r="B32" s="253" t="s">
        <v>546</v>
      </c>
      <c r="C32" s="287">
        <v>1.3999999999999999E-6</v>
      </c>
      <c r="D32" s="256">
        <v>1983</v>
      </c>
    </row>
    <row r="33" spans="1:4" x14ac:dyDescent="0.25">
      <c r="A33" s="254">
        <v>18740</v>
      </c>
      <c r="B33" s="253" t="s">
        <v>778</v>
      </c>
      <c r="C33" s="288">
        <v>6.6000000000000003E-6</v>
      </c>
      <c r="D33" s="256">
        <v>8947</v>
      </c>
    </row>
    <row r="34" spans="1:4" x14ac:dyDescent="0.25">
      <c r="A34" s="254">
        <v>18780</v>
      </c>
      <c r="B34" s="253" t="s">
        <v>779</v>
      </c>
      <c r="C34" s="288">
        <v>1.8099999999999999E-5</v>
      </c>
      <c r="D34" s="256">
        <v>17315</v>
      </c>
    </row>
    <row r="35" spans="1:4" x14ac:dyDescent="0.25">
      <c r="A35" s="254">
        <v>19005</v>
      </c>
      <c r="B35" s="253" t="s">
        <v>780</v>
      </c>
      <c r="C35" s="288">
        <v>6.87E-4</v>
      </c>
      <c r="D35" s="256">
        <v>943804</v>
      </c>
    </row>
    <row r="36" spans="1:4" x14ac:dyDescent="0.25">
      <c r="A36" s="254">
        <v>19100</v>
      </c>
      <c r="B36" s="253" t="s">
        <v>567</v>
      </c>
      <c r="C36" s="288">
        <v>6.2379400000000002E-2</v>
      </c>
      <c r="D36" s="256">
        <v>69629284</v>
      </c>
    </row>
    <row r="37" spans="1:4" x14ac:dyDescent="0.25">
      <c r="A37" s="254">
        <v>20100</v>
      </c>
      <c r="B37" s="253" t="s">
        <v>37</v>
      </c>
      <c r="C37" s="288">
        <v>1.03909E-2</v>
      </c>
      <c r="D37" s="256">
        <v>11844684</v>
      </c>
    </row>
    <row r="38" spans="1:4" x14ac:dyDescent="0.25">
      <c r="A38" s="254">
        <v>20200</v>
      </c>
      <c r="B38" s="253" t="s">
        <v>38</v>
      </c>
      <c r="C38" s="288">
        <v>1.5545999999999999E-3</v>
      </c>
      <c r="D38" s="256">
        <v>1865282</v>
      </c>
    </row>
    <row r="39" spans="1:4" x14ac:dyDescent="0.25">
      <c r="A39" s="254">
        <v>20300</v>
      </c>
      <c r="B39" s="253" t="s">
        <v>39</v>
      </c>
      <c r="C39" s="287">
        <v>2.43634E-2</v>
      </c>
      <c r="D39" s="256">
        <v>27087694</v>
      </c>
    </row>
    <row r="40" spans="1:4" x14ac:dyDescent="0.25">
      <c r="A40" s="254">
        <v>20400</v>
      </c>
      <c r="B40" s="253" t="s">
        <v>40</v>
      </c>
      <c r="C40" s="287">
        <v>1.1263E-3</v>
      </c>
      <c r="D40" s="256">
        <v>1402858</v>
      </c>
    </row>
    <row r="41" spans="1:4" x14ac:dyDescent="0.25">
      <c r="A41" s="254">
        <v>20600</v>
      </c>
      <c r="B41" s="253" t="s">
        <v>41</v>
      </c>
      <c r="C41" s="287">
        <v>2.9204999999999999E-3</v>
      </c>
      <c r="D41" s="256">
        <v>3362040</v>
      </c>
    </row>
    <row r="42" spans="1:4" x14ac:dyDescent="0.25">
      <c r="A42" s="254">
        <v>20700</v>
      </c>
      <c r="B42" s="253" t="s">
        <v>42</v>
      </c>
      <c r="C42" s="287">
        <v>5.8561999999999998E-3</v>
      </c>
      <c r="D42" s="256">
        <v>7178911</v>
      </c>
    </row>
    <row r="43" spans="1:4" x14ac:dyDescent="0.25">
      <c r="A43" s="254">
        <v>20800</v>
      </c>
      <c r="B43" s="253" t="s">
        <v>43</v>
      </c>
      <c r="C43" s="287">
        <v>4.4494000000000001E-3</v>
      </c>
      <c r="D43" s="256">
        <v>5435779</v>
      </c>
    </row>
    <row r="44" spans="1:4" x14ac:dyDescent="0.25">
      <c r="A44" s="254">
        <v>20900</v>
      </c>
      <c r="B44" s="253" t="s">
        <v>44</v>
      </c>
      <c r="C44" s="287">
        <v>1.00445E-2</v>
      </c>
      <c r="D44" s="256">
        <v>11862049</v>
      </c>
    </row>
    <row r="45" spans="1:4" x14ac:dyDescent="0.25">
      <c r="A45" s="254">
        <v>21200</v>
      </c>
      <c r="B45" s="253" t="s">
        <v>45</v>
      </c>
      <c r="C45" s="288">
        <v>3.0558999999999998E-3</v>
      </c>
      <c r="D45" s="256">
        <v>3428775</v>
      </c>
    </row>
    <row r="46" spans="1:4" x14ac:dyDescent="0.25">
      <c r="A46" s="254">
        <v>21300</v>
      </c>
      <c r="B46" s="253" t="s">
        <v>46</v>
      </c>
      <c r="C46" s="288">
        <v>3.8835599999999998E-2</v>
      </c>
      <c r="D46" s="256">
        <v>42096863</v>
      </c>
    </row>
    <row r="47" spans="1:4" x14ac:dyDescent="0.25">
      <c r="A47" s="254">
        <v>21520</v>
      </c>
      <c r="B47" s="253" t="s">
        <v>781</v>
      </c>
      <c r="C47" s="288">
        <v>6.9092200000000006E-2</v>
      </c>
      <c r="D47" s="256">
        <v>75448968</v>
      </c>
    </row>
    <row r="48" spans="1:4" x14ac:dyDescent="0.25">
      <c r="A48" s="254">
        <v>21525</v>
      </c>
      <c r="B48" s="2" t="s">
        <v>810</v>
      </c>
      <c r="C48" s="288">
        <v>1.5966000000000001E-3</v>
      </c>
      <c r="D48" s="256">
        <v>1794900</v>
      </c>
    </row>
    <row r="49" spans="1:4" x14ac:dyDescent="0.25">
      <c r="A49" s="255">
        <v>21525.200000000001</v>
      </c>
      <c r="B49" s="175" t="s">
        <v>782</v>
      </c>
      <c r="C49" s="288">
        <v>1.4980000000000001E-4</v>
      </c>
      <c r="D49" s="256">
        <v>219917</v>
      </c>
    </row>
    <row r="50" spans="1:4" x14ac:dyDescent="0.25">
      <c r="A50" s="254">
        <v>21550</v>
      </c>
      <c r="B50" s="253" t="s">
        <v>48</v>
      </c>
      <c r="C50" s="288">
        <v>4.2226699999999999E-2</v>
      </c>
      <c r="D50" s="256">
        <v>44299977</v>
      </c>
    </row>
    <row r="51" spans="1:4" x14ac:dyDescent="0.25">
      <c r="A51" s="254">
        <v>21570</v>
      </c>
      <c r="B51" s="253" t="s">
        <v>568</v>
      </c>
      <c r="C51" s="287">
        <v>1.8249999999999999E-4</v>
      </c>
      <c r="D51" s="256">
        <v>219600</v>
      </c>
    </row>
    <row r="52" spans="1:4" x14ac:dyDescent="0.25">
      <c r="A52" s="254">
        <v>21800</v>
      </c>
      <c r="B52" s="253" t="s">
        <v>49</v>
      </c>
      <c r="C52" s="287">
        <v>5.7892000000000004E-3</v>
      </c>
      <c r="D52" s="256">
        <v>6133797</v>
      </c>
    </row>
    <row r="53" spans="1:4" x14ac:dyDescent="0.25">
      <c r="A53" s="254">
        <v>21900</v>
      </c>
      <c r="B53" s="253" t="s">
        <v>50</v>
      </c>
      <c r="C53" s="287">
        <v>2.9853000000000002E-3</v>
      </c>
      <c r="D53" s="256">
        <v>3524097</v>
      </c>
    </row>
    <row r="54" spans="1:4" x14ac:dyDescent="0.25">
      <c r="A54" s="254">
        <v>22000</v>
      </c>
      <c r="B54" s="253" t="s">
        <v>569</v>
      </c>
      <c r="C54" s="287">
        <v>2.8392999999999999E-3</v>
      </c>
      <c r="D54" s="256">
        <v>3750068</v>
      </c>
    </row>
    <row r="55" spans="1:4" x14ac:dyDescent="0.25">
      <c r="A55" s="254">
        <v>23000</v>
      </c>
      <c r="B55" s="253" t="s">
        <v>51</v>
      </c>
      <c r="C55" s="287">
        <v>2.4845000000000002E-3</v>
      </c>
      <c r="D55" s="256">
        <v>2708035</v>
      </c>
    </row>
    <row r="56" spans="1:4" x14ac:dyDescent="0.25">
      <c r="A56" s="254">
        <v>23100</v>
      </c>
      <c r="B56" s="253" t="s">
        <v>52</v>
      </c>
      <c r="C56" s="287">
        <v>1.5402900000000001E-2</v>
      </c>
      <c r="D56" s="256">
        <v>16936138</v>
      </c>
    </row>
    <row r="57" spans="1:4" x14ac:dyDescent="0.25">
      <c r="A57" s="254">
        <v>23200</v>
      </c>
      <c r="B57" s="253" t="s">
        <v>53</v>
      </c>
      <c r="C57" s="287">
        <v>8.2035000000000007E-3</v>
      </c>
      <c r="D57" s="256">
        <v>9151354</v>
      </c>
    </row>
    <row r="58" spans="1:4" x14ac:dyDescent="0.25">
      <c r="A58" s="254">
        <v>30000</v>
      </c>
      <c r="B58" s="253" t="s">
        <v>570</v>
      </c>
      <c r="C58" s="287">
        <v>7.8490000000000005E-4</v>
      </c>
      <c r="D58" s="256">
        <v>843184</v>
      </c>
    </row>
    <row r="59" spans="1:4" x14ac:dyDescent="0.25">
      <c r="A59" s="254">
        <v>30100</v>
      </c>
      <c r="B59" s="253" t="s">
        <v>571</v>
      </c>
      <c r="C59" s="287">
        <v>7.3597999999999997E-3</v>
      </c>
      <c r="D59" s="256">
        <v>7693289</v>
      </c>
    </row>
    <row r="60" spans="1:4" x14ac:dyDescent="0.25">
      <c r="A60" s="254">
        <v>30102</v>
      </c>
      <c r="B60" s="253" t="s">
        <v>572</v>
      </c>
      <c r="C60" s="287">
        <v>1.485E-4</v>
      </c>
      <c r="D60" s="256">
        <v>142659</v>
      </c>
    </row>
    <row r="61" spans="1:4" x14ac:dyDescent="0.25">
      <c r="A61" s="254">
        <v>30103</v>
      </c>
      <c r="B61" s="253" t="s">
        <v>573</v>
      </c>
      <c r="C61" s="287">
        <v>1.93E-4</v>
      </c>
      <c r="D61" s="256">
        <v>191174</v>
      </c>
    </row>
    <row r="62" spans="1:4" x14ac:dyDescent="0.25">
      <c r="A62" s="254">
        <v>30104</v>
      </c>
      <c r="B62" s="253" t="s">
        <v>574</v>
      </c>
      <c r="C62" s="287">
        <v>1.104E-4</v>
      </c>
      <c r="D62" s="256">
        <v>86944</v>
      </c>
    </row>
    <row r="63" spans="1:4" x14ac:dyDescent="0.25">
      <c r="A63" s="254">
        <v>30105</v>
      </c>
      <c r="B63" s="253" t="s">
        <v>54</v>
      </c>
      <c r="C63" s="288">
        <v>7.5190000000000001E-4</v>
      </c>
      <c r="D63" s="256">
        <v>896284</v>
      </c>
    </row>
    <row r="64" spans="1:4" x14ac:dyDescent="0.25">
      <c r="A64" s="254">
        <v>30200</v>
      </c>
      <c r="B64" s="253" t="s">
        <v>575</v>
      </c>
      <c r="C64" s="288">
        <v>1.7036E-3</v>
      </c>
      <c r="D64" s="256">
        <v>1823755</v>
      </c>
    </row>
    <row r="65" spans="1:4" x14ac:dyDescent="0.25">
      <c r="A65" s="254">
        <v>30300</v>
      </c>
      <c r="B65" s="253" t="s">
        <v>576</v>
      </c>
      <c r="C65" s="288">
        <v>5.5020000000000004E-4</v>
      </c>
      <c r="D65" s="256">
        <v>599547</v>
      </c>
    </row>
    <row r="66" spans="1:4" x14ac:dyDescent="0.25">
      <c r="A66" s="254">
        <v>30400</v>
      </c>
      <c r="B66" s="253" t="s">
        <v>577</v>
      </c>
      <c r="C66" s="288">
        <v>1.0061E-3</v>
      </c>
      <c r="D66" s="256">
        <v>1197755</v>
      </c>
    </row>
    <row r="67" spans="1:4" x14ac:dyDescent="0.25">
      <c r="A67" s="254">
        <v>30405</v>
      </c>
      <c r="B67" s="253" t="s">
        <v>55</v>
      </c>
      <c r="C67" s="288">
        <v>6.045E-4</v>
      </c>
      <c r="D67" s="256">
        <v>657772</v>
      </c>
    </row>
    <row r="68" spans="1:4" x14ac:dyDescent="0.25">
      <c r="A68" s="254">
        <v>30500</v>
      </c>
      <c r="B68" s="253" t="s">
        <v>578</v>
      </c>
      <c r="C68" s="288">
        <v>1.0892E-3</v>
      </c>
      <c r="D68" s="256">
        <v>1213637</v>
      </c>
    </row>
    <row r="69" spans="1:4" x14ac:dyDescent="0.25">
      <c r="A69" s="254">
        <v>30600</v>
      </c>
      <c r="B69" s="253" t="s">
        <v>579</v>
      </c>
      <c r="C69" s="287">
        <v>7.94E-4</v>
      </c>
      <c r="D69" s="256">
        <v>869608</v>
      </c>
    </row>
    <row r="70" spans="1:4" x14ac:dyDescent="0.25">
      <c r="A70" s="254">
        <v>30601</v>
      </c>
      <c r="B70" s="253" t="s">
        <v>580</v>
      </c>
      <c r="C70" s="287">
        <v>7.3000000000000004E-6</v>
      </c>
      <c r="D70" s="256">
        <v>16084</v>
      </c>
    </row>
    <row r="71" spans="1:4" x14ac:dyDescent="0.25">
      <c r="A71" s="254">
        <v>30700</v>
      </c>
      <c r="B71" s="253" t="s">
        <v>581</v>
      </c>
      <c r="C71" s="287">
        <v>2.1388000000000002E-3</v>
      </c>
      <c r="D71" s="256">
        <v>2395728</v>
      </c>
    </row>
    <row r="72" spans="1:4" x14ac:dyDescent="0.25">
      <c r="A72" s="254">
        <v>30705</v>
      </c>
      <c r="B72" s="253" t="s">
        <v>56</v>
      </c>
      <c r="C72" s="287">
        <v>4.0759999999999999E-4</v>
      </c>
      <c r="D72" s="256">
        <v>457415</v>
      </c>
    </row>
    <row r="73" spans="1:4" x14ac:dyDescent="0.25">
      <c r="A73" s="254">
        <v>30800</v>
      </c>
      <c r="B73" s="253" t="s">
        <v>582</v>
      </c>
      <c r="C73" s="287">
        <v>7.1400000000000001E-4</v>
      </c>
      <c r="D73" s="256">
        <v>825621</v>
      </c>
    </row>
    <row r="74" spans="1:4" x14ac:dyDescent="0.25">
      <c r="A74" s="254">
        <v>30900</v>
      </c>
      <c r="B74" s="253" t="s">
        <v>583</v>
      </c>
      <c r="C74" s="287">
        <v>1.3470999999999999E-3</v>
      </c>
      <c r="D74" s="256">
        <v>1624932</v>
      </c>
    </row>
    <row r="75" spans="1:4" x14ac:dyDescent="0.25">
      <c r="A75" s="254">
        <v>30905</v>
      </c>
      <c r="B75" s="253" t="s">
        <v>57</v>
      </c>
      <c r="C75" s="288">
        <v>2.654E-4</v>
      </c>
      <c r="D75" s="256">
        <v>388211</v>
      </c>
    </row>
    <row r="76" spans="1:4" x14ac:dyDescent="0.25">
      <c r="A76" s="254">
        <v>31000</v>
      </c>
      <c r="B76" s="253" t="s">
        <v>584</v>
      </c>
      <c r="C76" s="288">
        <v>4.2110000000000003E-3</v>
      </c>
      <c r="D76" s="256">
        <v>4677668</v>
      </c>
    </row>
    <row r="77" spans="1:4" x14ac:dyDescent="0.25">
      <c r="A77" s="254">
        <v>31005</v>
      </c>
      <c r="B77" s="253" t="s">
        <v>58</v>
      </c>
      <c r="C77" s="288">
        <v>3.8059999999999998E-4</v>
      </c>
      <c r="D77" s="256">
        <v>477363</v>
      </c>
    </row>
    <row r="78" spans="1:4" x14ac:dyDescent="0.25">
      <c r="A78" s="254">
        <v>31100</v>
      </c>
      <c r="B78" s="253" t="s">
        <v>585</v>
      </c>
      <c r="C78" s="288">
        <v>8.7968000000000005E-3</v>
      </c>
      <c r="D78" s="256">
        <v>9389029</v>
      </c>
    </row>
    <row r="79" spans="1:4" x14ac:dyDescent="0.25">
      <c r="A79" s="254">
        <v>31101</v>
      </c>
      <c r="B79" s="253" t="s">
        <v>783</v>
      </c>
      <c r="C79" s="288">
        <v>5.27E-5</v>
      </c>
      <c r="D79" s="256">
        <v>52730</v>
      </c>
    </row>
    <row r="80" spans="1:4" x14ac:dyDescent="0.25">
      <c r="A80" s="254">
        <v>31102</v>
      </c>
      <c r="B80" s="253" t="s">
        <v>586</v>
      </c>
      <c r="C80" s="288">
        <v>1.662E-4</v>
      </c>
      <c r="D80" s="256">
        <v>151597</v>
      </c>
    </row>
    <row r="81" spans="1:4" x14ac:dyDescent="0.25">
      <c r="A81" s="254">
        <v>31105</v>
      </c>
      <c r="B81" s="253" t="s">
        <v>59</v>
      </c>
      <c r="C81" s="287">
        <v>1.3437E-3</v>
      </c>
      <c r="D81" s="256">
        <v>1538436</v>
      </c>
    </row>
    <row r="82" spans="1:4" x14ac:dyDescent="0.25">
      <c r="A82" s="254">
        <v>31110</v>
      </c>
      <c r="B82" s="253" t="s">
        <v>587</v>
      </c>
      <c r="C82" s="287">
        <v>2.1373999999999998E-3</v>
      </c>
      <c r="D82" s="256">
        <v>2237480</v>
      </c>
    </row>
    <row r="83" spans="1:4" x14ac:dyDescent="0.25">
      <c r="A83" s="254">
        <v>31200</v>
      </c>
      <c r="B83" s="253" t="s">
        <v>588</v>
      </c>
      <c r="C83" s="287">
        <v>3.7364E-3</v>
      </c>
      <c r="D83" s="256">
        <v>4152064</v>
      </c>
    </row>
    <row r="84" spans="1:4" x14ac:dyDescent="0.25">
      <c r="A84" s="254">
        <v>31205</v>
      </c>
      <c r="B84" s="253" t="s">
        <v>60</v>
      </c>
      <c r="C84" s="287">
        <v>4.2180000000000001E-4</v>
      </c>
      <c r="D84" s="256">
        <v>519724</v>
      </c>
    </row>
    <row r="85" spans="1:4" x14ac:dyDescent="0.25">
      <c r="A85" s="254">
        <v>31300</v>
      </c>
      <c r="B85" s="253" t="s">
        <v>589</v>
      </c>
      <c r="C85" s="287">
        <v>1.08685E-2</v>
      </c>
      <c r="D85" s="256">
        <v>10988076</v>
      </c>
    </row>
    <row r="86" spans="1:4" x14ac:dyDescent="0.25">
      <c r="A86" s="254">
        <v>31301</v>
      </c>
      <c r="B86" s="253" t="s">
        <v>590</v>
      </c>
      <c r="C86" s="287">
        <v>2.3369999999999999E-4</v>
      </c>
      <c r="D86" s="256">
        <v>221160</v>
      </c>
    </row>
    <row r="87" spans="1:4" x14ac:dyDescent="0.25">
      <c r="A87" s="254">
        <v>31320</v>
      </c>
      <c r="B87" s="253" t="s">
        <v>591</v>
      </c>
      <c r="C87" s="288">
        <v>1.9134E-3</v>
      </c>
      <c r="D87" s="256">
        <v>1948436</v>
      </c>
    </row>
    <row r="88" spans="1:4" x14ac:dyDescent="0.25">
      <c r="A88" s="254">
        <v>31400</v>
      </c>
      <c r="B88" s="253" t="s">
        <v>592</v>
      </c>
      <c r="C88" s="288">
        <v>3.8923999999999999E-3</v>
      </c>
      <c r="D88" s="256">
        <v>4357285</v>
      </c>
    </row>
    <row r="89" spans="1:4" x14ac:dyDescent="0.25">
      <c r="A89" s="254">
        <v>31405</v>
      </c>
      <c r="B89" s="253" t="s">
        <v>61</v>
      </c>
      <c r="C89" s="288">
        <v>7.5860000000000001E-4</v>
      </c>
      <c r="D89" s="256">
        <v>954428</v>
      </c>
    </row>
    <row r="90" spans="1:4" x14ac:dyDescent="0.25">
      <c r="A90" s="254">
        <v>31500</v>
      </c>
      <c r="B90" s="253" t="s">
        <v>593</v>
      </c>
      <c r="C90" s="288">
        <v>6.3100000000000005E-4</v>
      </c>
      <c r="D90" s="256">
        <v>719763</v>
      </c>
    </row>
    <row r="91" spans="1:4" x14ac:dyDescent="0.25">
      <c r="A91" s="254">
        <v>31600</v>
      </c>
      <c r="B91" s="253" t="s">
        <v>594</v>
      </c>
      <c r="C91" s="288">
        <v>2.8435000000000001E-3</v>
      </c>
      <c r="D91" s="256">
        <v>3114323</v>
      </c>
    </row>
    <row r="92" spans="1:4" x14ac:dyDescent="0.25">
      <c r="A92" s="254">
        <v>31605</v>
      </c>
      <c r="B92" s="253" t="s">
        <v>62</v>
      </c>
      <c r="C92" s="288">
        <v>4.0170000000000001E-4</v>
      </c>
      <c r="D92" s="256">
        <v>515764</v>
      </c>
    </row>
    <row r="93" spans="1:4" x14ac:dyDescent="0.25">
      <c r="A93" s="254">
        <v>31700</v>
      </c>
      <c r="B93" s="253" t="s">
        <v>595</v>
      </c>
      <c r="C93" s="287">
        <v>8.3989999999999998E-4</v>
      </c>
      <c r="D93" s="256">
        <v>966921</v>
      </c>
    </row>
    <row r="94" spans="1:4" x14ac:dyDescent="0.25">
      <c r="A94" s="254">
        <v>31800</v>
      </c>
      <c r="B94" s="253" t="s">
        <v>596</v>
      </c>
      <c r="C94" s="287">
        <v>4.9170999999999998E-3</v>
      </c>
      <c r="D94" s="256">
        <v>5501511</v>
      </c>
    </row>
    <row r="95" spans="1:4" x14ac:dyDescent="0.25">
      <c r="A95" s="254">
        <v>31805</v>
      </c>
      <c r="B95" s="253" t="s">
        <v>63</v>
      </c>
      <c r="C95" s="287">
        <v>1.0134E-3</v>
      </c>
      <c r="D95" s="256">
        <v>1247076</v>
      </c>
    </row>
    <row r="96" spans="1:4" x14ac:dyDescent="0.25">
      <c r="A96" s="254">
        <v>31810</v>
      </c>
      <c r="B96" s="253" t="s">
        <v>597</v>
      </c>
      <c r="C96" s="287">
        <v>1.271E-3</v>
      </c>
      <c r="D96" s="256">
        <v>1391412</v>
      </c>
    </row>
    <row r="97" spans="1:4" x14ac:dyDescent="0.25">
      <c r="A97" s="254">
        <v>31820</v>
      </c>
      <c r="B97" s="253" t="s">
        <v>598</v>
      </c>
      <c r="C97" s="287">
        <v>1.0979E-3</v>
      </c>
      <c r="D97" s="256">
        <v>1120888</v>
      </c>
    </row>
    <row r="98" spans="1:4" x14ac:dyDescent="0.25">
      <c r="A98" s="254">
        <v>31900</v>
      </c>
      <c r="B98" s="253" t="s">
        <v>599</v>
      </c>
      <c r="C98" s="287">
        <v>3.2231999999999998E-3</v>
      </c>
      <c r="D98" s="256">
        <v>3469901</v>
      </c>
    </row>
    <row r="99" spans="1:4" x14ac:dyDescent="0.25">
      <c r="A99" s="254">
        <v>32000</v>
      </c>
      <c r="B99" s="253" t="s">
        <v>600</v>
      </c>
      <c r="C99" s="288">
        <v>1.2791E-3</v>
      </c>
      <c r="D99" s="256">
        <v>1410711</v>
      </c>
    </row>
    <row r="100" spans="1:4" x14ac:dyDescent="0.25">
      <c r="A100" s="254">
        <v>32005</v>
      </c>
      <c r="B100" s="253" t="s">
        <v>64</v>
      </c>
      <c r="C100" s="288">
        <v>2.6140000000000001E-4</v>
      </c>
      <c r="D100" s="256">
        <v>308212</v>
      </c>
    </row>
    <row r="101" spans="1:4" x14ac:dyDescent="0.25">
      <c r="A101" s="254">
        <v>32100</v>
      </c>
      <c r="B101" s="253" t="s">
        <v>601</v>
      </c>
      <c r="C101" s="288">
        <v>7.1690000000000002E-4</v>
      </c>
      <c r="D101" s="256">
        <v>820799</v>
      </c>
    </row>
    <row r="102" spans="1:4" x14ac:dyDescent="0.25">
      <c r="A102" s="254">
        <v>32200</v>
      </c>
      <c r="B102" s="253" t="s">
        <v>602</v>
      </c>
      <c r="C102" s="288">
        <v>4.8730000000000003E-4</v>
      </c>
      <c r="D102" s="256">
        <v>548469</v>
      </c>
    </row>
    <row r="103" spans="1:4" x14ac:dyDescent="0.25">
      <c r="A103" s="254">
        <v>32300</v>
      </c>
      <c r="B103" s="253" t="s">
        <v>603</v>
      </c>
      <c r="C103" s="288">
        <v>5.0096000000000003E-3</v>
      </c>
      <c r="D103" s="256">
        <v>5345601</v>
      </c>
    </row>
    <row r="104" spans="1:4" x14ac:dyDescent="0.25">
      <c r="A104" s="254">
        <v>32305</v>
      </c>
      <c r="B104" s="253" t="s">
        <v>784</v>
      </c>
      <c r="C104" s="288">
        <v>5.4049999999999996E-4</v>
      </c>
      <c r="D104" s="256">
        <v>620567</v>
      </c>
    </row>
    <row r="105" spans="1:4" x14ac:dyDescent="0.25">
      <c r="A105" s="254">
        <v>32400</v>
      </c>
      <c r="B105" s="253" t="s">
        <v>604</v>
      </c>
      <c r="C105" s="287">
        <v>1.7668E-3</v>
      </c>
      <c r="D105" s="256">
        <v>2038099</v>
      </c>
    </row>
    <row r="106" spans="1:4" x14ac:dyDescent="0.25">
      <c r="A106" s="254">
        <v>32405</v>
      </c>
      <c r="B106" s="253" t="s">
        <v>66</v>
      </c>
      <c r="C106" s="287">
        <v>4.8119999999999999E-4</v>
      </c>
      <c r="D106" s="256">
        <v>582348</v>
      </c>
    </row>
    <row r="107" spans="1:4" x14ac:dyDescent="0.25">
      <c r="A107" s="254">
        <v>32410</v>
      </c>
      <c r="B107" s="253" t="s">
        <v>605</v>
      </c>
      <c r="C107" s="287">
        <v>7.2230000000000005E-4</v>
      </c>
      <c r="D107" s="256">
        <v>877608</v>
      </c>
    </row>
    <row r="108" spans="1:4" x14ac:dyDescent="0.25">
      <c r="A108" s="254">
        <v>32500</v>
      </c>
      <c r="B108" s="253" t="s">
        <v>785</v>
      </c>
      <c r="C108" s="287">
        <v>4.2529999999999998E-3</v>
      </c>
      <c r="D108" s="256">
        <v>4643449</v>
      </c>
    </row>
    <row r="109" spans="1:4" x14ac:dyDescent="0.25">
      <c r="A109" s="254">
        <v>32505</v>
      </c>
      <c r="B109" s="253" t="s">
        <v>67</v>
      </c>
      <c r="C109" s="287">
        <v>6.1600000000000001E-4</v>
      </c>
      <c r="D109" s="256">
        <v>729187</v>
      </c>
    </row>
    <row r="110" spans="1:4" x14ac:dyDescent="0.25">
      <c r="A110" s="254">
        <v>32600</v>
      </c>
      <c r="B110" s="253" t="s">
        <v>606</v>
      </c>
      <c r="C110" s="287">
        <v>1.5513600000000001E-2</v>
      </c>
      <c r="D110" s="256">
        <v>16719898</v>
      </c>
    </row>
    <row r="111" spans="1:4" x14ac:dyDescent="0.25">
      <c r="A111" s="254">
        <v>32605</v>
      </c>
      <c r="B111" s="253" t="s">
        <v>68</v>
      </c>
      <c r="C111" s="287">
        <v>2.1827999999999999E-3</v>
      </c>
      <c r="D111" s="256">
        <v>2615525</v>
      </c>
    </row>
    <row r="112" spans="1:4" x14ac:dyDescent="0.25">
      <c r="A112" s="254">
        <v>32700</v>
      </c>
      <c r="B112" s="253" t="s">
        <v>607</v>
      </c>
      <c r="C112" s="287">
        <v>1.3818000000000001E-3</v>
      </c>
      <c r="D112" s="256">
        <v>1555753</v>
      </c>
    </row>
    <row r="113" spans="1:4" x14ac:dyDescent="0.25">
      <c r="A113" s="254">
        <v>32800</v>
      </c>
      <c r="B113" s="253" t="s">
        <v>608</v>
      </c>
      <c r="C113" s="287">
        <v>1.9838999999999998E-3</v>
      </c>
      <c r="D113" s="256">
        <v>2276661</v>
      </c>
    </row>
    <row r="114" spans="1:4" x14ac:dyDescent="0.25">
      <c r="A114" s="254">
        <v>32900</v>
      </c>
      <c r="B114" s="253" t="s">
        <v>609</v>
      </c>
      <c r="C114" s="287">
        <v>5.5779000000000002E-3</v>
      </c>
      <c r="D114" s="256">
        <v>5934856</v>
      </c>
    </row>
    <row r="115" spans="1:4" x14ac:dyDescent="0.25">
      <c r="A115" s="254">
        <v>32901</v>
      </c>
      <c r="B115" s="253" t="s">
        <v>786</v>
      </c>
      <c r="C115" s="287">
        <v>1.249E-4</v>
      </c>
      <c r="D115" s="256">
        <v>99054</v>
      </c>
    </row>
    <row r="116" spans="1:4" x14ac:dyDescent="0.25">
      <c r="A116" s="254">
        <v>32905</v>
      </c>
      <c r="B116" s="253" t="s">
        <v>69</v>
      </c>
      <c r="C116" s="287">
        <v>7.4140000000000002E-4</v>
      </c>
      <c r="D116" s="256">
        <v>879332</v>
      </c>
    </row>
    <row r="117" spans="1:4" x14ac:dyDescent="0.25">
      <c r="A117" s="254">
        <v>32910</v>
      </c>
      <c r="B117" s="253" t="s">
        <v>610</v>
      </c>
      <c r="C117" s="288">
        <v>1.0862999999999999E-3</v>
      </c>
      <c r="D117" s="256">
        <v>1205254</v>
      </c>
    </row>
    <row r="118" spans="1:4" x14ac:dyDescent="0.25">
      <c r="A118" s="254">
        <v>32920</v>
      </c>
      <c r="B118" s="253" t="s">
        <v>611</v>
      </c>
      <c r="C118" s="288">
        <v>9.0410000000000002E-4</v>
      </c>
      <c r="D118" s="256">
        <v>952800</v>
      </c>
    </row>
    <row r="119" spans="1:4" x14ac:dyDescent="0.25">
      <c r="A119" s="254">
        <v>33000</v>
      </c>
      <c r="B119" s="253" t="s">
        <v>612</v>
      </c>
      <c r="C119" s="288">
        <v>2.1622999999999998E-3</v>
      </c>
      <c r="D119" s="256">
        <v>2253735</v>
      </c>
    </row>
    <row r="120" spans="1:4" x14ac:dyDescent="0.25">
      <c r="A120" s="254">
        <v>33001</v>
      </c>
      <c r="B120" s="253" t="s">
        <v>787</v>
      </c>
      <c r="C120" s="288">
        <v>4.9599999999999999E-5</v>
      </c>
      <c r="D120" s="256">
        <v>58979</v>
      </c>
    </row>
    <row r="121" spans="1:4" x14ac:dyDescent="0.25">
      <c r="A121" s="254">
        <v>33027</v>
      </c>
      <c r="B121" s="253" t="s">
        <v>613</v>
      </c>
      <c r="C121" s="288">
        <v>2.967E-4</v>
      </c>
      <c r="D121" s="256">
        <v>274536</v>
      </c>
    </row>
    <row r="122" spans="1:4" x14ac:dyDescent="0.25">
      <c r="A122" s="254">
        <v>33100</v>
      </c>
      <c r="B122" s="253" t="s">
        <v>614</v>
      </c>
      <c r="C122" s="288">
        <v>2.9190000000000002E-3</v>
      </c>
      <c r="D122" s="256">
        <v>3204608</v>
      </c>
    </row>
    <row r="123" spans="1:4" x14ac:dyDescent="0.25">
      <c r="A123" s="254">
        <v>33105</v>
      </c>
      <c r="B123" s="253" t="s">
        <v>70</v>
      </c>
      <c r="C123" s="287">
        <v>3.1780000000000003E-4</v>
      </c>
      <c r="D123" s="256">
        <v>365218</v>
      </c>
    </row>
    <row r="124" spans="1:4" x14ac:dyDescent="0.25">
      <c r="A124" s="254">
        <v>33200</v>
      </c>
      <c r="B124" s="253" t="s">
        <v>615</v>
      </c>
      <c r="C124" s="287">
        <v>1.3740499999999999E-2</v>
      </c>
      <c r="D124" s="256">
        <v>14438875</v>
      </c>
    </row>
    <row r="125" spans="1:4" x14ac:dyDescent="0.25">
      <c r="A125" s="254">
        <v>33202</v>
      </c>
      <c r="B125" s="253" t="s">
        <v>788</v>
      </c>
      <c r="C125" s="287">
        <v>2.3029999999999999E-4</v>
      </c>
      <c r="D125" s="256">
        <v>197473</v>
      </c>
    </row>
    <row r="126" spans="1:4" x14ac:dyDescent="0.25">
      <c r="A126" s="254">
        <v>33203</v>
      </c>
      <c r="B126" s="253" t="s">
        <v>616</v>
      </c>
      <c r="C126" s="287">
        <v>1.147E-4</v>
      </c>
      <c r="D126" s="256">
        <v>116656</v>
      </c>
    </row>
    <row r="127" spans="1:4" x14ac:dyDescent="0.25">
      <c r="A127" s="254">
        <v>33204</v>
      </c>
      <c r="B127" s="253" t="s">
        <v>617</v>
      </c>
      <c r="C127" s="287">
        <v>3.9869999999999999E-4</v>
      </c>
      <c r="D127" s="256">
        <v>329776</v>
      </c>
    </row>
    <row r="128" spans="1:4" x14ac:dyDescent="0.25">
      <c r="A128" s="254">
        <v>33205</v>
      </c>
      <c r="B128" s="253" t="s">
        <v>71</v>
      </c>
      <c r="C128" s="287">
        <v>1.0323000000000001E-3</v>
      </c>
      <c r="D128" s="256">
        <v>1239179</v>
      </c>
    </row>
    <row r="129" spans="1:4" x14ac:dyDescent="0.25">
      <c r="A129" s="254">
        <v>33206</v>
      </c>
      <c r="B129" s="253" t="s">
        <v>618</v>
      </c>
      <c r="C129" s="288">
        <v>1.0119999999999999E-4</v>
      </c>
      <c r="D129" s="256">
        <v>112074</v>
      </c>
    </row>
    <row r="130" spans="1:4" x14ac:dyDescent="0.25">
      <c r="A130" s="254">
        <v>33207</v>
      </c>
      <c r="B130" s="253" t="s">
        <v>619</v>
      </c>
      <c r="C130" s="288">
        <v>3.6420000000000002E-4</v>
      </c>
      <c r="D130" s="256">
        <v>293378</v>
      </c>
    </row>
    <row r="131" spans="1:4" x14ac:dyDescent="0.25">
      <c r="A131" s="254">
        <v>33209</v>
      </c>
      <c r="B131" s="253" t="s">
        <v>620</v>
      </c>
      <c r="C131" s="288">
        <v>1.069E-4</v>
      </c>
      <c r="D131" s="256">
        <v>96679</v>
      </c>
    </row>
    <row r="132" spans="1:4" x14ac:dyDescent="0.25">
      <c r="A132" s="254">
        <v>33300</v>
      </c>
      <c r="B132" s="253" t="s">
        <v>621</v>
      </c>
      <c r="C132" s="288">
        <v>1.9916000000000001E-3</v>
      </c>
      <c r="D132" s="256">
        <v>2130176</v>
      </c>
    </row>
    <row r="133" spans="1:4" x14ac:dyDescent="0.25">
      <c r="A133" s="254">
        <v>33305</v>
      </c>
      <c r="B133" s="253" t="s">
        <v>72</v>
      </c>
      <c r="C133" s="288">
        <v>4.5219999999999999E-4</v>
      </c>
      <c r="D133" s="256">
        <v>598338</v>
      </c>
    </row>
    <row r="134" spans="1:4" x14ac:dyDescent="0.25">
      <c r="A134" s="254">
        <v>33400</v>
      </c>
      <c r="B134" s="253" t="s">
        <v>622</v>
      </c>
      <c r="C134" s="288">
        <v>1.8004599999999999E-2</v>
      </c>
      <c r="D134" s="256">
        <v>18301156</v>
      </c>
    </row>
    <row r="135" spans="1:4" x14ac:dyDescent="0.25">
      <c r="A135" s="254">
        <v>33402</v>
      </c>
      <c r="B135" s="253" t="s">
        <v>623</v>
      </c>
      <c r="C135" s="287">
        <v>1.4889999999999999E-4</v>
      </c>
      <c r="D135" s="256">
        <v>146159</v>
      </c>
    </row>
    <row r="136" spans="1:4" x14ac:dyDescent="0.25">
      <c r="A136" s="254">
        <v>33405</v>
      </c>
      <c r="B136" s="253" t="s">
        <v>73</v>
      </c>
      <c r="C136" s="287">
        <v>1.5437000000000001E-3</v>
      </c>
      <c r="D136" s="256">
        <v>1880462</v>
      </c>
    </row>
    <row r="137" spans="1:4" x14ac:dyDescent="0.25">
      <c r="A137" s="254">
        <v>33500</v>
      </c>
      <c r="B137" s="253" t="s">
        <v>624</v>
      </c>
      <c r="C137" s="287">
        <v>2.7319000000000002E-3</v>
      </c>
      <c r="D137" s="256">
        <v>2549038</v>
      </c>
    </row>
    <row r="138" spans="1:4" x14ac:dyDescent="0.25">
      <c r="A138" s="254">
        <v>33501</v>
      </c>
      <c r="B138" s="253" t="s">
        <v>625</v>
      </c>
      <c r="C138" s="287">
        <v>6.8899999999999994E-5</v>
      </c>
      <c r="D138" s="256">
        <v>79692</v>
      </c>
    </row>
    <row r="139" spans="1:4" x14ac:dyDescent="0.25">
      <c r="A139" s="254">
        <v>33600</v>
      </c>
      <c r="B139" s="253" t="s">
        <v>626</v>
      </c>
      <c r="C139" s="287">
        <v>9.7421000000000001E-3</v>
      </c>
      <c r="D139" s="256">
        <v>10187982</v>
      </c>
    </row>
    <row r="140" spans="1:4" x14ac:dyDescent="0.25">
      <c r="A140" s="254">
        <v>33605</v>
      </c>
      <c r="B140" s="253" t="s">
        <v>74</v>
      </c>
      <c r="C140" s="287">
        <v>1.1186E-3</v>
      </c>
      <c r="D140" s="256">
        <v>1427911</v>
      </c>
    </row>
    <row r="141" spans="1:4" x14ac:dyDescent="0.25">
      <c r="A141" s="254">
        <v>33700</v>
      </c>
      <c r="B141" s="253" t="s">
        <v>627</v>
      </c>
      <c r="C141" s="288">
        <v>6.3540000000000005E-4</v>
      </c>
      <c r="D141" s="256">
        <v>723614</v>
      </c>
    </row>
    <row r="142" spans="1:4" x14ac:dyDescent="0.25">
      <c r="A142" s="254">
        <v>33800</v>
      </c>
      <c r="B142" s="253" t="s">
        <v>628</v>
      </c>
      <c r="C142" s="288">
        <v>4.7600000000000002E-4</v>
      </c>
      <c r="D142" s="256">
        <v>533374</v>
      </c>
    </row>
    <row r="143" spans="1:4" x14ac:dyDescent="0.25">
      <c r="A143" s="254">
        <v>33900</v>
      </c>
      <c r="B143" s="253" t="s">
        <v>789</v>
      </c>
      <c r="C143" s="288">
        <v>2.3679999999999999E-3</v>
      </c>
      <c r="D143" s="256">
        <v>2700002</v>
      </c>
    </row>
    <row r="144" spans="1:4" x14ac:dyDescent="0.25">
      <c r="A144" s="254">
        <v>34000</v>
      </c>
      <c r="B144" s="253" t="s">
        <v>629</v>
      </c>
      <c r="C144" s="288">
        <v>1.0878999999999999E-3</v>
      </c>
      <c r="D144" s="256">
        <v>1148373</v>
      </c>
    </row>
    <row r="145" spans="1:4" x14ac:dyDescent="0.25">
      <c r="A145" s="254">
        <v>34100</v>
      </c>
      <c r="B145" s="253" t="s">
        <v>630</v>
      </c>
      <c r="C145" s="288">
        <v>2.54115E-2</v>
      </c>
      <c r="D145" s="256">
        <v>26869144</v>
      </c>
    </row>
    <row r="146" spans="1:4" x14ac:dyDescent="0.25">
      <c r="A146" s="254">
        <v>34105</v>
      </c>
      <c r="B146" s="253" t="s">
        <v>75</v>
      </c>
      <c r="C146" s="288">
        <v>1.9219E-3</v>
      </c>
      <c r="D146" s="256">
        <v>2378959</v>
      </c>
    </row>
    <row r="147" spans="1:4" x14ac:dyDescent="0.25">
      <c r="A147" s="254">
        <v>34200</v>
      </c>
      <c r="B147" s="253" t="s">
        <v>631</v>
      </c>
      <c r="C147" s="287">
        <v>8.7100000000000003E-4</v>
      </c>
      <c r="D147" s="256">
        <v>1041903</v>
      </c>
    </row>
    <row r="148" spans="1:4" x14ac:dyDescent="0.25">
      <c r="A148" s="254">
        <v>34205</v>
      </c>
      <c r="B148" s="253" t="s">
        <v>76</v>
      </c>
      <c r="C148" s="287">
        <v>3.5270000000000001E-4</v>
      </c>
      <c r="D148" s="256">
        <v>424021</v>
      </c>
    </row>
    <row r="149" spans="1:4" x14ac:dyDescent="0.25">
      <c r="A149" s="254">
        <v>34220</v>
      </c>
      <c r="B149" s="253" t="s">
        <v>632</v>
      </c>
      <c r="C149" s="287">
        <v>9.5850000000000004E-4</v>
      </c>
      <c r="D149" s="256">
        <v>1076642</v>
      </c>
    </row>
    <row r="150" spans="1:4" x14ac:dyDescent="0.25">
      <c r="A150" s="254">
        <v>34230</v>
      </c>
      <c r="B150" s="253" t="s">
        <v>633</v>
      </c>
      <c r="C150" s="287">
        <v>3.1500000000000001E-4</v>
      </c>
      <c r="D150" s="256">
        <v>386274</v>
      </c>
    </row>
    <row r="151" spans="1:4" x14ac:dyDescent="0.25">
      <c r="A151" s="254">
        <v>34300</v>
      </c>
      <c r="B151" s="253" t="s">
        <v>634</v>
      </c>
      <c r="C151" s="287">
        <v>6.2100000000000002E-3</v>
      </c>
      <c r="D151" s="256">
        <v>6506671</v>
      </c>
    </row>
    <row r="152" spans="1:4" x14ac:dyDescent="0.25">
      <c r="A152" s="254">
        <v>34400</v>
      </c>
      <c r="B152" s="253" t="s">
        <v>635</v>
      </c>
      <c r="C152" s="287">
        <v>2.4664999999999999E-3</v>
      </c>
      <c r="D152" s="256">
        <v>2638675</v>
      </c>
    </row>
    <row r="153" spans="1:4" x14ac:dyDescent="0.25">
      <c r="A153" s="254">
        <v>34405</v>
      </c>
      <c r="B153" s="253" t="s">
        <v>77</v>
      </c>
      <c r="C153" s="288">
        <v>4.8959999999999997E-4</v>
      </c>
      <c r="D153" s="256">
        <v>528924</v>
      </c>
    </row>
    <row r="154" spans="1:4" x14ac:dyDescent="0.25">
      <c r="A154" s="254">
        <v>34500</v>
      </c>
      <c r="B154" s="253" t="s">
        <v>636</v>
      </c>
      <c r="C154" s="288">
        <v>4.5244999999999999E-3</v>
      </c>
      <c r="D154" s="256">
        <v>4784743</v>
      </c>
    </row>
    <row r="155" spans="1:4" x14ac:dyDescent="0.25">
      <c r="A155" s="254">
        <v>34501</v>
      </c>
      <c r="B155" s="253" t="s">
        <v>637</v>
      </c>
      <c r="C155" s="288">
        <v>6.0800000000000001E-5</v>
      </c>
      <c r="D155" s="256">
        <v>59125</v>
      </c>
    </row>
    <row r="156" spans="1:4" x14ac:dyDescent="0.25">
      <c r="A156" s="254">
        <v>34505</v>
      </c>
      <c r="B156" s="253" t="s">
        <v>78</v>
      </c>
      <c r="C156" s="288">
        <v>5.4839999999999999E-4</v>
      </c>
      <c r="D156" s="256">
        <v>662244</v>
      </c>
    </row>
    <row r="157" spans="1:4" x14ac:dyDescent="0.25">
      <c r="A157" s="254">
        <v>34600</v>
      </c>
      <c r="B157" s="253" t="s">
        <v>638</v>
      </c>
      <c r="C157" s="288">
        <v>9.7940000000000006E-4</v>
      </c>
      <c r="D157" s="256">
        <v>1155440</v>
      </c>
    </row>
    <row r="158" spans="1:4" x14ac:dyDescent="0.25">
      <c r="A158" s="254">
        <v>34605</v>
      </c>
      <c r="B158" s="253" t="s">
        <v>79</v>
      </c>
      <c r="C158" s="288">
        <v>1.873E-4</v>
      </c>
      <c r="D158" s="256">
        <v>230630</v>
      </c>
    </row>
    <row r="159" spans="1:4" x14ac:dyDescent="0.25">
      <c r="A159" s="254">
        <v>34700</v>
      </c>
      <c r="B159" s="253" t="s">
        <v>639</v>
      </c>
      <c r="C159" s="287">
        <v>2.9627999999999998E-3</v>
      </c>
      <c r="D159" s="256">
        <v>2928739</v>
      </c>
    </row>
    <row r="160" spans="1:4" x14ac:dyDescent="0.25">
      <c r="A160" s="254">
        <v>34800</v>
      </c>
      <c r="B160" s="253" t="s">
        <v>640</v>
      </c>
      <c r="C160" s="287">
        <v>3.146E-4</v>
      </c>
      <c r="D160" s="256">
        <v>364146</v>
      </c>
    </row>
    <row r="161" spans="1:4" x14ac:dyDescent="0.25">
      <c r="A161" s="254">
        <v>34900</v>
      </c>
      <c r="B161" s="253" t="s">
        <v>790</v>
      </c>
      <c r="C161" s="287">
        <v>6.2735999999999998E-3</v>
      </c>
      <c r="D161" s="256">
        <v>6821565</v>
      </c>
    </row>
    <row r="162" spans="1:4" x14ac:dyDescent="0.25">
      <c r="A162" s="254">
        <v>34901</v>
      </c>
      <c r="B162" s="253" t="s">
        <v>791</v>
      </c>
      <c r="C162" s="287">
        <v>1.671E-4</v>
      </c>
      <c r="D162" s="256">
        <v>160622</v>
      </c>
    </row>
    <row r="163" spans="1:4" x14ac:dyDescent="0.25">
      <c r="A163" s="254">
        <v>34903</v>
      </c>
      <c r="B163" s="253" t="s">
        <v>641</v>
      </c>
      <c r="C163" s="287">
        <v>6.1999999999999999E-6</v>
      </c>
      <c r="D163" s="256">
        <v>15781</v>
      </c>
    </row>
    <row r="164" spans="1:4" x14ac:dyDescent="0.25">
      <c r="A164" s="254">
        <v>34905</v>
      </c>
      <c r="B164" s="253" t="s">
        <v>80</v>
      </c>
      <c r="C164" s="287">
        <v>5.8960000000000002E-4</v>
      </c>
      <c r="D164" s="256">
        <v>682547</v>
      </c>
    </row>
    <row r="165" spans="1:4" x14ac:dyDescent="0.25">
      <c r="A165" s="254">
        <v>34910</v>
      </c>
      <c r="B165" s="253" t="s">
        <v>642</v>
      </c>
      <c r="C165" s="287">
        <v>1.9818000000000001E-3</v>
      </c>
      <c r="D165" s="256">
        <v>2086046</v>
      </c>
    </row>
    <row r="166" spans="1:4" x14ac:dyDescent="0.25">
      <c r="A166" s="254">
        <v>35000</v>
      </c>
      <c r="B166" s="253" t="s">
        <v>643</v>
      </c>
      <c r="C166" s="287">
        <v>1.3415E-3</v>
      </c>
      <c r="D166" s="256">
        <v>1405970</v>
      </c>
    </row>
    <row r="167" spans="1:4" x14ac:dyDescent="0.25">
      <c r="A167" s="254">
        <v>35005</v>
      </c>
      <c r="B167" s="253" t="s">
        <v>81</v>
      </c>
      <c r="C167" s="287">
        <v>5.8379999999999999E-4</v>
      </c>
      <c r="D167" s="256">
        <v>652313</v>
      </c>
    </row>
    <row r="168" spans="1:4" x14ac:dyDescent="0.25">
      <c r="A168" s="254">
        <v>35100</v>
      </c>
      <c r="B168" s="253" t="s">
        <v>644</v>
      </c>
      <c r="C168" s="287">
        <v>1.2027700000000001E-2</v>
      </c>
      <c r="D168" s="256">
        <v>12225486</v>
      </c>
    </row>
    <row r="169" spans="1:4" x14ac:dyDescent="0.25">
      <c r="A169" s="254">
        <v>35105</v>
      </c>
      <c r="B169" s="253" t="s">
        <v>82</v>
      </c>
      <c r="C169" s="287">
        <v>1.0097000000000001E-3</v>
      </c>
      <c r="D169" s="256">
        <v>1118699</v>
      </c>
    </row>
    <row r="170" spans="1:4" x14ac:dyDescent="0.25">
      <c r="A170" s="254">
        <v>35106</v>
      </c>
      <c r="B170" s="253" t="s">
        <v>645</v>
      </c>
      <c r="C170" s="287">
        <v>2.5119999999999998E-4</v>
      </c>
      <c r="D170" s="256">
        <v>245519</v>
      </c>
    </row>
    <row r="171" spans="1:4" x14ac:dyDescent="0.25">
      <c r="A171" s="254">
        <v>35200</v>
      </c>
      <c r="B171" s="253" t="s">
        <v>646</v>
      </c>
      <c r="C171" s="288">
        <v>4.7120000000000002E-4</v>
      </c>
      <c r="D171" s="256">
        <v>558443</v>
      </c>
    </row>
    <row r="172" spans="1:4" x14ac:dyDescent="0.25">
      <c r="A172" s="254">
        <v>35300</v>
      </c>
      <c r="B172" s="253" t="s">
        <v>792</v>
      </c>
      <c r="C172" s="288">
        <v>3.5450999999999998E-3</v>
      </c>
      <c r="D172" s="256">
        <v>3540210</v>
      </c>
    </row>
    <row r="173" spans="1:4" x14ac:dyDescent="0.25">
      <c r="A173" s="254">
        <v>35305</v>
      </c>
      <c r="B173" s="253" t="s">
        <v>83</v>
      </c>
      <c r="C173" s="288">
        <v>1.2462E-3</v>
      </c>
      <c r="D173" s="256">
        <v>1416019</v>
      </c>
    </row>
    <row r="174" spans="1:4" x14ac:dyDescent="0.25">
      <c r="A174" s="254">
        <v>35400</v>
      </c>
      <c r="B174" s="253" t="s">
        <v>647</v>
      </c>
      <c r="C174" s="288">
        <v>2.5831000000000001E-3</v>
      </c>
      <c r="D174" s="256">
        <v>2810373</v>
      </c>
    </row>
    <row r="175" spans="1:4" x14ac:dyDescent="0.25">
      <c r="A175" s="254">
        <v>35401</v>
      </c>
      <c r="B175" s="253" t="s">
        <v>648</v>
      </c>
      <c r="C175" s="288">
        <v>2.7399999999999999E-5</v>
      </c>
      <c r="D175" s="256">
        <v>30539</v>
      </c>
    </row>
    <row r="176" spans="1:4" x14ac:dyDescent="0.25">
      <c r="A176" s="254">
        <v>35405</v>
      </c>
      <c r="B176" s="253" t="s">
        <v>84</v>
      </c>
      <c r="C176" s="288">
        <v>8.3290000000000002E-4</v>
      </c>
      <c r="D176" s="256">
        <v>911936</v>
      </c>
    </row>
    <row r="177" spans="1:5" x14ac:dyDescent="0.25">
      <c r="A177" s="254">
        <v>35500</v>
      </c>
      <c r="B177" s="253" t="s">
        <v>649</v>
      </c>
      <c r="C177" s="287">
        <v>3.5490999999999999E-3</v>
      </c>
      <c r="D177" s="256">
        <v>3756896</v>
      </c>
    </row>
    <row r="178" spans="1:5" x14ac:dyDescent="0.25">
      <c r="A178" s="254">
        <v>35600</v>
      </c>
      <c r="B178" s="253" t="s">
        <v>650</v>
      </c>
      <c r="C178" s="287">
        <v>1.5022E-3</v>
      </c>
      <c r="D178" s="256">
        <v>1616174</v>
      </c>
    </row>
    <row r="179" spans="1:5" x14ac:dyDescent="0.25">
      <c r="A179" s="254">
        <v>35700</v>
      </c>
      <c r="B179" s="253" t="s">
        <v>651</v>
      </c>
      <c r="C179" s="287">
        <v>8.0869999999999998E-4</v>
      </c>
      <c r="D179" s="256">
        <v>903061</v>
      </c>
    </row>
    <row r="180" spans="1:5" x14ac:dyDescent="0.25">
      <c r="A180" s="254">
        <v>35800</v>
      </c>
      <c r="B180" s="253" t="s">
        <v>652</v>
      </c>
      <c r="C180" s="287">
        <v>1.0736999999999999E-3</v>
      </c>
      <c r="D180" s="256">
        <v>1323850</v>
      </c>
    </row>
    <row r="181" spans="1:5" x14ac:dyDescent="0.25">
      <c r="A181" s="254">
        <v>35805</v>
      </c>
      <c r="B181" s="253" t="s">
        <v>85</v>
      </c>
      <c r="C181" s="287">
        <v>2.229E-4</v>
      </c>
      <c r="D181" s="256">
        <v>289557</v>
      </c>
    </row>
    <row r="182" spans="1:5" x14ac:dyDescent="0.25">
      <c r="A182" s="254">
        <v>35900</v>
      </c>
      <c r="B182" s="253" t="s">
        <v>653</v>
      </c>
      <c r="C182" s="287">
        <v>2.0999E-3</v>
      </c>
      <c r="D182" s="256">
        <v>2295799</v>
      </c>
    </row>
    <row r="183" spans="1:5" x14ac:dyDescent="0.25">
      <c r="A183" s="254">
        <v>35905</v>
      </c>
      <c r="B183" s="253" t="s">
        <v>86</v>
      </c>
      <c r="C183" s="288">
        <v>2.4489999999999999E-4</v>
      </c>
      <c r="D183" s="256">
        <v>340384</v>
      </c>
    </row>
    <row r="184" spans="1:5" x14ac:dyDescent="0.25">
      <c r="A184" s="254">
        <v>36000</v>
      </c>
      <c r="B184" s="253" t="s">
        <v>654</v>
      </c>
      <c r="C184" s="288">
        <v>5.33584E-2</v>
      </c>
      <c r="D184" s="256">
        <v>53706705</v>
      </c>
    </row>
    <row r="185" spans="1:5" x14ac:dyDescent="0.25">
      <c r="A185" s="254">
        <v>36003</v>
      </c>
      <c r="B185" s="253" t="s">
        <v>655</v>
      </c>
      <c r="C185" s="288">
        <v>3.6479999999999998E-4</v>
      </c>
      <c r="D185" s="256">
        <v>347983</v>
      </c>
    </row>
    <row r="186" spans="1:5" x14ac:dyDescent="0.25">
      <c r="A186" s="254">
        <v>36004</v>
      </c>
      <c r="B186" s="253" t="s">
        <v>793</v>
      </c>
      <c r="C186" s="288">
        <v>2.5670000000000001E-4</v>
      </c>
      <c r="D186" s="256">
        <v>213006</v>
      </c>
      <c r="E186" s="2"/>
    </row>
    <row r="187" spans="1:5" x14ac:dyDescent="0.25">
      <c r="A187" s="254">
        <v>36005</v>
      </c>
      <c r="B187" s="253" t="s">
        <v>87</v>
      </c>
      <c r="C187" s="288">
        <v>4.1460000000000004E-3</v>
      </c>
      <c r="D187" s="256">
        <v>4673923</v>
      </c>
    </row>
    <row r="188" spans="1:5" x14ac:dyDescent="0.25">
      <c r="A188" s="254">
        <v>36006</v>
      </c>
      <c r="B188" s="253" t="s">
        <v>656</v>
      </c>
      <c r="C188" s="288">
        <v>6.1569999999999995E-4</v>
      </c>
      <c r="D188" s="256">
        <v>567320</v>
      </c>
    </row>
    <row r="189" spans="1:5" x14ac:dyDescent="0.25">
      <c r="A189" s="254">
        <v>36007</v>
      </c>
      <c r="B189" s="253" t="s">
        <v>657</v>
      </c>
      <c r="C189" s="287">
        <v>1.8799999999999999E-4</v>
      </c>
      <c r="D189" s="256">
        <v>182202</v>
      </c>
    </row>
    <row r="190" spans="1:5" x14ac:dyDescent="0.25">
      <c r="A190" s="254">
        <v>36008</v>
      </c>
      <c r="B190" s="253" t="s">
        <v>658</v>
      </c>
      <c r="C190" s="287">
        <v>5.2970000000000003E-4</v>
      </c>
      <c r="D190" s="256">
        <v>473447</v>
      </c>
    </row>
    <row r="191" spans="1:5" x14ac:dyDescent="0.25">
      <c r="A191" s="254">
        <v>36009</v>
      </c>
      <c r="B191" s="253" t="s">
        <v>659</v>
      </c>
      <c r="C191" s="287">
        <v>1.0060000000000001E-4</v>
      </c>
      <c r="D191" s="256">
        <v>84318</v>
      </c>
    </row>
    <row r="192" spans="1:5" x14ac:dyDescent="0.25">
      <c r="A192" s="254">
        <v>36100</v>
      </c>
      <c r="B192" s="253" t="s">
        <v>660</v>
      </c>
      <c r="C192" s="287">
        <v>6.3980000000000005E-4</v>
      </c>
      <c r="D192" s="256">
        <v>732478</v>
      </c>
    </row>
    <row r="193" spans="1:4" x14ac:dyDescent="0.25">
      <c r="A193" s="254">
        <v>36102</v>
      </c>
      <c r="B193" s="253" t="s">
        <v>661</v>
      </c>
      <c r="C193" s="287">
        <v>2.5020000000000001E-4</v>
      </c>
      <c r="D193" s="256">
        <v>199453</v>
      </c>
    </row>
    <row r="194" spans="1:4" x14ac:dyDescent="0.25">
      <c r="A194" s="254">
        <v>36105</v>
      </c>
      <c r="B194" s="253" t="s">
        <v>88</v>
      </c>
      <c r="C194" s="287">
        <v>3.1E-4</v>
      </c>
      <c r="D194" s="256">
        <v>380647</v>
      </c>
    </row>
    <row r="195" spans="1:4" x14ac:dyDescent="0.25">
      <c r="A195" s="254">
        <v>36200</v>
      </c>
      <c r="B195" s="253" t="s">
        <v>662</v>
      </c>
      <c r="C195" s="288">
        <v>1.2727999999999999E-3</v>
      </c>
      <c r="D195" s="256">
        <v>1469121</v>
      </c>
    </row>
    <row r="196" spans="1:4" x14ac:dyDescent="0.25">
      <c r="A196" s="254">
        <v>36205</v>
      </c>
      <c r="B196" s="253" t="s">
        <v>89</v>
      </c>
      <c r="C196" s="288">
        <v>2.5579999999999998E-4</v>
      </c>
      <c r="D196" s="256">
        <v>274708</v>
      </c>
    </row>
    <row r="197" spans="1:4" x14ac:dyDescent="0.25">
      <c r="A197" s="254">
        <v>36300</v>
      </c>
      <c r="B197" s="253" t="s">
        <v>663</v>
      </c>
      <c r="C197" s="288">
        <v>4.3670999999999996E-3</v>
      </c>
      <c r="D197" s="256">
        <v>4693952</v>
      </c>
    </row>
    <row r="198" spans="1:4" x14ac:dyDescent="0.25">
      <c r="A198" s="254">
        <v>36301</v>
      </c>
      <c r="B198" s="253" t="s">
        <v>664</v>
      </c>
      <c r="C198" s="288">
        <v>8.7700000000000004E-5</v>
      </c>
      <c r="D198" s="256">
        <v>88851</v>
      </c>
    </row>
    <row r="199" spans="1:4" x14ac:dyDescent="0.25">
      <c r="A199" s="254">
        <v>36302</v>
      </c>
      <c r="B199" s="253" t="s">
        <v>665</v>
      </c>
      <c r="C199" s="288">
        <v>1.2549999999999999E-4</v>
      </c>
      <c r="D199" s="256">
        <v>122356</v>
      </c>
    </row>
    <row r="200" spans="1:4" x14ac:dyDescent="0.25">
      <c r="A200" s="254">
        <v>36303</v>
      </c>
      <c r="B200" s="253" t="s">
        <v>547</v>
      </c>
      <c r="C200" s="288">
        <v>1.85E-4</v>
      </c>
      <c r="D200" s="256">
        <v>146999</v>
      </c>
    </row>
    <row r="201" spans="1:4" x14ac:dyDescent="0.25">
      <c r="A201" s="254">
        <v>36305</v>
      </c>
      <c r="B201" s="253" t="s">
        <v>90</v>
      </c>
      <c r="C201" s="287">
        <v>7.9449999999999996E-4</v>
      </c>
      <c r="D201" s="256">
        <v>1008169</v>
      </c>
    </row>
    <row r="202" spans="1:4" x14ac:dyDescent="0.25">
      <c r="A202" s="254">
        <v>36400</v>
      </c>
      <c r="B202" s="253" t="s">
        <v>666</v>
      </c>
      <c r="C202" s="287">
        <v>4.5944000000000002E-3</v>
      </c>
      <c r="D202" s="256">
        <v>5162936</v>
      </c>
    </row>
    <row r="203" spans="1:4" x14ac:dyDescent="0.25">
      <c r="A203" s="254">
        <v>36405</v>
      </c>
      <c r="B203" s="253" t="s">
        <v>794</v>
      </c>
      <c r="C203" s="287">
        <v>7.5639999999999995E-4</v>
      </c>
      <c r="D203" s="256">
        <v>811885</v>
      </c>
    </row>
    <row r="204" spans="1:4" x14ac:dyDescent="0.25">
      <c r="A204" s="254">
        <v>36500</v>
      </c>
      <c r="B204" s="253" t="s">
        <v>667</v>
      </c>
      <c r="C204" s="287">
        <v>9.5575E-3</v>
      </c>
      <c r="D204" s="256">
        <v>10055142</v>
      </c>
    </row>
    <row r="205" spans="1:4" x14ac:dyDescent="0.25">
      <c r="A205" s="254">
        <v>36501</v>
      </c>
      <c r="B205" s="253" t="s">
        <v>795</v>
      </c>
      <c r="C205" s="287">
        <v>1.284E-4</v>
      </c>
      <c r="D205" s="256">
        <v>115132</v>
      </c>
    </row>
    <row r="206" spans="1:4" x14ac:dyDescent="0.25">
      <c r="A206" s="254">
        <v>36502</v>
      </c>
      <c r="B206" s="253" t="s">
        <v>668</v>
      </c>
      <c r="C206" s="287">
        <v>4.57E-5</v>
      </c>
      <c r="D206" s="256">
        <v>39630</v>
      </c>
    </row>
    <row r="207" spans="1:4" x14ac:dyDescent="0.25">
      <c r="A207" s="254">
        <v>36505</v>
      </c>
      <c r="B207" s="253" t="s">
        <v>92</v>
      </c>
      <c r="C207" s="288">
        <v>1.7994E-3</v>
      </c>
      <c r="D207" s="256">
        <v>2041296</v>
      </c>
    </row>
    <row r="208" spans="1:4" x14ac:dyDescent="0.25">
      <c r="A208" s="254">
        <v>36600</v>
      </c>
      <c r="B208" s="253" t="s">
        <v>669</v>
      </c>
      <c r="C208" s="288">
        <v>6.2509999999999996E-4</v>
      </c>
      <c r="D208" s="256">
        <v>764708</v>
      </c>
    </row>
    <row r="209" spans="1:4" x14ac:dyDescent="0.25">
      <c r="A209" s="254">
        <v>36601</v>
      </c>
      <c r="B209" s="253" t="s">
        <v>670</v>
      </c>
      <c r="C209" s="288">
        <v>4.1229999999999999E-4</v>
      </c>
      <c r="D209" s="256">
        <v>346704</v>
      </c>
    </row>
    <row r="210" spans="1:4" x14ac:dyDescent="0.25">
      <c r="A210" s="254">
        <v>36700</v>
      </c>
      <c r="B210" s="253" t="s">
        <v>671</v>
      </c>
      <c r="C210" s="288">
        <v>8.3768000000000002E-3</v>
      </c>
      <c r="D210" s="256">
        <v>8720710</v>
      </c>
    </row>
    <row r="211" spans="1:4" x14ac:dyDescent="0.25">
      <c r="A211" s="254">
        <v>36701</v>
      </c>
      <c r="B211" s="253" t="s">
        <v>672</v>
      </c>
      <c r="C211" s="288">
        <v>4.0099999999999999E-5</v>
      </c>
      <c r="D211" s="256">
        <v>35364</v>
      </c>
    </row>
    <row r="212" spans="1:4" x14ac:dyDescent="0.25">
      <c r="A212" s="254">
        <v>36705</v>
      </c>
      <c r="B212" s="253" t="s">
        <v>93</v>
      </c>
      <c r="C212" s="288">
        <v>9.4859999999999996E-4</v>
      </c>
      <c r="D212" s="256">
        <v>1024835</v>
      </c>
    </row>
    <row r="213" spans="1:4" x14ac:dyDescent="0.25">
      <c r="A213" s="254">
        <v>36800</v>
      </c>
      <c r="B213" s="253" t="s">
        <v>673</v>
      </c>
      <c r="C213" s="287">
        <v>3.0254000000000001E-3</v>
      </c>
      <c r="D213" s="256">
        <v>3211625</v>
      </c>
    </row>
    <row r="214" spans="1:4" x14ac:dyDescent="0.25">
      <c r="A214" s="254">
        <v>36802</v>
      </c>
      <c r="B214" s="253" t="s">
        <v>674</v>
      </c>
      <c r="C214" s="287">
        <v>1.8489999999999999E-4</v>
      </c>
      <c r="D214" s="256">
        <v>178145</v>
      </c>
    </row>
    <row r="215" spans="1:4" x14ac:dyDescent="0.25">
      <c r="A215" s="254">
        <v>36810</v>
      </c>
      <c r="B215" s="253" t="s">
        <v>796</v>
      </c>
      <c r="C215" s="287">
        <v>5.9138000000000003E-3</v>
      </c>
      <c r="D215" s="256">
        <v>6137158</v>
      </c>
    </row>
    <row r="216" spans="1:4" x14ac:dyDescent="0.25">
      <c r="A216" s="254">
        <v>36900</v>
      </c>
      <c r="B216" s="253" t="s">
        <v>675</v>
      </c>
      <c r="C216" s="287">
        <v>5.5259999999999999E-4</v>
      </c>
      <c r="D216" s="256">
        <v>625904</v>
      </c>
    </row>
    <row r="217" spans="1:4" x14ac:dyDescent="0.25">
      <c r="A217" s="254">
        <v>36901</v>
      </c>
      <c r="B217" s="253" t="s">
        <v>676</v>
      </c>
      <c r="C217" s="287">
        <v>2.2110000000000001E-4</v>
      </c>
      <c r="D217" s="256">
        <v>245139</v>
      </c>
    </row>
    <row r="218" spans="1:4" x14ac:dyDescent="0.25">
      <c r="A218" s="254">
        <v>36905</v>
      </c>
      <c r="B218" s="253" t="s">
        <v>94</v>
      </c>
      <c r="C218" s="287">
        <v>2.0560000000000001E-4</v>
      </c>
      <c r="D218" s="256">
        <v>238325</v>
      </c>
    </row>
    <row r="219" spans="1:4" x14ac:dyDescent="0.25">
      <c r="A219" s="254">
        <v>37000</v>
      </c>
      <c r="B219" s="253" t="s">
        <v>677</v>
      </c>
      <c r="C219" s="287">
        <v>1.7627000000000001E-3</v>
      </c>
      <c r="D219" s="256">
        <v>1978792</v>
      </c>
    </row>
    <row r="220" spans="1:4" ht="15.9" customHeight="1" x14ac:dyDescent="0.25">
      <c r="A220" s="254">
        <v>37001</v>
      </c>
      <c r="B220" s="253" t="s">
        <v>797</v>
      </c>
      <c r="C220" s="287">
        <v>1.136E-4</v>
      </c>
      <c r="D220" s="256">
        <v>125944</v>
      </c>
    </row>
    <row r="221" spans="1:4" x14ac:dyDescent="0.25">
      <c r="A221" s="254">
        <v>37005</v>
      </c>
      <c r="B221" s="253" t="s">
        <v>95</v>
      </c>
      <c r="C221" s="287">
        <v>4.2650000000000001E-4</v>
      </c>
      <c r="D221" s="256">
        <v>562024</v>
      </c>
    </row>
    <row r="222" spans="1:4" x14ac:dyDescent="0.25">
      <c r="A222" s="254">
        <v>37100</v>
      </c>
      <c r="B222" s="253" t="s">
        <v>678</v>
      </c>
      <c r="C222" s="287">
        <v>2.9434000000000001E-3</v>
      </c>
      <c r="D222" s="256">
        <v>3037351</v>
      </c>
    </row>
    <row r="223" spans="1:4" x14ac:dyDescent="0.25">
      <c r="A223" s="254">
        <v>37200</v>
      </c>
      <c r="B223" s="253" t="s">
        <v>679</v>
      </c>
      <c r="C223" s="287">
        <v>6.1899999999999998E-4</v>
      </c>
      <c r="D223" s="256">
        <v>662890</v>
      </c>
    </row>
    <row r="224" spans="1:4" x14ac:dyDescent="0.25">
      <c r="A224" s="254">
        <v>37300</v>
      </c>
      <c r="B224" s="253" t="s">
        <v>680</v>
      </c>
      <c r="C224" s="287">
        <v>1.6668E-3</v>
      </c>
      <c r="D224" s="256">
        <v>1705935</v>
      </c>
    </row>
    <row r="225" spans="1:4" x14ac:dyDescent="0.25">
      <c r="A225" s="254">
        <v>37301</v>
      </c>
      <c r="B225" s="253" t="s">
        <v>681</v>
      </c>
      <c r="C225" s="288">
        <v>1.92E-4</v>
      </c>
      <c r="D225" s="256">
        <v>206513</v>
      </c>
    </row>
    <row r="226" spans="1:4" x14ac:dyDescent="0.25">
      <c r="A226" s="254">
        <v>37305</v>
      </c>
      <c r="B226" s="253" t="s">
        <v>96</v>
      </c>
      <c r="C226" s="288">
        <v>3.9560000000000002E-4</v>
      </c>
      <c r="D226" s="256">
        <v>525973</v>
      </c>
    </row>
    <row r="227" spans="1:4" x14ac:dyDescent="0.25">
      <c r="A227" s="254">
        <v>37400</v>
      </c>
      <c r="B227" s="253" t="s">
        <v>682</v>
      </c>
      <c r="C227" s="288">
        <v>8.0890000000000007E-3</v>
      </c>
      <c r="D227" s="256">
        <v>8167725</v>
      </c>
    </row>
    <row r="228" spans="1:4" x14ac:dyDescent="0.25">
      <c r="A228" s="254">
        <v>37405</v>
      </c>
      <c r="B228" s="253" t="s">
        <v>97</v>
      </c>
      <c r="C228" s="288">
        <v>1.6570999999999999E-3</v>
      </c>
      <c r="D228" s="256">
        <v>1810063</v>
      </c>
    </row>
    <row r="229" spans="1:4" x14ac:dyDescent="0.25">
      <c r="A229" s="254">
        <v>37500</v>
      </c>
      <c r="B229" s="253" t="s">
        <v>683</v>
      </c>
      <c r="C229" s="288">
        <v>8.6490000000000004E-4</v>
      </c>
      <c r="D229" s="256">
        <v>1004915</v>
      </c>
    </row>
    <row r="230" spans="1:4" x14ac:dyDescent="0.25">
      <c r="A230" s="254">
        <v>37600</v>
      </c>
      <c r="B230" s="253" t="s">
        <v>684</v>
      </c>
      <c r="C230" s="288">
        <v>5.2459999999999998E-3</v>
      </c>
      <c r="D230" s="256">
        <v>5531871</v>
      </c>
    </row>
    <row r="231" spans="1:4" x14ac:dyDescent="0.25">
      <c r="A231" s="254">
        <v>37601</v>
      </c>
      <c r="B231" s="253" t="s">
        <v>685</v>
      </c>
      <c r="C231" s="287">
        <v>4.147E-4</v>
      </c>
      <c r="D231" s="256">
        <v>367894</v>
      </c>
    </row>
    <row r="232" spans="1:4" x14ac:dyDescent="0.25">
      <c r="A232" s="254">
        <v>37605</v>
      </c>
      <c r="B232" s="253" t="s">
        <v>98</v>
      </c>
      <c r="C232" s="287">
        <v>6.5269999999999998E-4</v>
      </c>
      <c r="D232" s="256">
        <v>695168</v>
      </c>
    </row>
    <row r="233" spans="1:4" x14ac:dyDescent="0.25">
      <c r="A233" s="254">
        <v>37610</v>
      </c>
      <c r="B233" s="253" t="s">
        <v>686</v>
      </c>
      <c r="C233" s="287">
        <v>1.6567000000000001E-3</v>
      </c>
      <c r="D233" s="256">
        <v>1690346</v>
      </c>
    </row>
    <row r="234" spans="1:4" x14ac:dyDescent="0.25">
      <c r="A234" s="254">
        <v>37700</v>
      </c>
      <c r="B234" s="253" t="s">
        <v>687</v>
      </c>
      <c r="C234" s="287">
        <v>2.2794999999999998E-3</v>
      </c>
      <c r="D234" s="256">
        <v>2474955</v>
      </c>
    </row>
    <row r="235" spans="1:4" x14ac:dyDescent="0.25">
      <c r="A235" s="254">
        <v>37705</v>
      </c>
      <c r="B235" s="253" t="s">
        <v>99</v>
      </c>
      <c r="C235" s="287">
        <v>6.9280000000000003E-4</v>
      </c>
      <c r="D235" s="256">
        <v>763659</v>
      </c>
    </row>
    <row r="236" spans="1:4" x14ac:dyDescent="0.25">
      <c r="A236" s="254">
        <v>37800</v>
      </c>
      <c r="B236" s="253" t="s">
        <v>688</v>
      </c>
      <c r="C236" s="287">
        <v>7.1343999999999999E-3</v>
      </c>
      <c r="D236" s="256">
        <v>7946439</v>
      </c>
    </row>
    <row r="237" spans="1:4" x14ac:dyDescent="0.25">
      <c r="A237" s="254">
        <v>37801</v>
      </c>
      <c r="B237" s="253" t="s">
        <v>689</v>
      </c>
      <c r="C237" s="288">
        <v>5.8699999999999997E-5</v>
      </c>
      <c r="D237" s="256">
        <v>53695</v>
      </c>
    </row>
    <row r="238" spans="1:4" x14ac:dyDescent="0.25">
      <c r="A238" s="254">
        <v>37805</v>
      </c>
      <c r="B238" s="253" t="s">
        <v>100</v>
      </c>
      <c r="C238" s="288">
        <v>4.8519999999999998E-4</v>
      </c>
      <c r="D238" s="256">
        <v>613569</v>
      </c>
    </row>
    <row r="239" spans="1:4" x14ac:dyDescent="0.25">
      <c r="A239" s="254">
        <v>37900</v>
      </c>
      <c r="B239" s="253" t="s">
        <v>690</v>
      </c>
      <c r="C239" s="288">
        <v>3.4829000000000001E-3</v>
      </c>
      <c r="D239" s="256">
        <v>3911239</v>
      </c>
    </row>
    <row r="240" spans="1:4" x14ac:dyDescent="0.25">
      <c r="A240" s="254">
        <v>37901</v>
      </c>
      <c r="B240" s="253" t="s">
        <v>691</v>
      </c>
      <c r="C240" s="288">
        <v>8.6000000000000003E-5</v>
      </c>
      <c r="D240" s="256">
        <v>89418</v>
      </c>
    </row>
    <row r="241" spans="1:4" x14ac:dyDescent="0.25">
      <c r="A241" s="254">
        <v>37905</v>
      </c>
      <c r="B241" s="253" t="s">
        <v>101</v>
      </c>
      <c r="C241" s="288">
        <v>3.947E-4</v>
      </c>
      <c r="D241" s="256">
        <v>513592</v>
      </c>
    </row>
    <row r="242" spans="1:4" x14ac:dyDescent="0.25">
      <c r="A242" s="254">
        <v>38000</v>
      </c>
      <c r="B242" s="253" t="s">
        <v>692</v>
      </c>
      <c r="C242" s="288">
        <v>6.2696999999999996E-3</v>
      </c>
      <c r="D242" s="256">
        <v>6654063</v>
      </c>
    </row>
    <row r="243" spans="1:4" x14ac:dyDescent="0.25">
      <c r="A243" s="254">
        <v>38005</v>
      </c>
      <c r="B243" s="253" t="s">
        <v>102</v>
      </c>
      <c r="C243" s="287">
        <v>1.1770999999999999E-3</v>
      </c>
      <c r="D243" s="256">
        <v>1339842</v>
      </c>
    </row>
    <row r="244" spans="1:4" x14ac:dyDescent="0.25">
      <c r="A244" s="254">
        <v>38100</v>
      </c>
      <c r="B244" s="253" t="s">
        <v>693</v>
      </c>
      <c r="C244" s="287">
        <v>2.8184999999999998E-3</v>
      </c>
      <c r="D244" s="256">
        <v>3100921</v>
      </c>
    </row>
    <row r="245" spans="1:4" x14ac:dyDescent="0.25">
      <c r="A245" s="254">
        <v>38105</v>
      </c>
      <c r="B245" s="253" t="s">
        <v>103</v>
      </c>
      <c r="C245" s="287">
        <v>5.2579999999999999E-4</v>
      </c>
      <c r="D245" s="256">
        <v>617883</v>
      </c>
    </row>
    <row r="246" spans="1:4" x14ac:dyDescent="0.25">
      <c r="A246" s="254">
        <v>38200</v>
      </c>
      <c r="B246" s="253" t="s">
        <v>694</v>
      </c>
      <c r="C246" s="287">
        <v>2.6072000000000001E-3</v>
      </c>
      <c r="D246" s="256">
        <v>2836911</v>
      </c>
    </row>
    <row r="247" spans="1:4" x14ac:dyDescent="0.25">
      <c r="A247" s="254">
        <v>38205</v>
      </c>
      <c r="B247" s="253" t="s">
        <v>104</v>
      </c>
      <c r="C247" s="287">
        <v>3.7280000000000001E-4</v>
      </c>
      <c r="D247" s="256">
        <v>430696</v>
      </c>
    </row>
    <row r="248" spans="1:4" x14ac:dyDescent="0.25">
      <c r="A248" s="254">
        <v>38210</v>
      </c>
      <c r="B248" s="253" t="s">
        <v>695</v>
      </c>
      <c r="C248" s="287">
        <v>1.0072E-3</v>
      </c>
      <c r="D248" s="256">
        <v>1080148</v>
      </c>
    </row>
    <row r="249" spans="1:4" x14ac:dyDescent="0.25">
      <c r="A249" s="254">
        <v>38300</v>
      </c>
      <c r="B249" s="253" t="s">
        <v>696</v>
      </c>
      <c r="C249" s="288">
        <v>2.0195999999999999E-3</v>
      </c>
      <c r="D249" s="256">
        <v>1989986</v>
      </c>
    </row>
    <row r="250" spans="1:4" x14ac:dyDescent="0.25">
      <c r="A250" s="254">
        <v>38400</v>
      </c>
      <c r="B250" s="253" t="s">
        <v>697</v>
      </c>
      <c r="C250" s="288">
        <v>2.5124000000000001E-3</v>
      </c>
      <c r="D250" s="256">
        <v>2776452</v>
      </c>
    </row>
    <row r="251" spans="1:4" x14ac:dyDescent="0.25">
      <c r="A251" s="254">
        <v>38402</v>
      </c>
      <c r="B251" s="253" t="s">
        <v>698</v>
      </c>
      <c r="C251" s="288">
        <v>2.04E-4</v>
      </c>
      <c r="D251" s="256">
        <v>180310</v>
      </c>
    </row>
    <row r="252" spans="1:4" x14ac:dyDescent="0.25">
      <c r="A252" s="254">
        <v>38405</v>
      </c>
      <c r="B252" s="253" t="s">
        <v>105</v>
      </c>
      <c r="C252" s="288">
        <v>6.3869999999999997E-4</v>
      </c>
      <c r="D252" s="256">
        <v>698285</v>
      </c>
    </row>
    <row r="253" spans="1:4" x14ac:dyDescent="0.25">
      <c r="A253" s="254">
        <v>38500</v>
      </c>
      <c r="B253" s="253" t="s">
        <v>699</v>
      </c>
      <c r="C253" s="288">
        <v>1.9453999999999999E-3</v>
      </c>
      <c r="D253" s="256">
        <v>2158516</v>
      </c>
    </row>
    <row r="254" spans="1:4" x14ac:dyDescent="0.25">
      <c r="A254" s="254">
        <v>38600</v>
      </c>
      <c r="B254" s="253" t="s">
        <v>700</v>
      </c>
      <c r="C254" s="288">
        <v>2.5547999999999999E-3</v>
      </c>
      <c r="D254" s="256">
        <v>2775391</v>
      </c>
    </row>
    <row r="255" spans="1:4" x14ac:dyDescent="0.25">
      <c r="A255" s="254">
        <v>38601</v>
      </c>
      <c r="B255" s="253" t="s">
        <v>701</v>
      </c>
      <c r="C255" s="287">
        <v>3.6300000000000001E-5</v>
      </c>
      <c r="D255" s="256">
        <v>32535</v>
      </c>
    </row>
    <row r="256" spans="1:4" x14ac:dyDescent="0.25">
      <c r="A256" s="254">
        <v>38602</v>
      </c>
      <c r="B256" s="253" t="s">
        <v>702</v>
      </c>
      <c r="C256" s="287">
        <v>2.196E-4</v>
      </c>
      <c r="D256" s="256">
        <v>229701</v>
      </c>
    </row>
    <row r="257" spans="1:4" x14ac:dyDescent="0.25">
      <c r="A257" s="254">
        <v>38605</v>
      </c>
      <c r="B257" s="253" t="s">
        <v>106</v>
      </c>
      <c r="C257" s="287">
        <v>6.5320000000000005E-4</v>
      </c>
      <c r="D257" s="256">
        <v>762378</v>
      </c>
    </row>
    <row r="258" spans="1:4" x14ac:dyDescent="0.25">
      <c r="A258" s="254">
        <v>38610</v>
      </c>
      <c r="B258" s="253" t="s">
        <v>703</v>
      </c>
      <c r="C258" s="287">
        <v>5.5340000000000001E-4</v>
      </c>
      <c r="D258" s="256">
        <v>614142</v>
      </c>
    </row>
    <row r="259" spans="1:4" x14ac:dyDescent="0.25">
      <c r="A259" s="254">
        <v>38620</v>
      </c>
      <c r="B259" s="253" t="s">
        <v>704</v>
      </c>
      <c r="C259" s="287">
        <v>3.9520000000000001E-4</v>
      </c>
      <c r="D259" s="256">
        <v>462084</v>
      </c>
    </row>
    <row r="260" spans="1:4" x14ac:dyDescent="0.25">
      <c r="A260" s="254">
        <v>38700</v>
      </c>
      <c r="B260" s="253" t="s">
        <v>705</v>
      </c>
      <c r="C260" s="287">
        <v>7.7919999999999997E-4</v>
      </c>
      <c r="D260" s="256">
        <v>804259</v>
      </c>
    </row>
    <row r="261" spans="1:4" x14ac:dyDescent="0.25">
      <c r="A261" s="254">
        <v>38701</v>
      </c>
      <c r="B261" s="253" t="s">
        <v>798</v>
      </c>
      <c r="C261" s="288">
        <v>4.8600000000000002E-5</v>
      </c>
      <c r="D261" s="256">
        <v>54815</v>
      </c>
    </row>
    <row r="262" spans="1:4" x14ac:dyDescent="0.25">
      <c r="A262" s="254">
        <v>38800</v>
      </c>
      <c r="B262" s="253" t="s">
        <v>706</v>
      </c>
      <c r="C262" s="288">
        <v>1.312E-3</v>
      </c>
      <c r="D262" s="256">
        <v>1411573</v>
      </c>
    </row>
    <row r="263" spans="1:4" x14ac:dyDescent="0.25">
      <c r="A263" s="254">
        <v>38801</v>
      </c>
      <c r="B263" s="253" t="s">
        <v>707</v>
      </c>
      <c r="C263" s="288">
        <v>1.064E-4</v>
      </c>
      <c r="D263" s="256">
        <v>109017</v>
      </c>
    </row>
    <row r="264" spans="1:4" x14ac:dyDescent="0.25">
      <c r="A264" s="254">
        <v>38900</v>
      </c>
      <c r="B264" s="253" t="s">
        <v>708</v>
      </c>
      <c r="C264" s="288">
        <v>2.7980000000000002E-4</v>
      </c>
      <c r="D264" s="256">
        <v>338261</v>
      </c>
    </row>
    <row r="265" spans="1:4" x14ac:dyDescent="0.25">
      <c r="A265" s="254">
        <v>39000</v>
      </c>
      <c r="B265" s="253" t="s">
        <v>709</v>
      </c>
      <c r="C265" s="288">
        <v>1.37258E-2</v>
      </c>
      <c r="D265" s="256">
        <v>14346750</v>
      </c>
    </row>
    <row r="266" spans="1:4" x14ac:dyDescent="0.25">
      <c r="A266" s="254">
        <v>39100</v>
      </c>
      <c r="B266" s="253" t="s">
        <v>710</v>
      </c>
      <c r="C266" s="288">
        <v>1.7487E-3</v>
      </c>
      <c r="D266" s="256">
        <v>2079777</v>
      </c>
    </row>
    <row r="267" spans="1:4" x14ac:dyDescent="0.25">
      <c r="A267" s="254">
        <v>39101</v>
      </c>
      <c r="B267" s="253" t="s">
        <v>711</v>
      </c>
      <c r="C267" s="287">
        <v>2.207E-4</v>
      </c>
      <c r="D267" s="256">
        <v>245016</v>
      </c>
    </row>
    <row r="268" spans="1:4" x14ac:dyDescent="0.25">
      <c r="A268" s="254">
        <v>39105</v>
      </c>
      <c r="B268" s="253" t="s">
        <v>107</v>
      </c>
      <c r="C268" s="287">
        <v>6.5289999999999999E-4</v>
      </c>
      <c r="D268" s="256">
        <v>758977</v>
      </c>
    </row>
    <row r="269" spans="1:4" x14ac:dyDescent="0.25">
      <c r="A269" s="254">
        <v>39200</v>
      </c>
      <c r="B269" s="253" t="s">
        <v>799</v>
      </c>
      <c r="C269" s="287">
        <v>5.8655199999999998E-2</v>
      </c>
      <c r="D269" s="256">
        <v>59984212</v>
      </c>
    </row>
    <row r="270" spans="1:4" x14ac:dyDescent="0.25">
      <c r="A270" s="254">
        <v>39201</v>
      </c>
      <c r="B270" s="253" t="s">
        <v>712</v>
      </c>
      <c r="C270" s="287">
        <v>1.6579999999999999E-4</v>
      </c>
      <c r="D270" s="256">
        <v>127468</v>
      </c>
    </row>
    <row r="271" spans="1:4" x14ac:dyDescent="0.25">
      <c r="A271" s="254">
        <v>39204</v>
      </c>
      <c r="B271" s="253" t="s">
        <v>713</v>
      </c>
      <c r="C271" s="287">
        <v>2.4220000000000001E-4</v>
      </c>
      <c r="D271" s="256">
        <v>229692</v>
      </c>
    </row>
    <row r="272" spans="1:4" x14ac:dyDescent="0.25">
      <c r="A272" s="254">
        <v>39205</v>
      </c>
      <c r="B272" s="253" t="s">
        <v>108</v>
      </c>
      <c r="C272" s="287">
        <v>4.7543999999999998E-3</v>
      </c>
      <c r="D272" s="256">
        <v>5312782</v>
      </c>
    </row>
    <row r="273" spans="1:4" x14ac:dyDescent="0.25">
      <c r="A273" s="254">
        <v>39208</v>
      </c>
      <c r="B273" s="253" t="s">
        <v>800</v>
      </c>
      <c r="C273" s="287">
        <v>3.4939999999999998E-4</v>
      </c>
      <c r="D273" s="256">
        <v>326346</v>
      </c>
    </row>
    <row r="274" spans="1:4" x14ac:dyDescent="0.25">
      <c r="A274" s="254">
        <v>39209</v>
      </c>
      <c r="B274" s="253" t="s">
        <v>714</v>
      </c>
      <c r="C274" s="287">
        <v>1.774E-4</v>
      </c>
      <c r="D274" s="256">
        <v>149320</v>
      </c>
    </row>
    <row r="275" spans="1:4" x14ac:dyDescent="0.25">
      <c r="A275" s="254">
        <v>39220</v>
      </c>
      <c r="B275" s="253" t="s">
        <v>801</v>
      </c>
      <c r="C275" s="287">
        <v>3.5500000000000002E-5</v>
      </c>
      <c r="D275" s="256">
        <v>58949</v>
      </c>
    </row>
    <row r="276" spans="1:4" x14ac:dyDescent="0.25">
      <c r="A276" s="254">
        <v>39300</v>
      </c>
      <c r="B276" s="253" t="s">
        <v>715</v>
      </c>
      <c r="C276" s="287">
        <v>6.9130000000000005E-4</v>
      </c>
      <c r="D276" s="256">
        <v>813517</v>
      </c>
    </row>
    <row r="277" spans="1:4" x14ac:dyDescent="0.25">
      <c r="A277" s="254">
        <v>39301</v>
      </c>
      <c r="B277" s="253" t="s">
        <v>716</v>
      </c>
      <c r="C277" s="287">
        <v>2.87E-5</v>
      </c>
      <c r="D277" s="256">
        <v>30263</v>
      </c>
    </row>
    <row r="278" spans="1:4" x14ac:dyDescent="0.25">
      <c r="A278" s="254">
        <v>39400</v>
      </c>
      <c r="B278" s="253" t="s">
        <v>717</v>
      </c>
      <c r="C278" s="287">
        <v>4.7259999999999999E-4</v>
      </c>
      <c r="D278" s="256">
        <v>598222</v>
      </c>
    </row>
    <row r="279" spans="1:4" x14ac:dyDescent="0.25">
      <c r="A279" s="254">
        <v>39401</v>
      </c>
      <c r="B279" s="253" t="s">
        <v>718</v>
      </c>
      <c r="C279" s="288">
        <v>3.7280000000000001E-4</v>
      </c>
      <c r="D279" s="256">
        <v>315696</v>
      </c>
    </row>
    <row r="280" spans="1:4" x14ac:dyDescent="0.25">
      <c r="A280" s="254">
        <v>39500</v>
      </c>
      <c r="B280" s="253" t="s">
        <v>719</v>
      </c>
      <c r="C280" s="288">
        <v>1.8071000000000001E-3</v>
      </c>
      <c r="D280" s="256">
        <v>1901737</v>
      </c>
    </row>
    <row r="281" spans="1:4" x14ac:dyDescent="0.25">
      <c r="A281" s="254">
        <v>39501</v>
      </c>
      <c r="B281" s="253" t="s">
        <v>802</v>
      </c>
      <c r="C281" s="288">
        <v>4.8000000000000001E-5</v>
      </c>
      <c r="D281" s="256">
        <v>47678</v>
      </c>
    </row>
    <row r="282" spans="1:4" x14ac:dyDescent="0.25">
      <c r="A282" s="254">
        <v>39600</v>
      </c>
      <c r="B282" s="253" t="s">
        <v>720</v>
      </c>
      <c r="C282" s="288">
        <v>5.6157999999999998E-3</v>
      </c>
      <c r="D282" s="256">
        <v>6280269</v>
      </c>
    </row>
    <row r="283" spans="1:4" x14ac:dyDescent="0.25">
      <c r="A283" s="254">
        <v>39605</v>
      </c>
      <c r="B283" s="253" t="s">
        <v>109</v>
      </c>
      <c r="C283" s="288">
        <v>8.1519999999999997E-4</v>
      </c>
      <c r="D283" s="256">
        <v>934844</v>
      </c>
    </row>
    <row r="284" spans="1:4" x14ac:dyDescent="0.25">
      <c r="A284" s="254">
        <v>39700</v>
      </c>
      <c r="B284" s="253" t="s">
        <v>721</v>
      </c>
      <c r="C284" s="288">
        <v>3.1313999999999999E-3</v>
      </c>
      <c r="D284" s="256">
        <v>3368073</v>
      </c>
    </row>
    <row r="285" spans="1:4" x14ac:dyDescent="0.25">
      <c r="A285" s="254">
        <v>39703</v>
      </c>
      <c r="B285" s="253" t="s">
        <v>722</v>
      </c>
      <c r="C285" s="287">
        <v>2.3039999999999999E-4</v>
      </c>
      <c r="D285" s="256">
        <v>193940</v>
      </c>
    </row>
    <row r="286" spans="1:4" x14ac:dyDescent="0.25">
      <c r="A286" s="254">
        <v>39705</v>
      </c>
      <c r="B286" s="253" t="s">
        <v>110</v>
      </c>
      <c r="C286" s="287">
        <v>7.607E-4</v>
      </c>
      <c r="D286" s="256">
        <v>889287</v>
      </c>
    </row>
    <row r="287" spans="1:4" x14ac:dyDescent="0.25">
      <c r="A287" s="254">
        <v>39800</v>
      </c>
      <c r="B287" s="253" t="s">
        <v>723</v>
      </c>
      <c r="C287" s="287">
        <v>3.4922E-3</v>
      </c>
      <c r="D287" s="256">
        <v>3887678</v>
      </c>
    </row>
    <row r="288" spans="1:4" x14ac:dyDescent="0.25">
      <c r="A288" s="254">
        <v>39805</v>
      </c>
      <c r="B288" s="253" t="s">
        <v>111</v>
      </c>
      <c r="C288" s="287">
        <v>4.1879999999999999E-4</v>
      </c>
      <c r="D288" s="256">
        <v>492684</v>
      </c>
    </row>
    <row r="289" spans="1:4" x14ac:dyDescent="0.25">
      <c r="A289" s="254">
        <v>39900</v>
      </c>
      <c r="B289" s="253" t="s">
        <v>724</v>
      </c>
      <c r="C289" s="287">
        <v>1.7792999999999999E-3</v>
      </c>
      <c r="D289" s="256">
        <v>1987534</v>
      </c>
    </row>
    <row r="290" spans="1:4" x14ac:dyDescent="0.25">
      <c r="A290" s="254">
        <v>40000</v>
      </c>
      <c r="B290" s="253" t="s">
        <v>725</v>
      </c>
      <c r="C290" s="287">
        <v>2.7101999999999998E-3</v>
      </c>
      <c r="D290" s="256">
        <v>4624513</v>
      </c>
    </row>
    <row r="291" spans="1:4" x14ac:dyDescent="0.25">
      <c r="A291" s="254">
        <v>51000</v>
      </c>
      <c r="B291" s="253" t="s">
        <v>803</v>
      </c>
      <c r="C291" s="288">
        <v>2.4805600000000001E-2</v>
      </c>
      <c r="D291" s="256">
        <v>32884312</v>
      </c>
    </row>
    <row r="292" spans="1:4" x14ac:dyDescent="0.25">
      <c r="A292" s="255">
        <v>51000.2</v>
      </c>
      <c r="B292" s="175" t="s">
        <v>804</v>
      </c>
      <c r="C292" s="288">
        <v>2.6100000000000001E-5</v>
      </c>
      <c r="D292" s="256">
        <v>203348</v>
      </c>
    </row>
    <row r="293" spans="1:4" x14ac:dyDescent="0.25">
      <c r="A293" s="255">
        <v>51000.3</v>
      </c>
      <c r="B293" s="175" t="s">
        <v>805</v>
      </c>
      <c r="C293" s="288">
        <v>6.6390000000000004E-4</v>
      </c>
      <c r="D293" s="256">
        <v>831313</v>
      </c>
    </row>
    <row r="294" spans="1:4" x14ac:dyDescent="0.25">
      <c r="A294" s="254">
        <v>60000</v>
      </c>
      <c r="B294" s="253" t="s">
        <v>806</v>
      </c>
      <c r="C294" s="288">
        <v>1.317E-4</v>
      </c>
      <c r="D294" s="256">
        <v>226403</v>
      </c>
    </row>
    <row r="295" spans="1:4" x14ac:dyDescent="0.25">
      <c r="A295" s="254">
        <v>90901</v>
      </c>
      <c r="B295" s="253" t="s">
        <v>726</v>
      </c>
      <c r="C295" s="288">
        <v>8.4329999999999995E-4</v>
      </c>
      <c r="D295" s="256">
        <v>935611</v>
      </c>
    </row>
    <row r="296" spans="1:4" x14ac:dyDescent="0.25">
      <c r="A296" s="254">
        <v>91041</v>
      </c>
      <c r="B296" s="253" t="s">
        <v>727</v>
      </c>
      <c r="C296" s="288">
        <v>1.6310000000000001E-4</v>
      </c>
      <c r="D296" s="256">
        <v>160325</v>
      </c>
    </row>
    <row r="297" spans="1:4" x14ac:dyDescent="0.25">
      <c r="A297" s="254">
        <v>91111</v>
      </c>
      <c r="B297" s="253" t="s">
        <v>728</v>
      </c>
      <c r="C297" s="287">
        <v>7.7200000000000006E-5</v>
      </c>
      <c r="D297" s="256">
        <v>93204</v>
      </c>
    </row>
    <row r="298" spans="1:4" x14ac:dyDescent="0.25">
      <c r="A298" s="254">
        <v>91151</v>
      </c>
      <c r="B298" s="253" t="s">
        <v>729</v>
      </c>
      <c r="C298" s="287">
        <v>2.2670000000000001E-4</v>
      </c>
      <c r="D298" s="256">
        <v>224426</v>
      </c>
    </row>
    <row r="299" spans="1:4" x14ac:dyDescent="0.25">
      <c r="A299" s="254">
        <v>98101</v>
      </c>
      <c r="B299" s="253" t="s">
        <v>730</v>
      </c>
      <c r="C299" s="287">
        <v>1.0154999999999999E-3</v>
      </c>
      <c r="D299" s="256">
        <v>1206162</v>
      </c>
    </row>
    <row r="300" spans="1:4" x14ac:dyDescent="0.25">
      <c r="A300" s="254">
        <v>98103</v>
      </c>
      <c r="B300" s="253" t="s">
        <v>807</v>
      </c>
      <c r="C300" s="287">
        <v>1.828E-4</v>
      </c>
      <c r="D300" s="256">
        <v>225308</v>
      </c>
    </row>
    <row r="301" spans="1:4" x14ac:dyDescent="0.25">
      <c r="A301" s="254">
        <v>98111</v>
      </c>
      <c r="B301" s="253" t="s">
        <v>731</v>
      </c>
      <c r="C301" s="287">
        <v>3.791E-4</v>
      </c>
      <c r="D301" s="256">
        <v>394983</v>
      </c>
    </row>
    <row r="302" spans="1:4" x14ac:dyDescent="0.25">
      <c r="A302" s="254">
        <v>98131</v>
      </c>
      <c r="B302" s="253" t="s">
        <v>732</v>
      </c>
      <c r="C302" s="287">
        <v>8.1799999999999996E-5</v>
      </c>
      <c r="D302" s="256">
        <v>110513</v>
      </c>
    </row>
    <row r="303" spans="1:4" x14ac:dyDescent="0.25">
      <c r="A303" s="254">
        <v>99401</v>
      </c>
      <c r="B303" s="253" t="s">
        <v>733</v>
      </c>
      <c r="C303" s="289">
        <v>3.0069999999999999E-4</v>
      </c>
      <c r="D303" s="256">
        <v>353971</v>
      </c>
    </row>
    <row r="304" spans="1:4" x14ac:dyDescent="0.25">
      <c r="A304" s="254">
        <v>99521</v>
      </c>
      <c r="B304" s="253" t="s">
        <v>734</v>
      </c>
      <c r="C304" s="288">
        <v>1.807E-4</v>
      </c>
      <c r="D304" s="256">
        <v>176709</v>
      </c>
    </row>
    <row r="305" spans="1:4" x14ac:dyDescent="0.25">
      <c r="A305" s="254">
        <v>99831</v>
      </c>
      <c r="B305" s="253" t="s">
        <v>735</v>
      </c>
      <c r="C305" s="290">
        <v>2.0100000000000001E-5</v>
      </c>
      <c r="D305" s="256">
        <v>25739</v>
      </c>
    </row>
    <row r="306" spans="1:4" x14ac:dyDescent="0.25">
      <c r="A306" s="213"/>
      <c r="B306" s="214"/>
      <c r="C306" s="215"/>
      <c r="D306" s="236"/>
    </row>
    <row r="309" spans="1:4" x14ac:dyDescent="0.25">
      <c r="C309" s="8">
        <f>SUM(C3:C308)</f>
        <v>1</v>
      </c>
      <c r="D309" s="7">
        <f>SUM(D3:D308)</f>
        <v>1103026709</v>
      </c>
    </row>
    <row r="320" spans="1:4" x14ac:dyDescent="0.25">
      <c r="A320" s="257"/>
      <c r="B320" s="193"/>
      <c r="C320" s="193"/>
    </row>
    <row r="321" spans="1:4" x14ac:dyDescent="0.25">
      <c r="A321" s="258"/>
      <c r="B321" s="193"/>
      <c r="C321" s="193"/>
    </row>
    <row r="322" spans="1:4" ht="15.6" x14ac:dyDescent="0.3">
      <c r="A322" s="245"/>
      <c r="B322" s="231"/>
      <c r="C322" s="232"/>
      <c r="D322" s="235"/>
    </row>
    <row r="323" spans="1:4" x14ac:dyDescent="0.25">
      <c r="A323" s="258"/>
      <c r="B323" s="193"/>
      <c r="C323" s="193"/>
      <c r="D323" s="235"/>
    </row>
    <row r="324" spans="1:4" x14ac:dyDescent="0.25">
      <c r="A324" s="258"/>
      <c r="B324" s="193"/>
      <c r="C324" s="1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313"/>
  <sheetViews>
    <sheetView workbookViewId="0">
      <pane xSplit="2" ySplit="3" topLeftCell="C4" activePane="bottomRight" state="frozen"/>
      <selection activeCell="A4" sqref="A4"/>
      <selection pane="topRight" activeCell="A4" sqref="A4"/>
      <selection pane="bottomLeft" activeCell="A4" sqref="A4"/>
      <selection pane="bottomRight" activeCell="A4" sqref="A4"/>
    </sheetView>
  </sheetViews>
  <sheetFormatPr defaultRowHeight="13.2" x14ac:dyDescent="0.25"/>
  <cols>
    <col min="1" max="1" width="15.33203125" customWidth="1"/>
    <col min="2" max="2" width="55.5546875" bestFit="1" customWidth="1"/>
    <col min="3" max="4" width="18.33203125" customWidth="1"/>
    <col min="5" max="5" width="20" customWidth="1"/>
    <col min="6" max="6" width="14.44140625" customWidth="1"/>
    <col min="7" max="7" width="19.44140625" customWidth="1"/>
    <col min="8" max="8" width="18.33203125" customWidth="1"/>
    <col min="9" max="9" width="20" customWidth="1"/>
    <col min="10" max="10" width="14.44140625" customWidth="1"/>
    <col min="11" max="11" width="19.44140625" customWidth="1"/>
    <col min="12" max="12" width="15" bestFit="1" customWidth="1"/>
    <col min="13" max="13" width="22.44140625" customWidth="1"/>
    <col min="14" max="14" width="15" bestFit="1" customWidth="1"/>
    <col min="24" max="24" width="15" bestFit="1" customWidth="1"/>
  </cols>
  <sheetData>
    <row r="1" spans="1:24" x14ac:dyDescent="0.25">
      <c r="A1" s="18">
        <v>1</v>
      </c>
      <c r="B1" s="18">
        <v>2</v>
      </c>
      <c r="C1" s="18">
        <v>3</v>
      </c>
      <c r="D1" s="18">
        <v>4</v>
      </c>
      <c r="E1" s="18">
        <v>5</v>
      </c>
      <c r="F1" s="18">
        <v>6</v>
      </c>
      <c r="G1" s="18">
        <v>7</v>
      </c>
      <c r="H1" s="18">
        <v>8</v>
      </c>
      <c r="I1" s="18">
        <v>9</v>
      </c>
      <c r="J1" s="18">
        <v>10</v>
      </c>
      <c r="K1" s="18">
        <v>11</v>
      </c>
      <c r="L1" s="18">
        <v>12</v>
      </c>
      <c r="M1" s="18">
        <v>13</v>
      </c>
      <c r="N1" s="18">
        <v>14</v>
      </c>
    </row>
    <row r="2" spans="1:24" ht="14.4" x14ac:dyDescent="0.3">
      <c r="D2" s="157" t="s">
        <v>130</v>
      </c>
      <c r="E2" s="158"/>
      <c r="F2" s="158"/>
      <c r="G2" s="159"/>
      <c r="H2" s="158" t="s">
        <v>113</v>
      </c>
      <c r="I2" s="158"/>
      <c r="J2" s="158"/>
      <c r="K2" s="159"/>
      <c r="L2" s="157" t="s">
        <v>114</v>
      </c>
      <c r="M2" s="158"/>
      <c r="N2" s="159"/>
    </row>
    <row r="3" spans="1:24" ht="115.2" x14ac:dyDescent="0.3">
      <c r="A3" s="56" t="s">
        <v>164</v>
      </c>
      <c r="B3" s="56" t="s">
        <v>165</v>
      </c>
      <c r="C3" s="56" t="s">
        <v>242</v>
      </c>
      <c r="D3" s="56" t="s">
        <v>116</v>
      </c>
      <c r="E3" s="56" t="s">
        <v>117</v>
      </c>
      <c r="F3" s="56" t="s">
        <v>131</v>
      </c>
      <c r="G3" s="56" t="s">
        <v>115</v>
      </c>
      <c r="H3" s="56" t="s">
        <v>116</v>
      </c>
      <c r="I3" s="56" t="s">
        <v>117</v>
      </c>
      <c r="J3" s="56" t="s">
        <v>131</v>
      </c>
      <c r="K3" s="56" t="s">
        <v>115</v>
      </c>
      <c r="L3" s="56" t="s">
        <v>118</v>
      </c>
      <c r="M3" s="56" t="s">
        <v>119</v>
      </c>
      <c r="N3" s="56" t="s">
        <v>120</v>
      </c>
      <c r="X3" s="204"/>
    </row>
    <row r="4" spans="1:24" ht="15.6" x14ac:dyDescent="0.3">
      <c r="A4" s="272">
        <v>10200</v>
      </c>
      <c r="B4" s="274" t="s">
        <v>558</v>
      </c>
      <c r="C4" s="238">
        <v>29745434</v>
      </c>
      <c r="D4" s="259">
        <v>0</v>
      </c>
      <c r="E4" s="280">
        <v>19808</v>
      </c>
      <c r="F4" s="238">
        <v>1429706</v>
      </c>
      <c r="G4" s="238">
        <v>1004482</v>
      </c>
      <c r="H4" s="238">
        <v>1499545</v>
      </c>
      <c r="I4" s="259">
        <v>0</v>
      </c>
      <c r="J4" s="238">
        <v>8942781</v>
      </c>
      <c r="K4" s="238">
        <v>970888</v>
      </c>
      <c r="L4" s="238">
        <v>-439087</v>
      </c>
      <c r="M4" s="238">
        <v>60705</v>
      </c>
      <c r="N4" s="238">
        <f>SUM(L4:M4)</f>
        <v>-378382</v>
      </c>
    </row>
    <row r="5" spans="1:24" ht="15.6" x14ac:dyDescent="0.3">
      <c r="A5" s="272">
        <v>10400</v>
      </c>
      <c r="B5" s="274" t="s">
        <v>559</v>
      </c>
      <c r="C5" s="276">
        <v>86849306</v>
      </c>
      <c r="D5" s="259">
        <v>0</v>
      </c>
      <c r="E5" s="281">
        <v>57835</v>
      </c>
      <c r="F5" s="276">
        <v>4174387</v>
      </c>
      <c r="G5" s="276">
        <v>3226753</v>
      </c>
      <c r="H5" s="276">
        <v>4378299</v>
      </c>
      <c r="I5" s="259">
        <v>0</v>
      </c>
      <c r="J5" s="276">
        <v>26110708</v>
      </c>
      <c r="K5" s="276">
        <v>2968176</v>
      </c>
      <c r="L5" s="276">
        <v>-1282025</v>
      </c>
      <c r="M5" s="276">
        <v>284327</v>
      </c>
      <c r="N5" s="238">
        <f t="shared" ref="N5:N9" si="0">SUM(L5:M5)</f>
        <v>-997698</v>
      </c>
    </row>
    <row r="6" spans="1:24" ht="15.6" x14ac:dyDescent="0.3">
      <c r="A6" s="272">
        <v>10500</v>
      </c>
      <c r="B6" s="274" t="s">
        <v>812</v>
      </c>
      <c r="C6" s="276">
        <v>20806045</v>
      </c>
      <c r="D6" s="259">
        <v>0</v>
      </c>
      <c r="E6" s="281">
        <v>13855</v>
      </c>
      <c r="F6" s="276">
        <v>1000037</v>
      </c>
      <c r="G6" s="276">
        <v>1767249</v>
      </c>
      <c r="H6" s="276">
        <v>1048887</v>
      </c>
      <c r="I6" s="259">
        <v>0</v>
      </c>
      <c r="J6" s="276">
        <v>6255209</v>
      </c>
      <c r="K6" s="276">
        <v>1206917</v>
      </c>
      <c r="L6" s="276">
        <v>-307128</v>
      </c>
      <c r="M6" s="276">
        <v>318303</v>
      </c>
      <c r="N6" s="238">
        <f t="shared" si="0"/>
        <v>11175</v>
      </c>
    </row>
    <row r="7" spans="1:24" ht="15.6" x14ac:dyDescent="0.3">
      <c r="A7" s="272">
        <v>10700</v>
      </c>
      <c r="B7" s="274" t="s">
        <v>560</v>
      </c>
      <c r="C7" s="276">
        <v>137836877</v>
      </c>
      <c r="D7" s="259">
        <v>0</v>
      </c>
      <c r="E7" s="281">
        <v>91788</v>
      </c>
      <c r="F7" s="276">
        <v>6625089</v>
      </c>
      <c r="G7" s="276">
        <v>18625713</v>
      </c>
      <c r="H7" s="276">
        <v>6948715</v>
      </c>
      <c r="I7" s="259">
        <v>0</v>
      </c>
      <c r="J7" s="276">
        <v>41439806</v>
      </c>
      <c r="K7" s="276">
        <v>0</v>
      </c>
      <c r="L7" s="276">
        <v>-2034677</v>
      </c>
      <c r="M7" s="276">
        <v>4796870</v>
      </c>
      <c r="N7" s="238">
        <f t="shared" si="0"/>
        <v>2762193</v>
      </c>
    </row>
    <row r="8" spans="1:24" ht="15.6" x14ac:dyDescent="0.3">
      <c r="A8" s="272">
        <v>10800</v>
      </c>
      <c r="B8" s="274" t="s">
        <v>561</v>
      </c>
      <c r="C8" s="276">
        <v>566241469</v>
      </c>
      <c r="D8" s="259">
        <v>0</v>
      </c>
      <c r="E8" s="281">
        <v>377072</v>
      </c>
      <c r="F8" s="276">
        <v>27216231</v>
      </c>
      <c r="G8" s="276">
        <v>40149295</v>
      </c>
      <c r="H8" s="276">
        <v>28545703</v>
      </c>
      <c r="I8" s="259">
        <v>0</v>
      </c>
      <c r="J8" s="276">
        <v>170237003</v>
      </c>
      <c r="K8" s="276">
        <v>0</v>
      </c>
      <c r="L8" s="276">
        <v>-8358565</v>
      </c>
      <c r="M8" s="276">
        <v>12459908</v>
      </c>
      <c r="N8" s="238">
        <f t="shared" si="0"/>
        <v>4101343</v>
      </c>
    </row>
    <row r="9" spans="1:24" ht="15.6" x14ac:dyDescent="0.3">
      <c r="A9" s="272">
        <v>10850</v>
      </c>
      <c r="B9" s="274" t="s">
        <v>813</v>
      </c>
      <c r="C9" s="276">
        <v>4706535</v>
      </c>
      <c r="D9" s="259">
        <v>0</v>
      </c>
      <c r="E9" s="281">
        <v>3134</v>
      </c>
      <c r="F9" s="276">
        <v>226218</v>
      </c>
      <c r="G9" s="276">
        <v>1080682</v>
      </c>
      <c r="H9" s="276">
        <v>237269</v>
      </c>
      <c r="I9" s="259">
        <v>0</v>
      </c>
      <c r="J9" s="276">
        <v>1414991</v>
      </c>
      <c r="K9" s="276">
        <v>66260</v>
      </c>
      <c r="L9" s="276">
        <v>-69475</v>
      </c>
      <c r="M9" s="276">
        <v>274991</v>
      </c>
      <c r="N9" s="238">
        <f t="shared" si="0"/>
        <v>205516</v>
      </c>
    </row>
    <row r="10" spans="1:24" ht="15.6" x14ac:dyDescent="0.3">
      <c r="A10" s="6">
        <v>10900</v>
      </c>
      <c r="B10" s="275" t="s">
        <v>562</v>
      </c>
      <c r="C10" s="239">
        <v>42160486</v>
      </c>
      <c r="D10" s="259">
        <v>0</v>
      </c>
      <c r="E10" s="282">
        <v>28076</v>
      </c>
      <c r="F10" s="239">
        <v>2026431</v>
      </c>
      <c r="G10" s="239">
        <v>834510</v>
      </c>
      <c r="H10" s="239">
        <v>2125420</v>
      </c>
      <c r="I10" s="259">
        <v>0</v>
      </c>
      <c r="J10" s="239">
        <v>12675290</v>
      </c>
      <c r="K10" s="239">
        <v>6649576</v>
      </c>
      <c r="L10" s="239">
        <v>-622351</v>
      </c>
      <c r="M10" s="239">
        <v>-1519407</v>
      </c>
      <c r="N10" s="239">
        <f>SUM(L10:M10)</f>
        <v>-2141758</v>
      </c>
    </row>
    <row r="11" spans="1:24" ht="15.6" x14ac:dyDescent="0.3">
      <c r="A11" s="6">
        <v>10910</v>
      </c>
      <c r="B11" s="275" t="s">
        <v>814</v>
      </c>
      <c r="C11" s="239">
        <v>9172967</v>
      </c>
      <c r="D11" s="259">
        <v>0</v>
      </c>
      <c r="E11" s="282">
        <v>6108</v>
      </c>
      <c r="F11" s="239">
        <v>440896</v>
      </c>
      <c r="G11" s="239">
        <v>1593062</v>
      </c>
      <c r="H11" s="239">
        <v>462433</v>
      </c>
      <c r="I11" s="259">
        <v>0</v>
      </c>
      <c r="J11" s="239">
        <v>2757796</v>
      </c>
      <c r="K11" s="239">
        <v>0</v>
      </c>
      <c r="L11" s="239">
        <v>-135407</v>
      </c>
      <c r="M11" s="239">
        <v>389472</v>
      </c>
      <c r="N11" s="239">
        <f t="shared" ref="N11:N15" si="1">SUM(L11:M11)</f>
        <v>254065</v>
      </c>
    </row>
    <row r="12" spans="1:24" ht="15.6" x14ac:dyDescent="0.3">
      <c r="A12" s="6">
        <v>10930</v>
      </c>
      <c r="B12" s="275" t="s">
        <v>815</v>
      </c>
      <c r="C12" s="239">
        <v>131210476</v>
      </c>
      <c r="D12" s="259">
        <v>0</v>
      </c>
      <c r="E12" s="282">
        <v>87376</v>
      </c>
      <c r="F12" s="239">
        <v>6306593</v>
      </c>
      <c r="G12" s="239">
        <v>74729032</v>
      </c>
      <c r="H12" s="239">
        <v>6614661</v>
      </c>
      <c r="I12" s="259">
        <v>0</v>
      </c>
      <c r="J12" s="239">
        <v>39447620</v>
      </c>
      <c r="K12" s="239">
        <v>3309332</v>
      </c>
      <c r="L12" s="239">
        <v>-1936862</v>
      </c>
      <c r="M12" s="239">
        <v>15044937</v>
      </c>
      <c r="N12" s="239">
        <f t="shared" si="1"/>
        <v>13108075</v>
      </c>
    </row>
    <row r="13" spans="1:24" ht="15.6" x14ac:dyDescent="0.3">
      <c r="A13" s="6">
        <v>10940</v>
      </c>
      <c r="B13" s="275" t="s">
        <v>816</v>
      </c>
      <c r="C13" s="240">
        <v>18017395</v>
      </c>
      <c r="D13" s="259">
        <v>0</v>
      </c>
      <c r="E13" s="283">
        <v>11998</v>
      </c>
      <c r="F13" s="240">
        <v>866001</v>
      </c>
      <c r="G13" s="240">
        <v>847007</v>
      </c>
      <c r="H13" s="240">
        <v>908304</v>
      </c>
      <c r="I13" s="259">
        <v>0</v>
      </c>
      <c r="J13" s="240">
        <v>5416818</v>
      </c>
      <c r="K13" s="240">
        <v>1186925</v>
      </c>
      <c r="L13" s="240">
        <v>-265964</v>
      </c>
      <c r="M13" s="240">
        <v>38084</v>
      </c>
      <c r="N13" s="239">
        <f t="shared" si="1"/>
        <v>-227880</v>
      </c>
    </row>
    <row r="14" spans="1:24" ht="15.6" x14ac:dyDescent="0.3">
      <c r="A14" s="6">
        <v>10950</v>
      </c>
      <c r="B14" s="275" t="s">
        <v>817</v>
      </c>
      <c r="C14" s="239">
        <v>24745719</v>
      </c>
      <c r="D14" s="259">
        <v>0</v>
      </c>
      <c r="E14" s="282">
        <v>16479</v>
      </c>
      <c r="F14" s="239">
        <v>1189396</v>
      </c>
      <c r="G14" s="239">
        <v>2185586</v>
      </c>
      <c r="H14" s="239">
        <v>1247496</v>
      </c>
      <c r="I14" s="259">
        <v>0</v>
      </c>
      <c r="J14" s="239">
        <v>7439648</v>
      </c>
      <c r="K14" s="239">
        <v>577116</v>
      </c>
      <c r="L14" s="239">
        <v>-365284</v>
      </c>
      <c r="M14" s="239">
        <v>244760</v>
      </c>
      <c r="N14" s="239">
        <f t="shared" si="1"/>
        <v>-120524</v>
      </c>
    </row>
    <row r="15" spans="1:24" ht="15.6" x14ac:dyDescent="0.3">
      <c r="A15" s="6">
        <v>11050</v>
      </c>
      <c r="B15" s="275" t="s">
        <v>818</v>
      </c>
      <c r="C15" s="239">
        <v>6201578</v>
      </c>
      <c r="D15" s="259">
        <v>0</v>
      </c>
      <c r="E15" s="282">
        <v>4130</v>
      </c>
      <c r="F15" s="239">
        <v>298077</v>
      </c>
      <c r="G15" s="239">
        <v>5891368</v>
      </c>
      <c r="H15" s="239">
        <v>312638</v>
      </c>
      <c r="I15" s="259">
        <v>0</v>
      </c>
      <c r="J15" s="239">
        <v>1864466</v>
      </c>
      <c r="K15" s="239">
        <v>52380</v>
      </c>
      <c r="L15" s="239">
        <v>-91545</v>
      </c>
      <c r="M15" s="239">
        <v>1462366</v>
      </c>
      <c r="N15" s="239">
        <f t="shared" si="1"/>
        <v>1370821</v>
      </c>
    </row>
    <row r="16" spans="1:24" ht="15.6" x14ac:dyDescent="0.3">
      <c r="A16" s="272">
        <v>11300</v>
      </c>
      <c r="B16" s="274" t="s">
        <v>819</v>
      </c>
      <c r="C16" s="238">
        <v>131279036</v>
      </c>
      <c r="D16" s="259">
        <v>0</v>
      </c>
      <c r="E16" s="280">
        <v>87421</v>
      </c>
      <c r="F16" s="238">
        <v>6309889</v>
      </c>
      <c r="G16" s="238">
        <v>2974270</v>
      </c>
      <c r="H16" s="238">
        <v>6618117</v>
      </c>
      <c r="I16" s="259">
        <v>0</v>
      </c>
      <c r="J16" s="238">
        <v>39468232</v>
      </c>
      <c r="K16" s="238">
        <v>5952914</v>
      </c>
      <c r="L16" s="238">
        <v>-1937874</v>
      </c>
      <c r="M16" s="238">
        <v>-1160256</v>
      </c>
      <c r="N16" s="238">
        <f>SUM(L16:M16)</f>
        <v>-3098130</v>
      </c>
    </row>
    <row r="17" spans="1:14" ht="15.6" x14ac:dyDescent="0.3">
      <c r="A17" s="272">
        <v>11310</v>
      </c>
      <c r="B17" s="274" t="s">
        <v>820</v>
      </c>
      <c r="C17" s="276">
        <v>15062391</v>
      </c>
      <c r="D17" s="259">
        <v>0</v>
      </c>
      <c r="E17" s="281">
        <v>10030</v>
      </c>
      <c r="F17" s="276">
        <v>723969</v>
      </c>
      <c r="G17" s="276">
        <v>1661368</v>
      </c>
      <c r="H17" s="276">
        <v>759334</v>
      </c>
      <c r="I17" s="259">
        <v>0</v>
      </c>
      <c r="J17" s="276">
        <v>4528415</v>
      </c>
      <c r="K17" s="276">
        <v>0</v>
      </c>
      <c r="L17" s="276">
        <v>-222343</v>
      </c>
      <c r="M17" s="276">
        <v>444554</v>
      </c>
      <c r="N17" s="238">
        <f t="shared" ref="N17:N21" si="2">SUM(L17:M17)</f>
        <v>222211</v>
      </c>
    </row>
    <row r="18" spans="1:14" ht="15.6" x14ac:dyDescent="0.3">
      <c r="A18" s="272">
        <v>11600</v>
      </c>
      <c r="B18" s="274" t="s">
        <v>563</v>
      </c>
      <c r="C18" s="276">
        <v>65552274</v>
      </c>
      <c r="D18" s="259">
        <v>0</v>
      </c>
      <c r="E18" s="281">
        <v>43653</v>
      </c>
      <c r="F18" s="276">
        <v>3150751</v>
      </c>
      <c r="G18" s="276">
        <v>9045112</v>
      </c>
      <c r="H18" s="276">
        <v>3304660</v>
      </c>
      <c r="I18" s="259">
        <v>0</v>
      </c>
      <c r="J18" s="276">
        <v>19707887</v>
      </c>
      <c r="K18" s="276">
        <v>659980</v>
      </c>
      <c r="L18" s="276">
        <v>-967649</v>
      </c>
      <c r="M18" s="276">
        <v>1984653</v>
      </c>
      <c r="N18" s="238">
        <f t="shared" si="2"/>
        <v>1017004</v>
      </c>
    </row>
    <row r="19" spans="1:14" ht="15.6" x14ac:dyDescent="0.3">
      <c r="A19" s="272">
        <v>11900</v>
      </c>
      <c r="B19" s="274" t="s">
        <v>564</v>
      </c>
      <c r="C19" s="276">
        <v>7104311</v>
      </c>
      <c r="D19" s="259">
        <v>0</v>
      </c>
      <c r="E19" s="281">
        <v>4731</v>
      </c>
      <c r="F19" s="276">
        <v>341467</v>
      </c>
      <c r="G19" s="276">
        <v>1227605</v>
      </c>
      <c r="H19" s="276">
        <v>358147</v>
      </c>
      <c r="I19" s="259">
        <v>0</v>
      </c>
      <c r="J19" s="276">
        <v>2135867</v>
      </c>
      <c r="K19" s="276">
        <v>431950</v>
      </c>
      <c r="L19" s="276">
        <v>-104870</v>
      </c>
      <c r="M19" s="276">
        <v>119905</v>
      </c>
      <c r="N19" s="238">
        <f t="shared" si="2"/>
        <v>15035</v>
      </c>
    </row>
    <row r="20" spans="1:14" ht="15.6" x14ac:dyDescent="0.3">
      <c r="A20" s="272">
        <v>12100</v>
      </c>
      <c r="B20" s="274" t="s">
        <v>821</v>
      </c>
      <c r="C20" s="276">
        <v>7205190</v>
      </c>
      <c r="D20" s="259">
        <v>0</v>
      </c>
      <c r="E20" s="281">
        <v>4798</v>
      </c>
      <c r="F20" s="276">
        <v>346315</v>
      </c>
      <c r="G20" s="276">
        <v>133279</v>
      </c>
      <c r="H20" s="276">
        <v>363232</v>
      </c>
      <c r="I20" s="259">
        <v>0</v>
      </c>
      <c r="J20" s="276">
        <v>2166196</v>
      </c>
      <c r="K20" s="276">
        <v>639032</v>
      </c>
      <c r="L20" s="276">
        <v>-106359</v>
      </c>
      <c r="M20" s="276">
        <v>-130598</v>
      </c>
      <c r="N20" s="238">
        <f t="shared" si="2"/>
        <v>-236957</v>
      </c>
    </row>
    <row r="21" spans="1:14" ht="15.6" x14ac:dyDescent="0.3">
      <c r="A21" s="272">
        <v>12150</v>
      </c>
      <c r="B21" s="274" t="s">
        <v>822</v>
      </c>
      <c r="C21" s="276">
        <v>1303143</v>
      </c>
      <c r="D21" s="259">
        <v>0</v>
      </c>
      <c r="E21" s="281">
        <v>868</v>
      </c>
      <c r="F21" s="276">
        <v>62635</v>
      </c>
      <c r="G21" s="276">
        <v>138354</v>
      </c>
      <c r="H21" s="276">
        <v>65695</v>
      </c>
      <c r="I21" s="259">
        <v>0</v>
      </c>
      <c r="J21" s="276">
        <v>391782</v>
      </c>
      <c r="K21" s="276">
        <v>3519</v>
      </c>
      <c r="L21" s="276">
        <v>-19236</v>
      </c>
      <c r="M21" s="276">
        <v>28800</v>
      </c>
      <c r="N21" s="238">
        <f t="shared" si="2"/>
        <v>9564</v>
      </c>
    </row>
    <row r="22" spans="1:14" ht="15.6" x14ac:dyDescent="0.3">
      <c r="A22" s="6">
        <v>12160</v>
      </c>
      <c r="B22" s="275" t="s">
        <v>565</v>
      </c>
      <c r="C22" s="239">
        <v>50890060</v>
      </c>
      <c r="D22" s="259">
        <v>0</v>
      </c>
      <c r="E22" s="282">
        <v>33889</v>
      </c>
      <c r="F22" s="239">
        <v>2446016</v>
      </c>
      <c r="G22" s="239">
        <v>1607421</v>
      </c>
      <c r="H22" s="239">
        <v>2565500</v>
      </c>
      <c r="I22" s="259">
        <v>0</v>
      </c>
      <c r="J22" s="239">
        <v>15299782</v>
      </c>
      <c r="K22" s="239">
        <v>1636260</v>
      </c>
      <c r="L22" s="239">
        <v>-751213</v>
      </c>
      <c r="M22" s="239">
        <v>98121</v>
      </c>
      <c r="N22" s="239">
        <f>SUM(L22:M22)</f>
        <v>-653092</v>
      </c>
    </row>
    <row r="23" spans="1:14" ht="15.6" x14ac:dyDescent="0.3">
      <c r="A23" s="6">
        <v>12220</v>
      </c>
      <c r="B23" s="275" t="s">
        <v>823</v>
      </c>
      <c r="C23" s="239">
        <v>1319717007</v>
      </c>
      <c r="D23" s="259">
        <v>0</v>
      </c>
      <c r="E23" s="282">
        <v>878827</v>
      </c>
      <c r="F23" s="239">
        <v>63431813</v>
      </c>
      <c r="G23" s="239">
        <v>53802819</v>
      </c>
      <c r="H23" s="239">
        <v>66530362</v>
      </c>
      <c r="I23" s="259">
        <v>0</v>
      </c>
      <c r="J23" s="239">
        <v>396764773</v>
      </c>
      <c r="K23" s="239">
        <v>0</v>
      </c>
      <c r="L23" s="239">
        <v>-19480984</v>
      </c>
      <c r="M23" s="239">
        <v>16206721</v>
      </c>
      <c r="N23" s="239">
        <f t="shared" ref="N23:N27" si="3">SUM(L23:M23)</f>
        <v>-3274263</v>
      </c>
    </row>
    <row r="24" spans="1:14" ht="15.6" x14ac:dyDescent="0.3">
      <c r="A24" s="6">
        <v>12510</v>
      </c>
      <c r="B24" s="275" t="s">
        <v>566</v>
      </c>
      <c r="C24" s="239">
        <v>120933049</v>
      </c>
      <c r="D24" s="259">
        <v>0</v>
      </c>
      <c r="E24" s="282">
        <v>80532</v>
      </c>
      <c r="F24" s="239">
        <v>5812612</v>
      </c>
      <c r="G24" s="239">
        <v>2362014</v>
      </c>
      <c r="H24" s="239">
        <v>6096549</v>
      </c>
      <c r="I24" s="259">
        <v>0</v>
      </c>
      <c r="J24" s="239">
        <v>36357775</v>
      </c>
      <c r="K24" s="239">
        <v>20284463</v>
      </c>
      <c r="L24" s="239">
        <v>-1785151</v>
      </c>
      <c r="M24" s="239">
        <v>-4146847</v>
      </c>
      <c r="N24" s="239">
        <f t="shared" si="3"/>
        <v>-5931998</v>
      </c>
    </row>
    <row r="25" spans="1:14" ht="15.6" x14ac:dyDescent="0.3">
      <c r="A25" s="6">
        <v>12600</v>
      </c>
      <c r="B25" s="275" t="s">
        <v>824</v>
      </c>
      <c r="C25" s="240">
        <v>54616134</v>
      </c>
      <c r="D25" s="259">
        <v>0</v>
      </c>
      <c r="E25" s="283">
        <v>36370</v>
      </c>
      <c r="F25" s="240">
        <v>2625109</v>
      </c>
      <c r="G25" s="240">
        <v>15838743</v>
      </c>
      <c r="H25" s="240">
        <v>2753341</v>
      </c>
      <c r="I25" s="259">
        <v>0</v>
      </c>
      <c r="J25" s="240">
        <v>16420004</v>
      </c>
      <c r="K25" s="240">
        <v>0</v>
      </c>
      <c r="L25" s="240">
        <v>-806215</v>
      </c>
      <c r="M25" s="240">
        <v>3996359</v>
      </c>
      <c r="N25" s="239">
        <f t="shared" si="3"/>
        <v>3190144</v>
      </c>
    </row>
    <row r="26" spans="1:14" ht="15.6" x14ac:dyDescent="0.3">
      <c r="A26" s="6">
        <v>12700</v>
      </c>
      <c r="B26" s="275" t="s">
        <v>825</v>
      </c>
      <c r="C26" s="239">
        <v>31254179</v>
      </c>
      <c r="D26" s="259">
        <v>0</v>
      </c>
      <c r="E26" s="282">
        <v>20813</v>
      </c>
      <c r="F26" s="239">
        <v>1502223</v>
      </c>
      <c r="G26" s="239">
        <v>1469185</v>
      </c>
      <c r="H26" s="239">
        <v>1575604</v>
      </c>
      <c r="I26" s="259">
        <v>0</v>
      </c>
      <c r="J26" s="239">
        <v>9396376</v>
      </c>
      <c r="K26" s="239">
        <v>0</v>
      </c>
      <c r="L26" s="239">
        <v>-461358</v>
      </c>
      <c r="M26" s="239">
        <v>385458</v>
      </c>
      <c r="N26" s="239">
        <f t="shared" si="3"/>
        <v>-75900</v>
      </c>
    </row>
    <row r="27" spans="1:14" ht="15.6" x14ac:dyDescent="0.3">
      <c r="A27" s="6">
        <v>13500</v>
      </c>
      <c r="B27" s="275" t="s">
        <v>826</v>
      </c>
      <c r="C27" s="239">
        <v>119527921</v>
      </c>
      <c r="D27" s="259">
        <v>0</v>
      </c>
      <c r="E27" s="282">
        <v>79596</v>
      </c>
      <c r="F27" s="239">
        <v>5745075</v>
      </c>
      <c r="G27" s="239">
        <v>8315343</v>
      </c>
      <c r="H27" s="239">
        <v>6025713</v>
      </c>
      <c r="I27" s="259">
        <v>0</v>
      </c>
      <c r="J27" s="239">
        <v>35935332</v>
      </c>
      <c r="K27" s="239">
        <v>4033309</v>
      </c>
      <c r="L27" s="239">
        <v>-1764410</v>
      </c>
      <c r="M27" s="239">
        <v>1951337</v>
      </c>
      <c r="N27" s="239">
        <f t="shared" si="3"/>
        <v>186927</v>
      </c>
    </row>
    <row r="28" spans="1:14" ht="15.6" x14ac:dyDescent="0.3">
      <c r="A28" s="272">
        <v>13700</v>
      </c>
      <c r="B28" s="274" t="s">
        <v>827</v>
      </c>
      <c r="C28" s="238">
        <v>12905169</v>
      </c>
      <c r="D28" s="259">
        <v>0</v>
      </c>
      <c r="E28" s="280">
        <v>8594</v>
      </c>
      <c r="F28" s="238">
        <v>620283</v>
      </c>
      <c r="G28" s="238">
        <v>189488</v>
      </c>
      <c r="H28" s="238">
        <v>650583</v>
      </c>
      <c r="I28" s="259">
        <v>0</v>
      </c>
      <c r="J28" s="238">
        <v>3879859</v>
      </c>
      <c r="K28" s="238">
        <v>572120</v>
      </c>
      <c r="L28" s="238">
        <v>-190499</v>
      </c>
      <c r="M28" s="238">
        <v>-102608</v>
      </c>
      <c r="N28" s="238">
        <f>SUM(L28:M28)</f>
        <v>-293107</v>
      </c>
    </row>
    <row r="29" spans="1:14" ht="15.6" x14ac:dyDescent="0.3">
      <c r="A29" s="272">
        <v>14300</v>
      </c>
      <c r="B29" s="274" t="s">
        <v>828</v>
      </c>
      <c r="C29" s="276">
        <v>42291133</v>
      </c>
      <c r="D29" s="259">
        <v>0</v>
      </c>
      <c r="E29" s="281">
        <v>28163</v>
      </c>
      <c r="F29" s="276">
        <v>2032711</v>
      </c>
      <c r="G29" s="276">
        <v>4694595</v>
      </c>
      <c r="H29" s="276">
        <v>2132006</v>
      </c>
      <c r="I29" s="259">
        <v>0</v>
      </c>
      <c r="J29" s="276">
        <v>12714568</v>
      </c>
      <c r="K29" s="276">
        <v>3229667</v>
      </c>
      <c r="L29" s="276">
        <v>-624280</v>
      </c>
      <c r="M29" s="276">
        <v>858521</v>
      </c>
      <c r="N29" s="238">
        <f t="shared" ref="N29:N33" si="4">SUM(L29:M29)</f>
        <v>234241</v>
      </c>
    </row>
    <row r="30" spans="1:14" ht="15.6" x14ac:dyDescent="0.3">
      <c r="A30" s="272">
        <v>14300.2</v>
      </c>
      <c r="B30" s="274" t="s">
        <v>829</v>
      </c>
      <c r="C30" s="276">
        <v>4570489</v>
      </c>
      <c r="D30" s="259">
        <v>0</v>
      </c>
      <c r="E30" s="281">
        <v>3044</v>
      </c>
      <c r="F30" s="276">
        <v>219679</v>
      </c>
      <c r="G30" s="276">
        <v>1026785</v>
      </c>
      <c r="H30" s="276">
        <v>230410</v>
      </c>
      <c r="I30" s="259">
        <v>0</v>
      </c>
      <c r="J30" s="276">
        <v>1374089</v>
      </c>
      <c r="K30" s="276">
        <v>766516</v>
      </c>
      <c r="L30" s="276">
        <v>-67467</v>
      </c>
      <c r="M30" s="276">
        <v>135169</v>
      </c>
      <c r="N30" s="238">
        <f t="shared" si="4"/>
        <v>67702</v>
      </c>
    </row>
    <row r="31" spans="1:14" ht="15.6" x14ac:dyDescent="0.3">
      <c r="A31" s="272">
        <v>18400</v>
      </c>
      <c r="B31" s="274" t="s">
        <v>830</v>
      </c>
      <c r="C31" s="276">
        <v>151981776</v>
      </c>
      <c r="D31" s="259">
        <v>0</v>
      </c>
      <c r="E31" s="281">
        <v>101208</v>
      </c>
      <c r="F31" s="276">
        <v>7304960</v>
      </c>
      <c r="G31" s="276">
        <v>4666848</v>
      </c>
      <c r="H31" s="276">
        <v>7661796</v>
      </c>
      <c r="I31" s="259">
        <v>0</v>
      </c>
      <c r="J31" s="276">
        <v>45692383</v>
      </c>
      <c r="K31" s="276">
        <v>1609847</v>
      </c>
      <c r="L31" s="276">
        <v>-2243477</v>
      </c>
      <c r="M31" s="276">
        <v>1205002</v>
      </c>
      <c r="N31" s="238">
        <f t="shared" si="4"/>
        <v>-1038475</v>
      </c>
    </row>
    <row r="32" spans="1:14" ht="15.6" x14ac:dyDescent="0.3">
      <c r="A32" s="272">
        <v>18600</v>
      </c>
      <c r="B32" s="274" t="s">
        <v>831</v>
      </c>
      <c r="C32" s="276">
        <v>424621</v>
      </c>
      <c r="D32" s="259">
        <v>0</v>
      </c>
      <c r="E32" s="281">
        <v>283</v>
      </c>
      <c r="F32" s="276">
        <v>20409</v>
      </c>
      <c r="G32" s="276">
        <v>0</v>
      </c>
      <c r="H32" s="276">
        <v>21406</v>
      </c>
      <c r="I32" s="259">
        <v>0</v>
      </c>
      <c r="J32" s="276">
        <v>127660</v>
      </c>
      <c r="K32" s="276">
        <v>143363</v>
      </c>
      <c r="L32" s="276">
        <v>-6268</v>
      </c>
      <c r="M32" s="276">
        <v>-44785</v>
      </c>
      <c r="N32" s="238">
        <f t="shared" si="4"/>
        <v>-51053</v>
      </c>
    </row>
    <row r="33" spans="1:14" ht="15.6" x14ac:dyDescent="0.3">
      <c r="A33" s="272">
        <v>18640</v>
      </c>
      <c r="B33" s="274" t="s">
        <v>546</v>
      </c>
      <c r="C33" s="276">
        <v>44230</v>
      </c>
      <c r="D33" s="259">
        <v>0</v>
      </c>
      <c r="E33" s="281">
        <v>29</v>
      </c>
      <c r="F33" s="276">
        <v>2126</v>
      </c>
      <c r="G33" s="276">
        <v>45154</v>
      </c>
      <c r="H33" s="276">
        <v>2230</v>
      </c>
      <c r="I33" s="259">
        <v>0</v>
      </c>
      <c r="J33" s="276">
        <v>13297</v>
      </c>
      <c r="K33" s="276">
        <v>0</v>
      </c>
      <c r="L33" s="276">
        <v>-653</v>
      </c>
      <c r="M33" s="276">
        <v>10411</v>
      </c>
      <c r="N33" s="238">
        <f t="shared" si="4"/>
        <v>9758</v>
      </c>
    </row>
    <row r="34" spans="1:14" ht="15.6" x14ac:dyDescent="0.3">
      <c r="A34" s="6">
        <v>18690</v>
      </c>
      <c r="B34" s="275" t="s">
        <v>832</v>
      </c>
      <c r="C34" s="239">
        <v>0</v>
      </c>
      <c r="D34" s="259">
        <v>0</v>
      </c>
      <c r="E34" s="282">
        <v>0</v>
      </c>
      <c r="F34" s="239">
        <v>0</v>
      </c>
      <c r="G34" s="239">
        <v>0</v>
      </c>
      <c r="H34" s="239">
        <v>0</v>
      </c>
      <c r="I34" s="259">
        <v>0</v>
      </c>
      <c r="J34" s="239">
        <v>0</v>
      </c>
      <c r="K34" s="239">
        <v>88608</v>
      </c>
      <c r="L34" s="239">
        <v>0</v>
      </c>
      <c r="M34" s="239">
        <v>-29536</v>
      </c>
      <c r="N34" s="239">
        <f>SUM(L34:M34)</f>
        <v>-29536</v>
      </c>
    </row>
    <row r="35" spans="1:14" ht="15.6" x14ac:dyDescent="0.3">
      <c r="A35" s="6">
        <v>18740</v>
      </c>
      <c r="B35" s="275" t="s">
        <v>833</v>
      </c>
      <c r="C35" s="239">
        <v>207379</v>
      </c>
      <c r="D35" s="259">
        <v>0</v>
      </c>
      <c r="E35" s="282">
        <v>138</v>
      </c>
      <c r="F35" s="239">
        <v>9968</v>
      </c>
      <c r="G35" s="239">
        <v>18273</v>
      </c>
      <c r="H35" s="239">
        <v>10455</v>
      </c>
      <c r="I35" s="259">
        <v>0</v>
      </c>
      <c r="J35" s="239">
        <v>62347</v>
      </c>
      <c r="K35" s="239">
        <v>4279</v>
      </c>
      <c r="L35" s="239">
        <v>-3061</v>
      </c>
      <c r="M35" s="239">
        <v>5105</v>
      </c>
      <c r="N35" s="239">
        <f t="shared" ref="N35:N39" si="5">SUM(L35:M35)</f>
        <v>2044</v>
      </c>
    </row>
    <row r="36" spans="1:14" ht="15.6" x14ac:dyDescent="0.3">
      <c r="A36" s="6">
        <v>18780</v>
      </c>
      <c r="B36" s="275" t="s">
        <v>834</v>
      </c>
      <c r="C36" s="239">
        <v>573529</v>
      </c>
      <c r="D36" s="259">
        <v>0</v>
      </c>
      <c r="E36" s="282">
        <v>382</v>
      </c>
      <c r="F36" s="239">
        <v>27566</v>
      </c>
      <c r="G36" s="239">
        <v>185950</v>
      </c>
      <c r="H36" s="239">
        <v>28913</v>
      </c>
      <c r="I36" s="259">
        <v>0</v>
      </c>
      <c r="J36" s="239">
        <v>172428</v>
      </c>
      <c r="K36" s="239">
        <v>0</v>
      </c>
      <c r="L36" s="239">
        <v>-8466</v>
      </c>
      <c r="M36" s="239">
        <v>45394</v>
      </c>
      <c r="N36" s="239">
        <f t="shared" si="5"/>
        <v>36928</v>
      </c>
    </row>
    <row r="37" spans="1:14" ht="15.6" x14ac:dyDescent="0.3">
      <c r="A37" s="6">
        <v>19005</v>
      </c>
      <c r="B37" s="275" t="s">
        <v>835</v>
      </c>
      <c r="C37" s="240">
        <v>21734900</v>
      </c>
      <c r="D37" s="259">
        <v>0</v>
      </c>
      <c r="E37" s="283">
        <v>14474</v>
      </c>
      <c r="F37" s="240">
        <v>1044682</v>
      </c>
      <c r="G37" s="240">
        <v>1492809</v>
      </c>
      <c r="H37" s="240">
        <v>1095713</v>
      </c>
      <c r="I37" s="259">
        <v>0</v>
      </c>
      <c r="J37" s="240">
        <v>6534464</v>
      </c>
      <c r="K37" s="240">
        <v>0</v>
      </c>
      <c r="L37" s="240">
        <v>-320839</v>
      </c>
      <c r="M37" s="240">
        <v>409460</v>
      </c>
      <c r="N37" s="239">
        <f t="shared" si="5"/>
        <v>88621</v>
      </c>
    </row>
    <row r="38" spans="1:14" ht="15.6" x14ac:dyDescent="0.3">
      <c r="A38" s="6">
        <v>19100</v>
      </c>
      <c r="B38" s="275" t="s">
        <v>567</v>
      </c>
      <c r="C38" s="239">
        <v>1973653098</v>
      </c>
      <c r="D38" s="259">
        <v>0</v>
      </c>
      <c r="E38" s="282">
        <v>1314296</v>
      </c>
      <c r="F38" s="239">
        <v>94863061</v>
      </c>
      <c r="G38" s="239">
        <v>138257457</v>
      </c>
      <c r="H38" s="239">
        <v>99496979</v>
      </c>
      <c r="I38" s="259">
        <v>0</v>
      </c>
      <c r="J38" s="239">
        <v>593366622</v>
      </c>
      <c r="K38" s="239">
        <v>0</v>
      </c>
      <c r="L38" s="239">
        <v>-29134052</v>
      </c>
      <c r="M38" s="239">
        <v>39360962</v>
      </c>
      <c r="N38" s="239">
        <f t="shared" si="5"/>
        <v>10226910</v>
      </c>
    </row>
    <row r="39" spans="1:14" ht="15.6" x14ac:dyDescent="0.3">
      <c r="A39" s="6">
        <v>20100</v>
      </c>
      <c r="B39" s="275" t="s">
        <v>37</v>
      </c>
      <c r="C39" s="239">
        <v>328761498</v>
      </c>
      <c r="D39" s="259">
        <v>0</v>
      </c>
      <c r="E39" s="282">
        <v>218929</v>
      </c>
      <c r="F39" s="239">
        <v>15801826</v>
      </c>
      <c r="G39" s="239">
        <v>24230554</v>
      </c>
      <c r="H39" s="239">
        <v>16573721</v>
      </c>
      <c r="I39" s="259">
        <v>0</v>
      </c>
      <c r="J39" s="239">
        <v>98840115</v>
      </c>
      <c r="K39" s="239">
        <v>24463935</v>
      </c>
      <c r="L39" s="239">
        <v>-4853008</v>
      </c>
      <c r="M39" s="239">
        <v>-2676012</v>
      </c>
      <c r="N39" s="239">
        <f t="shared" si="5"/>
        <v>-7529020</v>
      </c>
    </row>
    <row r="40" spans="1:14" ht="15.6" x14ac:dyDescent="0.3">
      <c r="A40" s="272">
        <v>20200</v>
      </c>
      <c r="B40" s="274" t="s">
        <v>836</v>
      </c>
      <c r="C40" s="238">
        <v>49185946</v>
      </c>
      <c r="D40" s="259">
        <v>0</v>
      </c>
      <c r="E40" s="280">
        <v>32754</v>
      </c>
      <c r="F40" s="238">
        <v>2364108</v>
      </c>
      <c r="G40" s="238">
        <v>6639179</v>
      </c>
      <c r="H40" s="238">
        <v>2479591</v>
      </c>
      <c r="I40" s="259">
        <v>0</v>
      </c>
      <c r="J40" s="238">
        <v>14787451</v>
      </c>
      <c r="K40" s="238">
        <v>733704</v>
      </c>
      <c r="L40" s="238">
        <v>-726058</v>
      </c>
      <c r="M40" s="238">
        <v>1237796</v>
      </c>
      <c r="N40" s="238">
        <f>SUM(L40:M40)</f>
        <v>511738</v>
      </c>
    </row>
    <row r="41" spans="1:14" ht="15.6" x14ac:dyDescent="0.3">
      <c r="A41" s="272">
        <v>20300</v>
      </c>
      <c r="B41" s="274" t="s">
        <v>39</v>
      </c>
      <c r="C41" s="276">
        <v>770846234</v>
      </c>
      <c r="D41" s="259">
        <v>0</v>
      </c>
      <c r="E41" s="281">
        <v>513322</v>
      </c>
      <c r="F41" s="276">
        <v>37050500</v>
      </c>
      <c r="G41" s="276">
        <v>47583304</v>
      </c>
      <c r="H41" s="276">
        <v>38860361</v>
      </c>
      <c r="I41" s="259">
        <v>0</v>
      </c>
      <c r="J41" s="276">
        <v>231750163</v>
      </c>
      <c r="K41" s="276">
        <v>72031992</v>
      </c>
      <c r="L41" s="276">
        <v>-11378836</v>
      </c>
      <c r="M41" s="276">
        <v>-12344108</v>
      </c>
      <c r="N41" s="238">
        <f t="shared" ref="N41:N45" si="6">SUM(L41:M41)</f>
        <v>-23722944</v>
      </c>
    </row>
    <row r="42" spans="1:14" ht="15.6" x14ac:dyDescent="0.3">
      <c r="A42" s="272">
        <v>20400</v>
      </c>
      <c r="B42" s="274" t="s">
        <v>40</v>
      </c>
      <c r="C42" s="276">
        <v>35634493</v>
      </c>
      <c r="D42" s="259">
        <v>0</v>
      </c>
      <c r="E42" s="281">
        <v>23730</v>
      </c>
      <c r="F42" s="276">
        <v>1712762</v>
      </c>
      <c r="G42" s="276">
        <v>967151</v>
      </c>
      <c r="H42" s="276">
        <v>1796427</v>
      </c>
      <c r="I42" s="259">
        <v>0</v>
      </c>
      <c r="J42" s="276">
        <v>10713290</v>
      </c>
      <c r="K42" s="276">
        <v>3658434</v>
      </c>
      <c r="L42" s="276">
        <v>-526018</v>
      </c>
      <c r="M42" s="276">
        <v>-981273</v>
      </c>
      <c r="N42" s="238">
        <f t="shared" si="6"/>
        <v>-1507291</v>
      </c>
    </row>
    <row r="43" spans="1:14" ht="15.6" x14ac:dyDescent="0.3">
      <c r="A43" s="272">
        <v>20600</v>
      </c>
      <c r="B43" s="274" t="s">
        <v>41</v>
      </c>
      <c r="C43" s="276">
        <v>92401935</v>
      </c>
      <c r="D43" s="259">
        <v>0</v>
      </c>
      <c r="E43" s="281">
        <v>61532</v>
      </c>
      <c r="F43" s="276">
        <v>4441272</v>
      </c>
      <c r="G43" s="276">
        <v>10390746</v>
      </c>
      <c r="H43" s="276">
        <v>4658222</v>
      </c>
      <c r="I43" s="259">
        <v>0</v>
      </c>
      <c r="J43" s="276">
        <v>27780072</v>
      </c>
      <c r="K43" s="276">
        <v>5093928</v>
      </c>
      <c r="L43" s="276">
        <v>-1363990</v>
      </c>
      <c r="M43" s="276">
        <v>768702</v>
      </c>
      <c r="N43" s="238">
        <f t="shared" si="6"/>
        <v>-595288</v>
      </c>
    </row>
    <row r="44" spans="1:14" ht="15.6" x14ac:dyDescent="0.3">
      <c r="A44" s="272">
        <v>20700</v>
      </c>
      <c r="B44" s="274" t="s">
        <v>837</v>
      </c>
      <c r="C44" s="276">
        <v>185288154</v>
      </c>
      <c r="D44" s="259">
        <v>0</v>
      </c>
      <c r="E44" s="281">
        <v>123387</v>
      </c>
      <c r="F44" s="276">
        <v>8905821</v>
      </c>
      <c r="G44" s="276">
        <v>13286636</v>
      </c>
      <c r="H44" s="276">
        <v>9340857</v>
      </c>
      <c r="I44" s="259">
        <v>0</v>
      </c>
      <c r="J44" s="276">
        <v>55705740</v>
      </c>
      <c r="K44" s="276">
        <v>16446897</v>
      </c>
      <c r="L44" s="276">
        <v>-2735128</v>
      </c>
      <c r="M44" s="276">
        <v>-2315464</v>
      </c>
      <c r="N44" s="238">
        <f t="shared" si="6"/>
        <v>-5050592</v>
      </c>
    </row>
    <row r="45" spans="1:14" ht="15.6" x14ac:dyDescent="0.3">
      <c r="A45" s="272">
        <v>20800</v>
      </c>
      <c r="B45" s="274" t="s">
        <v>838</v>
      </c>
      <c r="C45" s="276">
        <v>140777132</v>
      </c>
      <c r="D45" s="259">
        <v>0</v>
      </c>
      <c r="E45" s="281">
        <v>93746</v>
      </c>
      <c r="F45" s="276">
        <v>6766412</v>
      </c>
      <c r="G45" s="276">
        <v>3567188</v>
      </c>
      <c r="H45" s="276">
        <v>7096941</v>
      </c>
      <c r="I45" s="259">
        <v>0</v>
      </c>
      <c r="J45" s="276">
        <v>42323776</v>
      </c>
      <c r="K45" s="276">
        <v>12501870</v>
      </c>
      <c r="L45" s="276">
        <v>-2078080</v>
      </c>
      <c r="M45" s="276">
        <v>-3143234</v>
      </c>
      <c r="N45" s="238">
        <f t="shared" si="6"/>
        <v>-5221314</v>
      </c>
    </row>
    <row r="46" spans="1:14" ht="15.6" x14ac:dyDescent="0.3">
      <c r="A46" s="6">
        <v>20900</v>
      </c>
      <c r="B46" s="275" t="s">
        <v>44</v>
      </c>
      <c r="C46" s="239">
        <v>317803677</v>
      </c>
      <c r="D46" s="259">
        <v>0</v>
      </c>
      <c r="E46" s="282">
        <v>211632</v>
      </c>
      <c r="F46" s="239">
        <v>15275141</v>
      </c>
      <c r="G46" s="239">
        <v>37032201</v>
      </c>
      <c r="H46" s="239">
        <v>16021309</v>
      </c>
      <c r="I46" s="259">
        <v>0</v>
      </c>
      <c r="J46" s="239">
        <v>95545714</v>
      </c>
      <c r="K46" s="239">
        <v>25367022</v>
      </c>
      <c r="L46" s="239">
        <v>-4691254</v>
      </c>
      <c r="M46" s="239">
        <v>-224472</v>
      </c>
      <c r="N46" s="239">
        <f>SUM(L46:M46)</f>
        <v>-4915726</v>
      </c>
    </row>
    <row r="47" spans="1:14" ht="15.6" x14ac:dyDescent="0.3">
      <c r="A47" s="6">
        <v>21200</v>
      </c>
      <c r="B47" s="275" t="s">
        <v>839</v>
      </c>
      <c r="C47" s="239">
        <v>96687793</v>
      </c>
      <c r="D47" s="259">
        <v>0</v>
      </c>
      <c r="E47" s="282">
        <v>64386</v>
      </c>
      <c r="F47" s="239">
        <v>4647271</v>
      </c>
      <c r="G47" s="239">
        <v>6416221</v>
      </c>
      <c r="H47" s="239">
        <v>4874283</v>
      </c>
      <c r="I47" s="259">
        <v>0</v>
      </c>
      <c r="J47" s="239">
        <v>29068588</v>
      </c>
      <c r="K47" s="239">
        <v>10105719</v>
      </c>
      <c r="L47" s="239">
        <v>-1427255</v>
      </c>
      <c r="M47" s="239">
        <v>-1864620</v>
      </c>
      <c r="N47" s="239">
        <f t="shared" ref="N47:N51" si="7">SUM(L47:M47)</f>
        <v>-3291875</v>
      </c>
    </row>
    <row r="48" spans="1:14" ht="15.6" x14ac:dyDescent="0.3">
      <c r="A48" s="6">
        <v>21300</v>
      </c>
      <c r="B48" s="275" t="s">
        <v>840</v>
      </c>
      <c r="C48" s="239">
        <v>1228738701</v>
      </c>
      <c r="D48" s="259">
        <v>0</v>
      </c>
      <c r="E48" s="282">
        <v>818242</v>
      </c>
      <c r="F48" s="239">
        <v>59058967</v>
      </c>
      <c r="G48" s="239">
        <v>102582219</v>
      </c>
      <c r="H48" s="239">
        <v>61943909</v>
      </c>
      <c r="I48" s="259">
        <v>0</v>
      </c>
      <c r="J48" s="239">
        <v>369412706</v>
      </c>
      <c r="K48" s="239">
        <v>93181800</v>
      </c>
      <c r="L48" s="239">
        <v>-18138009</v>
      </c>
      <c r="M48" s="239">
        <v>-6203610</v>
      </c>
      <c r="N48" s="239">
        <f t="shared" si="7"/>
        <v>-24341619</v>
      </c>
    </row>
    <row r="49" spans="1:14" ht="15.6" x14ac:dyDescent="0.3">
      <c r="A49" s="6">
        <v>21520</v>
      </c>
      <c r="B49" s="275" t="s">
        <v>841</v>
      </c>
      <c r="C49" s="240">
        <v>2186043474</v>
      </c>
      <c r="D49" s="259">
        <v>0</v>
      </c>
      <c r="E49" s="283">
        <v>1455731</v>
      </c>
      <c r="F49" s="240">
        <v>105071542</v>
      </c>
      <c r="G49" s="240">
        <v>170131046</v>
      </c>
      <c r="H49" s="240">
        <v>110204130</v>
      </c>
      <c r="I49" s="259">
        <v>0</v>
      </c>
      <c r="J49" s="240">
        <v>657220478</v>
      </c>
      <c r="K49" s="240">
        <v>191112627</v>
      </c>
      <c r="L49" s="240">
        <v>-32269249</v>
      </c>
      <c r="M49" s="240">
        <v>-23732293</v>
      </c>
      <c r="N49" s="239">
        <f t="shared" si="7"/>
        <v>-56001542</v>
      </c>
    </row>
    <row r="50" spans="1:14" ht="15.6" x14ac:dyDescent="0.3">
      <c r="A50" s="6">
        <v>21525</v>
      </c>
      <c r="B50" s="275" t="s">
        <v>842</v>
      </c>
      <c r="C50" s="239">
        <v>50516020</v>
      </c>
      <c r="D50" s="259">
        <v>0</v>
      </c>
      <c r="E50" s="282">
        <v>33640</v>
      </c>
      <c r="F50" s="239">
        <v>2428038</v>
      </c>
      <c r="G50" s="239">
        <v>739655</v>
      </c>
      <c r="H50" s="239">
        <v>2546644</v>
      </c>
      <c r="I50" s="259">
        <v>0</v>
      </c>
      <c r="J50" s="239">
        <v>15187330</v>
      </c>
      <c r="K50" s="239">
        <v>4487717</v>
      </c>
      <c r="L50" s="239">
        <v>-745692</v>
      </c>
      <c r="M50" s="239">
        <v>-1124543</v>
      </c>
      <c r="N50" s="239">
        <f t="shared" si="7"/>
        <v>-1870235</v>
      </c>
    </row>
    <row r="51" spans="1:14" ht="15.6" x14ac:dyDescent="0.3">
      <c r="A51" s="6">
        <v>21525.200000000001</v>
      </c>
      <c r="B51" s="275" t="s">
        <v>843</v>
      </c>
      <c r="C51" s="239">
        <v>4740014</v>
      </c>
      <c r="D51" s="259">
        <v>0</v>
      </c>
      <c r="E51" s="282">
        <v>3156</v>
      </c>
      <c r="F51" s="239">
        <v>227827</v>
      </c>
      <c r="G51" s="239">
        <v>1603830</v>
      </c>
      <c r="H51" s="239">
        <v>238956</v>
      </c>
      <c r="I51" s="259">
        <v>0</v>
      </c>
      <c r="J51" s="239">
        <v>1425056</v>
      </c>
      <c r="K51" s="239">
        <v>110875</v>
      </c>
      <c r="L51" s="239">
        <v>-69970</v>
      </c>
      <c r="M51" s="239">
        <v>418012</v>
      </c>
      <c r="N51" s="239">
        <f t="shared" si="7"/>
        <v>348042</v>
      </c>
    </row>
    <row r="52" spans="1:14" ht="15.6" x14ac:dyDescent="0.3">
      <c r="A52" s="272">
        <v>21550</v>
      </c>
      <c r="B52" s="274" t="s">
        <v>48</v>
      </c>
      <c r="C52" s="238">
        <v>1336032684</v>
      </c>
      <c r="D52" s="259">
        <v>0</v>
      </c>
      <c r="E52" s="280">
        <v>889692</v>
      </c>
      <c r="F52" s="238">
        <v>64216021</v>
      </c>
      <c r="G52" s="238">
        <v>124225400</v>
      </c>
      <c r="H52" s="238">
        <v>67352878</v>
      </c>
      <c r="I52" s="259">
        <v>0</v>
      </c>
      <c r="J52" s="238">
        <v>401669980</v>
      </c>
      <c r="K52" s="238">
        <v>12083031</v>
      </c>
      <c r="L52" s="238">
        <v>-19721827</v>
      </c>
      <c r="M52" s="238">
        <v>21190526</v>
      </c>
      <c r="N52" s="238">
        <f>SUM(L52:M52)</f>
        <v>1468699</v>
      </c>
    </row>
    <row r="53" spans="1:14" ht="15.6" x14ac:dyDescent="0.3">
      <c r="A53" s="272">
        <v>21570</v>
      </c>
      <c r="B53" s="274" t="s">
        <v>568</v>
      </c>
      <c r="C53" s="276">
        <v>5774862</v>
      </c>
      <c r="D53" s="259">
        <v>0</v>
      </c>
      <c r="E53" s="281">
        <v>3846</v>
      </c>
      <c r="F53" s="276">
        <v>277567</v>
      </c>
      <c r="G53" s="276">
        <v>893291</v>
      </c>
      <c r="H53" s="276">
        <v>291126</v>
      </c>
      <c r="I53" s="259">
        <v>0</v>
      </c>
      <c r="J53" s="276">
        <v>1736177</v>
      </c>
      <c r="K53" s="276">
        <v>27280</v>
      </c>
      <c r="L53" s="276">
        <v>-85246</v>
      </c>
      <c r="M53" s="276">
        <v>192663</v>
      </c>
      <c r="N53" s="238">
        <f t="shared" ref="N53:N57" si="8">SUM(L53:M53)</f>
        <v>107417</v>
      </c>
    </row>
    <row r="54" spans="1:14" ht="15.6" x14ac:dyDescent="0.3">
      <c r="A54" s="272">
        <v>21800</v>
      </c>
      <c r="B54" s="274" t="s">
        <v>49</v>
      </c>
      <c r="C54" s="276">
        <v>183167497</v>
      </c>
      <c r="D54" s="259">
        <v>0</v>
      </c>
      <c r="E54" s="281">
        <v>121975</v>
      </c>
      <c r="F54" s="276">
        <v>8803892</v>
      </c>
      <c r="G54" s="276">
        <v>18114981</v>
      </c>
      <c r="H54" s="276">
        <v>9233949</v>
      </c>
      <c r="I54" s="259">
        <v>0</v>
      </c>
      <c r="J54" s="276">
        <v>55068177</v>
      </c>
      <c r="K54" s="276">
        <v>14134551</v>
      </c>
      <c r="L54" s="276">
        <v>-2703824</v>
      </c>
      <c r="M54" s="276">
        <v>-478927</v>
      </c>
      <c r="N54" s="238">
        <f t="shared" si="8"/>
        <v>-3182751</v>
      </c>
    </row>
    <row r="55" spans="1:14" ht="15.6" x14ac:dyDescent="0.3">
      <c r="A55" s="272">
        <v>21900</v>
      </c>
      <c r="B55" s="274" t="s">
        <v>50</v>
      </c>
      <c r="C55" s="276">
        <v>94453926</v>
      </c>
      <c r="D55" s="259">
        <v>0</v>
      </c>
      <c r="E55" s="281">
        <v>62899</v>
      </c>
      <c r="F55" s="276">
        <v>4539900</v>
      </c>
      <c r="G55" s="276">
        <v>3275304</v>
      </c>
      <c r="H55" s="276">
        <v>4761668</v>
      </c>
      <c r="I55" s="259">
        <v>0</v>
      </c>
      <c r="J55" s="276">
        <v>28396990</v>
      </c>
      <c r="K55" s="276">
        <v>12475760</v>
      </c>
      <c r="L55" s="276">
        <v>-1394280</v>
      </c>
      <c r="M55" s="276">
        <v>-2652092</v>
      </c>
      <c r="N55" s="238">
        <f t="shared" si="8"/>
        <v>-4046372</v>
      </c>
    </row>
    <row r="56" spans="1:14" ht="15.6" x14ac:dyDescent="0.3">
      <c r="A56" s="272">
        <v>22000</v>
      </c>
      <c r="B56" s="274" t="s">
        <v>569</v>
      </c>
      <c r="C56" s="276">
        <v>89833276</v>
      </c>
      <c r="D56" s="259">
        <v>0</v>
      </c>
      <c r="E56" s="281">
        <v>59822</v>
      </c>
      <c r="F56" s="276">
        <v>4317810</v>
      </c>
      <c r="G56" s="276">
        <v>0</v>
      </c>
      <c r="H56" s="276">
        <v>4528729</v>
      </c>
      <c r="I56" s="259">
        <v>0</v>
      </c>
      <c r="J56" s="276">
        <v>27007820</v>
      </c>
      <c r="K56" s="276">
        <v>14173441</v>
      </c>
      <c r="L56" s="276">
        <v>-1326073</v>
      </c>
      <c r="M56" s="276">
        <v>-3128669</v>
      </c>
      <c r="N56" s="238">
        <f t="shared" si="8"/>
        <v>-4454742</v>
      </c>
    </row>
    <row r="57" spans="1:14" ht="15.6" x14ac:dyDescent="0.3">
      <c r="A57" s="272">
        <v>23000</v>
      </c>
      <c r="B57" s="274" t="s">
        <v>51</v>
      </c>
      <c r="C57" s="276">
        <v>78607577</v>
      </c>
      <c r="D57" s="259">
        <v>0</v>
      </c>
      <c r="E57" s="281">
        <v>52346</v>
      </c>
      <c r="F57" s="276">
        <v>3778250</v>
      </c>
      <c r="G57" s="276">
        <v>4135548</v>
      </c>
      <c r="H57" s="276">
        <v>3962812</v>
      </c>
      <c r="I57" s="259">
        <v>0</v>
      </c>
      <c r="J57" s="276">
        <v>23632883</v>
      </c>
      <c r="K57" s="276">
        <v>4880526</v>
      </c>
      <c r="L57" s="276">
        <v>-1160365</v>
      </c>
      <c r="M57" s="276">
        <v>-432711</v>
      </c>
      <c r="N57" s="238">
        <f t="shared" si="8"/>
        <v>-1593076</v>
      </c>
    </row>
    <row r="58" spans="1:14" ht="15.6" x14ac:dyDescent="0.3">
      <c r="A58" s="6">
        <v>23100</v>
      </c>
      <c r="B58" s="275" t="s">
        <v>52</v>
      </c>
      <c r="C58" s="239">
        <v>487339827</v>
      </c>
      <c r="D58" s="259">
        <v>0</v>
      </c>
      <c r="E58" s="282">
        <v>324530</v>
      </c>
      <c r="F58" s="239">
        <v>23423847</v>
      </c>
      <c r="G58" s="239">
        <v>53576681</v>
      </c>
      <c r="H58" s="239">
        <v>24568066</v>
      </c>
      <c r="I58" s="259">
        <v>0</v>
      </c>
      <c r="J58" s="239">
        <v>146515711</v>
      </c>
      <c r="K58" s="239">
        <v>21820386</v>
      </c>
      <c r="L58" s="239">
        <v>-7193860</v>
      </c>
      <c r="M58" s="239">
        <v>4731203</v>
      </c>
      <c r="N58" s="239">
        <f>SUM(L58:M58)</f>
        <v>-2462657</v>
      </c>
    </row>
    <row r="59" spans="1:14" ht="15.6" x14ac:dyDescent="0.3">
      <c r="A59" s="6">
        <v>23200</v>
      </c>
      <c r="B59" s="275" t="s">
        <v>53</v>
      </c>
      <c r="C59" s="239">
        <v>259553742</v>
      </c>
      <c r="D59" s="259">
        <v>0</v>
      </c>
      <c r="E59" s="282">
        <v>172842</v>
      </c>
      <c r="F59" s="239">
        <v>12475375</v>
      </c>
      <c r="G59" s="239">
        <v>39891406</v>
      </c>
      <c r="H59" s="239">
        <v>13084778</v>
      </c>
      <c r="I59" s="259">
        <v>0</v>
      </c>
      <c r="J59" s="239">
        <v>78033230</v>
      </c>
      <c r="K59" s="239">
        <v>16800768</v>
      </c>
      <c r="L59" s="239">
        <v>-3831399</v>
      </c>
      <c r="M59" s="239">
        <v>3007112</v>
      </c>
      <c r="N59" s="239">
        <f t="shared" ref="N59:N63" si="9">SUM(L59:M59)</f>
        <v>-824287</v>
      </c>
    </row>
    <row r="60" spans="1:14" ht="15.6" x14ac:dyDescent="0.3">
      <c r="A60" s="6">
        <v>30000</v>
      </c>
      <c r="B60" s="275" t="s">
        <v>570</v>
      </c>
      <c r="C60" s="239">
        <v>24832570</v>
      </c>
      <c r="D60" s="259">
        <v>0</v>
      </c>
      <c r="E60" s="282">
        <v>16537</v>
      </c>
      <c r="F60" s="239">
        <v>1193570</v>
      </c>
      <c r="G60" s="239">
        <v>601221</v>
      </c>
      <c r="H60" s="239">
        <v>1251874</v>
      </c>
      <c r="I60" s="259">
        <v>0</v>
      </c>
      <c r="J60" s="239">
        <v>7465759</v>
      </c>
      <c r="K60" s="239">
        <v>3983790</v>
      </c>
      <c r="L60" s="239">
        <v>-366566</v>
      </c>
      <c r="M60" s="239">
        <v>-662187</v>
      </c>
      <c r="N60" s="239">
        <f t="shared" si="9"/>
        <v>-1028753</v>
      </c>
    </row>
    <row r="61" spans="1:14" ht="15.6" x14ac:dyDescent="0.3">
      <c r="A61" s="6">
        <v>30100</v>
      </c>
      <c r="B61" s="275" t="s">
        <v>571</v>
      </c>
      <c r="C61" s="240">
        <v>232858984</v>
      </c>
      <c r="D61" s="259">
        <v>0</v>
      </c>
      <c r="E61" s="283">
        <v>155066</v>
      </c>
      <c r="F61" s="240">
        <v>11192299</v>
      </c>
      <c r="G61" s="240">
        <v>2606502</v>
      </c>
      <c r="H61" s="240">
        <v>11739026</v>
      </c>
      <c r="I61" s="259">
        <v>0</v>
      </c>
      <c r="J61" s="240">
        <v>70007616</v>
      </c>
      <c r="K61" s="240">
        <v>16841400</v>
      </c>
      <c r="L61" s="240">
        <v>-3437345</v>
      </c>
      <c r="M61" s="240">
        <v>-2988286</v>
      </c>
      <c r="N61" s="239">
        <f t="shared" si="9"/>
        <v>-6425631</v>
      </c>
    </row>
    <row r="62" spans="1:14" ht="15.6" x14ac:dyDescent="0.3">
      <c r="A62" s="6">
        <v>30102</v>
      </c>
      <c r="B62" s="275" t="s">
        <v>572</v>
      </c>
      <c r="C62" s="239">
        <v>4699517</v>
      </c>
      <c r="D62" s="259">
        <v>0</v>
      </c>
      <c r="E62" s="282">
        <v>3130</v>
      </c>
      <c r="F62" s="239">
        <v>225881</v>
      </c>
      <c r="G62" s="239">
        <v>82443</v>
      </c>
      <c r="H62" s="239">
        <v>236915</v>
      </c>
      <c r="I62" s="259">
        <v>0</v>
      </c>
      <c r="J62" s="239">
        <v>1412881</v>
      </c>
      <c r="K62" s="239">
        <v>13600</v>
      </c>
      <c r="L62" s="239">
        <v>-69372</v>
      </c>
      <c r="M62" s="239">
        <v>20773</v>
      </c>
      <c r="N62" s="239">
        <f t="shared" si="9"/>
        <v>-48599</v>
      </c>
    </row>
    <row r="63" spans="1:14" ht="15.6" x14ac:dyDescent="0.3">
      <c r="A63" s="6">
        <v>30103</v>
      </c>
      <c r="B63" s="275" t="s">
        <v>573</v>
      </c>
      <c r="C63" s="239">
        <v>6105942</v>
      </c>
      <c r="D63" s="259">
        <v>0</v>
      </c>
      <c r="E63" s="282">
        <v>4066</v>
      </c>
      <c r="F63" s="239">
        <v>293480</v>
      </c>
      <c r="G63" s="239">
        <v>818691</v>
      </c>
      <c r="H63" s="239">
        <v>307816</v>
      </c>
      <c r="I63" s="259">
        <v>0</v>
      </c>
      <c r="J63" s="239">
        <v>1835714</v>
      </c>
      <c r="K63" s="239">
        <v>263508</v>
      </c>
      <c r="L63" s="239">
        <v>-90133</v>
      </c>
      <c r="M63" s="239">
        <v>188577</v>
      </c>
      <c r="N63" s="239">
        <f t="shared" si="9"/>
        <v>98444</v>
      </c>
    </row>
    <row r="64" spans="1:14" ht="15.6" x14ac:dyDescent="0.3">
      <c r="A64" s="272">
        <v>30104</v>
      </c>
      <c r="B64" s="274" t="s">
        <v>574</v>
      </c>
      <c r="C64" s="238">
        <v>3491931</v>
      </c>
      <c r="D64" s="259">
        <v>0</v>
      </c>
      <c r="E64" s="280">
        <v>2325</v>
      </c>
      <c r="F64" s="238">
        <v>167839</v>
      </c>
      <c r="G64" s="238">
        <v>373696</v>
      </c>
      <c r="H64" s="238">
        <v>176037</v>
      </c>
      <c r="I64" s="259">
        <v>0</v>
      </c>
      <c r="J64" s="238">
        <v>1049827</v>
      </c>
      <c r="K64" s="238">
        <v>456115</v>
      </c>
      <c r="L64" s="238">
        <v>-51546</v>
      </c>
      <c r="M64" s="238">
        <v>22178</v>
      </c>
      <c r="N64" s="238">
        <f>SUM(L64:M64)</f>
        <v>-29368</v>
      </c>
    </row>
    <row r="65" spans="1:14" ht="15.6" x14ac:dyDescent="0.3">
      <c r="A65" s="272">
        <v>30105</v>
      </c>
      <c r="B65" s="274" t="s">
        <v>54</v>
      </c>
      <c r="C65" s="276">
        <v>23790801</v>
      </c>
      <c r="D65" s="259">
        <v>0</v>
      </c>
      <c r="E65" s="281">
        <v>15843</v>
      </c>
      <c r="F65" s="276">
        <v>1143498</v>
      </c>
      <c r="G65" s="276">
        <v>1689497</v>
      </c>
      <c r="H65" s="276">
        <v>1199356</v>
      </c>
      <c r="I65" s="259">
        <v>0</v>
      </c>
      <c r="J65" s="276">
        <v>7152557</v>
      </c>
      <c r="K65" s="276">
        <v>755840</v>
      </c>
      <c r="L65" s="276">
        <v>-351188</v>
      </c>
      <c r="M65" s="276">
        <v>301905</v>
      </c>
      <c r="N65" s="238">
        <f t="shared" ref="N65:N128" si="10">SUM(L65:M65)</f>
        <v>-49283</v>
      </c>
    </row>
    <row r="66" spans="1:14" ht="15.6" x14ac:dyDescent="0.3">
      <c r="A66" s="272">
        <v>30200</v>
      </c>
      <c r="B66" s="274" t="s">
        <v>575</v>
      </c>
      <c r="C66" s="276">
        <v>53901037</v>
      </c>
      <c r="D66" s="259">
        <v>0</v>
      </c>
      <c r="E66" s="281">
        <v>35894</v>
      </c>
      <c r="F66" s="276">
        <v>2590738</v>
      </c>
      <c r="G66" s="276">
        <v>2135343</v>
      </c>
      <c r="H66" s="276">
        <v>2717291</v>
      </c>
      <c r="I66" s="259">
        <v>0</v>
      </c>
      <c r="J66" s="276">
        <v>16205014</v>
      </c>
      <c r="K66" s="276">
        <v>3144971</v>
      </c>
      <c r="L66" s="276">
        <v>-795659</v>
      </c>
      <c r="M66" s="276">
        <v>-5021</v>
      </c>
      <c r="N66" s="238">
        <f t="shared" si="10"/>
        <v>-800680</v>
      </c>
    </row>
    <row r="67" spans="1:14" ht="15.6" x14ac:dyDescent="0.3">
      <c r="A67" s="272">
        <v>30300</v>
      </c>
      <c r="B67" s="274" t="s">
        <v>576</v>
      </c>
      <c r="C67" s="276">
        <v>17408812</v>
      </c>
      <c r="D67" s="259">
        <v>0</v>
      </c>
      <c r="E67" s="281">
        <v>11593</v>
      </c>
      <c r="F67" s="276">
        <v>836749</v>
      </c>
      <c r="G67" s="276">
        <v>0</v>
      </c>
      <c r="H67" s="276">
        <v>877623</v>
      </c>
      <c r="I67" s="259">
        <v>0</v>
      </c>
      <c r="J67" s="276">
        <v>5233852</v>
      </c>
      <c r="K67" s="276">
        <v>856727</v>
      </c>
      <c r="L67" s="276">
        <v>-256980</v>
      </c>
      <c r="M67" s="276">
        <v>-237264</v>
      </c>
      <c r="N67" s="238">
        <f t="shared" si="10"/>
        <v>-494244</v>
      </c>
    </row>
    <row r="68" spans="1:14" ht="15.6" x14ac:dyDescent="0.3">
      <c r="A68" s="272">
        <v>30400</v>
      </c>
      <c r="B68" s="274" t="s">
        <v>577</v>
      </c>
      <c r="C68" s="276">
        <v>31832592</v>
      </c>
      <c r="D68" s="259">
        <v>0</v>
      </c>
      <c r="E68" s="281">
        <v>21198</v>
      </c>
      <c r="F68" s="276">
        <v>1530024</v>
      </c>
      <c r="G68" s="276">
        <v>188841</v>
      </c>
      <c r="H68" s="276">
        <v>1604764</v>
      </c>
      <c r="I68" s="259">
        <v>0</v>
      </c>
      <c r="J68" s="276">
        <v>9570272</v>
      </c>
      <c r="K68" s="276">
        <v>2227175</v>
      </c>
      <c r="L68" s="276">
        <v>-469896</v>
      </c>
      <c r="M68" s="276">
        <v>-446682</v>
      </c>
      <c r="N68" s="238">
        <f t="shared" si="10"/>
        <v>-916578</v>
      </c>
    </row>
    <row r="69" spans="1:14" ht="15.6" x14ac:dyDescent="0.3">
      <c r="A69" s="272">
        <v>30405</v>
      </c>
      <c r="B69" s="274" t="s">
        <v>55</v>
      </c>
      <c r="C69" s="276">
        <v>19124933</v>
      </c>
      <c r="D69" s="259">
        <v>0</v>
      </c>
      <c r="E69" s="281">
        <v>12736</v>
      </c>
      <c r="F69" s="276">
        <v>919234</v>
      </c>
      <c r="G69" s="276">
        <v>0</v>
      </c>
      <c r="H69" s="276">
        <v>964138</v>
      </c>
      <c r="I69" s="259">
        <v>0</v>
      </c>
      <c r="J69" s="276">
        <v>5749793</v>
      </c>
      <c r="K69" s="276">
        <v>4199252</v>
      </c>
      <c r="L69" s="276">
        <v>-282312</v>
      </c>
      <c r="M69" s="276">
        <v>-1007295</v>
      </c>
      <c r="N69" s="238">
        <f t="shared" si="10"/>
        <v>-1289607</v>
      </c>
    </row>
    <row r="70" spans="1:14" ht="15.6" x14ac:dyDescent="0.3">
      <c r="A70" s="6">
        <v>30500</v>
      </c>
      <c r="B70" s="275" t="s">
        <v>578</v>
      </c>
      <c r="C70" s="239">
        <v>34461185</v>
      </c>
      <c r="D70" s="259">
        <v>0</v>
      </c>
      <c r="E70" s="282">
        <v>22948</v>
      </c>
      <c r="F70" s="239">
        <v>1656367</v>
      </c>
      <c r="G70" s="239">
        <v>649218</v>
      </c>
      <c r="H70" s="239">
        <v>1737278</v>
      </c>
      <c r="I70" s="259">
        <v>0</v>
      </c>
      <c r="J70" s="239">
        <v>10360543</v>
      </c>
      <c r="K70" s="239">
        <v>2294038</v>
      </c>
      <c r="L70" s="239">
        <v>-508698</v>
      </c>
      <c r="M70" s="239">
        <v>-308843</v>
      </c>
      <c r="N70" s="240">
        <f t="shared" si="10"/>
        <v>-817541</v>
      </c>
    </row>
    <row r="71" spans="1:14" ht="15.6" x14ac:dyDescent="0.3">
      <c r="A71" s="6">
        <v>30600</v>
      </c>
      <c r="B71" s="275" t="s">
        <v>579</v>
      </c>
      <c r="C71" s="239">
        <v>25122668</v>
      </c>
      <c r="D71" s="259">
        <v>0</v>
      </c>
      <c r="E71" s="282">
        <v>16730</v>
      </c>
      <c r="F71" s="239">
        <v>1207514</v>
      </c>
      <c r="G71" s="239">
        <v>504339</v>
      </c>
      <c r="H71" s="239">
        <v>1266499</v>
      </c>
      <c r="I71" s="259">
        <v>0</v>
      </c>
      <c r="J71" s="239">
        <v>7552975</v>
      </c>
      <c r="K71" s="239">
        <v>3608931</v>
      </c>
      <c r="L71" s="239">
        <v>-370848</v>
      </c>
      <c r="M71" s="239">
        <v>-637262</v>
      </c>
      <c r="N71" s="240">
        <f t="shared" si="10"/>
        <v>-1008110</v>
      </c>
    </row>
    <row r="72" spans="1:14" ht="15.6" x14ac:dyDescent="0.3">
      <c r="A72" s="6">
        <v>30601</v>
      </c>
      <c r="B72" s="275" t="s">
        <v>580</v>
      </c>
      <c r="C72" s="239">
        <v>232293</v>
      </c>
      <c r="D72" s="259">
        <v>0</v>
      </c>
      <c r="E72" s="282">
        <v>155</v>
      </c>
      <c r="F72" s="239">
        <v>11165</v>
      </c>
      <c r="G72" s="239">
        <v>111428</v>
      </c>
      <c r="H72" s="239">
        <v>11710</v>
      </c>
      <c r="I72" s="259">
        <v>0</v>
      </c>
      <c r="J72" s="239">
        <v>69837</v>
      </c>
      <c r="K72" s="239">
        <v>603158</v>
      </c>
      <c r="L72" s="239">
        <v>-3429</v>
      </c>
      <c r="M72" s="239">
        <v>-103776</v>
      </c>
      <c r="N72" s="240">
        <f t="shared" si="10"/>
        <v>-107205</v>
      </c>
    </row>
    <row r="73" spans="1:14" ht="15.6" x14ac:dyDescent="0.3">
      <c r="A73" s="6">
        <v>30700</v>
      </c>
      <c r="B73" s="275" t="s">
        <v>581</v>
      </c>
      <c r="C73" s="240">
        <v>67669098</v>
      </c>
      <c r="D73" s="259">
        <v>0</v>
      </c>
      <c r="E73" s="283">
        <v>45062</v>
      </c>
      <c r="F73" s="240">
        <v>3252495</v>
      </c>
      <c r="G73" s="240">
        <v>1430496</v>
      </c>
      <c r="H73" s="240">
        <v>3411375</v>
      </c>
      <c r="I73" s="259">
        <v>0</v>
      </c>
      <c r="J73" s="240">
        <v>20344297</v>
      </c>
      <c r="K73" s="240">
        <v>5944960</v>
      </c>
      <c r="L73" s="240">
        <v>-998896</v>
      </c>
      <c r="M73" s="240">
        <v>-851217</v>
      </c>
      <c r="N73" s="240">
        <f t="shared" si="10"/>
        <v>-1850113</v>
      </c>
    </row>
    <row r="74" spans="1:14" ht="15.6" x14ac:dyDescent="0.3">
      <c r="A74" s="6">
        <v>30705</v>
      </c>
      <c r="B74" s="275" t="s">
        <v>56</v>
      </c>
      <c r="C74" s="239">
        <v>12895501</v>
      </c>
      <c r="D74" s="259">
        <v>0</v>
      </c>
      <c r="E74" s="282">
        <v>8587</v>
      </c>
      <c r="F74" s="239">
        <v>619819</v>
      </c>
      <c r="G74" s="239">
        <v>55240</v>
      </c>
      <c r="H74" s="239">
        <v>650096</v>
      </c>
      <c r="I74" s="259">
        <v>0</v>
      </c>
      <c r="J74" s="239">
        <v>3876953</v>
      </c>
      <c r="K74" s="239">
        <v>967614</v>
      </c>
      <c r="L74" s="239">
        <v>-190357</v>
      </c>
      <c r="M74" s="239">
        <v>-287123</v>
      </c>
      <c r="N74" s="240">
        <f t="shared" si="10"/>
        <v>-477480</v>
      </c>
    </row>
    <row r="75" spans="1:14" ht="15.6" x14ac:dyDescent="0.3">
      <c r="A75" s="6">
        <v>30800</v>
      </c>
      <c r="B75" s="275" t="s">
        <v>582</v>
      </c>
      <c r="C75" s="239">
        <v>22589731</v>
      </c>
      <c r="D75" s="259">
        <v>0</v>
      </c>
      <c r="E75" s="282">
        <v>15043</v>
      </c>
      <c r="F75" s="239">
        <v>1085769</v>
      </c>
      <c r="G75" s="239">
        <v>0</v>
      </c>
      <c r="H75" s="239">
        <v>1138807</v>
      </c>
      <c r="I75" s="259">
        <v>0</v>
      </c>
      <c r="J75" s="239">
        <v>6791463</v>
      </c>
      <c r="K75" s="239">
        <v>4714470</v>
      </c>
      <c r="L75" s="239">
        <v>-333458</v>
      </c>
      <c r="M75" s="239">
        <v>-1169578</v>
      </c>
      <c r="N75" s="240">
        <f t="shared" si="10"/>
        <v>-1503036</v>
      </c>
    </row>
    <row r="76" spans="1:14" ht="15.6" x14ac:dyDescent="0.3">
      <c r="A76" s="272">
        <v>30900</v>
      </c>
      <c r="B76" s="274" t="s">
        <v>583</v>
      </c>
      <c r="C76" s="238">
        <v>42622281</v>
      </c>
      <c r="D76" s="259">
        <v>0</v>
      </c>
      <c r="E76" s="280">
        <v>28383</v>
      </c>
      <c r="F76" s="238">
        <v>2048628</v>
      </c>
      <c r="G76" s="238">
        <v>0</v>
      </c>
      <c r="H76" s="238">
        <v>2148700</v>
      </c>
      <c r="I76" s="259">
        <v>0</v>
      </c>
      <c r="J76" s="238">
        <v>12814126</v>
      </c>
      <c r="K76" s="238">
        <v>3505611</v>
      </c>
      <c r="L76" s="238">
        <v>-629168</v>
      </c>
      <c r="M76" s="238">
        <v>-780812</v>
      </c>
      <c r="N76" s="238">
        <f t="shared" si="10"/>
        <v>-1409980</v>
      </c>
    </row>
    <row r="77" spans="1:14" ht="15.6" x14ac:dyDescent="0.3">
      <c r="A77" s="272">
        <v>30905</v>
      </c>
      <c r="B77" s="274" t="s">
        <v>57</v>
      </c>
      <c r="C77" s="276">
        <v>8398482</v>
      </c>
      <c r="D77" s="259">
        <v>0</v>
      </c>
      <c r="E77" s="281">
        <v>5593</v>
      </c>
      <c r="F77" s="276">
        <v>403671</v>
      </c>
      <c r="G77" s="276">
        <v>316384</v>
      </c>
      <c r="H77" s="276">
        <v>423389</v>
      </c>
      <c r="I77" s="259">
        <v>0</v>
      </c>
      <c r="J77" s="276">
        <v>2524952</v>
      </c>
      <c r="K77" s="276">
        <v>903891</v>
      </c>
      <c r="L77" s="276">
        <v>-123974</v>
      </c>
      <c r="M77" s="276">
        <v>-223370</v>
      </c>
      <c r="N77" s="238">
        <f t="shared" si="10"/>
        <v>-347344</v>
      </c>
    </row>
    <row r="78" spans="1:14" ht="15.6" x14ac:dyDescent="0.3">
      <c r="A78" s="272">
        <v>31000</v>
      </c>
      <c r="B78" s="274" t="s">
        <v>584</v>
      </c>
      <c r="C78" s="276">
        <v>133235084</v>
      </c>
      <c r="D78" s="259">
        <v>0</v>
      </c>
      <c r="E78" s="281">
        <v>88724</v>
      </c>
      <c r="F78" s="276">
        <v>6403905</v>
      </c>
      <c r="G78" s="276">
        <v>4125051</v>
      </c>
      <c r="H78" s="276">
        <v>6716727</v>
      </c>
      <c r="I78" s="259">
        <v>0</v>
      </c>
      <c r="J78" s="276">
        <v>40056306</v>
      </c>
      <c r="K78" s="276">
        <v>5040267</v>
      </c>
      <c r="L78" s="276">
        <v>-1966748</v>
      </c>
      <c r="M78" s="276">
        <v>287199</v>
      </c>
      <c r="N78" s="238">
        <f t="shared" si="10"/>
        <v>-1679549</v>
      </c>
    </row>
    <row r="79" spans="1:14" ht="15.6" x14ac:dyDescent="0.3">
      <c r="A79" s="272">
        <v>31005</v>
      </c>
      <c r="B79" s="274" t="s">
        <v>58</v>
      </c>
      <c r="C79" s="276">
        <v>12043121</v>
      </c>
      <c r="D79" s="259">
        <v>0</v>
      </c>
      <c r="E79" s="281">
        <v>8020</v>
      </c>
      <c r="F79" s="276">
        <v>578849</v>
      </c>
      <c r="G79" s="276">
        <v>0</v>
      </c>
      <c r="H79" s="276">
        <v>607125</v>
      </c>
      <c r="I79" s="259">
        <v>0</v>
      </c>
      <c r="J79" s="276">
        <v>3620690</v>
      </c>
      <c r="K79" s="276">
        <v>660603</v>
      </c>
      <c r="L79" s="276">
        <v>-177774</v>
      </c>
      <c r="M79" s="276">
        <v>-208535</v>
      </c>
      <c r="N79" s="238">
        <f t="shared" si="10"/>
        <v>-386309</v>
      </c>
    </row>
    <row r="80" spans="1:14" ht="15.6" x14ac:dyDescent="0.3">
      <c r="A80" s="272">
        <v>31100</v>
      </c>
      <c r="B80" s="274" t="s">
        <v>585</v>
      </c>
      <c r="C80" s="276">
        <v>278327014</v>
      </c>
      <c r="D80" s="259">
        <v>0</v>
      </c>
      <c r="E80" s="281">
        <v>185344</v>
      </c>
      <c r="F80" s="276">
        <v>13377707</v>
      </c>
      <c r="G80" s="276">
        <v>6993003</v>
      </c>
      <c r="H80" s="276">
        <v>14031188</v>
      </c>
      <c r="I80" s="259">
        <v>0</v>
      </c>
      <c r="J80" s="276">
        <v>83677299</v>
      </c>
      <c r="K80" s="276">
        <v>8657260</v>
      </c>
      <c r="L80" s="276">
        <v>-4108520</v>
      </c>
      <c r="M80" s="276">
        <v>505369</v>
      </c>
      <c r="N80" s="238">
        <f t="shared" si="10"/>
        <v>-3603151</v>
      </c>
    </row>
    <row r="81" spans="1:14" ht="15.6" x14ac:dyDescent="0.3">
      <c r="A81" s="272">
        <v>31101</v>
      </c>
      <c r="B81" s="274" t="s">
        <v>844</v>
      </c>
      <c r="C81" s="276">
        <v>1665937</v>
      </c>
      <c r="D81" s="259">
        <v>0</v>
      </c>
      <c r="E81" s="281">
        <v>1109</v>
      </c>
      <c r="F81" s="276">
        <v>80073</v>
      </c>
      <c r="G81" s="276">
        <v>58305</v>
      </c>
      <c r="H81" s="276">
        <v>83984</v>
      </c>
      <c r="I81" s="259">
        <v>0</v>
      </c>
      <c r="J81" s="276">
        <v>500854</v>
      </c>
      <c r="K81" s="276">
        <v>329394</v>
      </c>
      <c r="L81" s="276">
        <v>-24592</v>
      </c>
      <c r="M81" s="276">
        <v>-49410</v>
      </c>
      <c r="N81" s="238">
        <f t="shared" si="10"/>
        <v>-74002</v>
      </c>
    </row>
    <row r="82" spans="1:14" ht="15.6" x14ac:dyDescent="0.3">
      <c r="A82" s="272">
        <v>31102</v>
      </c>
      <c r="B82" s="274" t="s">
        <v>586</v>
      </c>
      <c r="C82" s="238">
        <v>5257424</v>
      </c>
      <c r="D82" s="259">
        <v>0</v>
      </c>
      <c r="E82" s="280">
        <v>3501</v>
      </c>
      <c r="F82" s="238">
        <v>252697</v>
      </c>
      <c r="G82" s="238">
        <v>515480</v>
      </c>
      <c r="H82" s="238">
        <v>265040</v>
      </c>
      <c r="I82" s="259">
        <v>0</v>
      </c>
      <c r="J82" s="238">
        <v>1580612</v>
      </c>
      <c r="K82" s="238">
        <v>0</v>
      </c>
      <c r="L82" s="238">
        <v>-77607</v>
      </c>
      <c r="M82" s="238">
        <v>128303</v>
      </c>
      <c r="N82" s="238">
        <f t="shared" si="10"/>
        <v>50696</v>
      </c>
    </row>
    <row r="83" spans="1:14" ht="15.6" x14ac:dyDescent="0.3">
      <c r="A83" s="272">
        <v>31105</v>
      </c>
      <c r="B83" s="274" t="s">
        <v>59</v>
      </c>
      <c r="C83" s="276">
        <v>42514664</v>
      </c>
      <c r="D83" s="259">
        <v>0</v>
      </c>
      <c r="E83" s="281">
        <v>28311</v>
      </c>
      <c r="F83" s="276">
        <v>2043455</v>
      </c>
      <c r="G83" s="276">
        <v>2369596</v>
      </c>
      <c r="H83" s="276">
        <v>2143275</v>
      </c>
      <c r="I83" s="259">
        <v>0</v>
      </c>
      <c r="J83" s="276">
        <v>12781771</v>
      </c>
      <c r="K83" s="276">
        <v>3073609</v>
      </c>
      <c r="L83" s="276">
        <v>-627580</v>
      </c>
      <c r="M83" s="276">
        <v>-278997</v>
      </c>
      <c r="N83" s="238">
        <f t="shared" si="10"/>
        <v>-906577</v>
      </c>
    </row>
    <row r="84" spans="1:14" ht="15.6" x14ac:dyDescent="0.3">
      <c r="A84" s="272">
        <v>31110</v>
      </c>
      <c r="B84" s="274" t="s">
        <v>587</v>
      </c>
      <c r="C84" s="276">
        <v>67627045</v>
      </c>
      <c r="D84" s="259">
        <v>0</v>
      </c>
      <c r="E84" s="281">
        <v>45034</v>
      </c>
      <c r="F84" s="276">
        <v>3250474</v>
      </c>
      <c r="G84" s="276">
        <v>2955063</v>
      </c>
      <c r="H84" s="276">
        <v>3409255</v>
      </c>
      <c r="I84" s="259">
        <v>0</v>
      </c>
      <c r="J84" s="276">
        <v>20331654</v>
      </c>
      <c r="K84" s="276">
        <v>0</v>
      </c>
      <c r="L84" s="276">
        <v>-998276</v>
      </c>
      <c r="M84" s="276">
        <v>769118</v>
      </c>
      <c r="N84" s="238">
        <f t="shared" si="10"/>
        <v>-229158</v>
      </c>
    </row>
    <row r="85" spans="1:14" ht="15.6" x14ac:dyDescent="0.3">
      <c r="A85" s="272">
        <v>31200</v>
      </c>
      <c r="B85" s="274" t="s">
        <v>588</v>
      </c>
      <c r="C85" s="276">
        <v>118218402</v>
      </c>
      <c r="D85" s="259">
        <v>0</v>
      </c>
      <c r="E85" s="281">
        <v>78724</v>
      </c>
      <c r="F85" s="276">
        <v>5682133</v>
      </c>
      <c r="G85" s="276">
        <v>0</v>
      </c>
      <c r="H85" s="276">
        <v>5959697</v>
      </c>
      <c r="I85" s="259">
        <v>0</v>
      </c>
      <c r="J85" s="276">
        <v>35541633</v>
      </c>
      <c r="K85" s="276">
        <v>11773643</v>
      </c>
      <c r="L85" s="276">
        <v>-1745079</v>
      </c>
      <c r="M85" s="276">
        <v>-2778050</v>
      </c>
      <c r="N85" s="238">
        <f t="shared" si="10"/>
        <v>-4523129</v>
      </c>
    </row>
    <row r="86" spans="1:14" ht="15.6" x14ac:dyDescent="0.3">
      <c r="A86" s="272">
        <v>31205</v>
      </c>
      <c r="B86" s="274" t="s">
        <v>845</v>
      </c>
      <c r="C86" s="276">
        <v>13346911</v>
      </c>
      <c r="D86" s="259">
        <v>0</v>
      </c>
      <c r="E86" s="281">
        <v>8888</v>
      </c>
      <c r="F86" s="276">
        <v>641515</v>
      </c>
      <c r="G86" s="276">
        <v>0</v>
      </c>
      <c r="H86" s="276">
        <v>672852</v>
      </c>
      <c r="I86" s="259">
        <v>0</v>
      </c>
      <c r="J86" s="276">
        <v>4012667</v>
      </c>
      <c r="K86" s="276">
        <v>2100735</v>
      </c>
      <c r="L86" s="276">
        <v>-197020</v>
      </c>
      <c r="M86" s="276">
        <v>-575039</v>
      </c>
      <c r="N86" s="238">
        <f t="shared" si="10"/>
        <v>-772059</v>
      </c>
    </row>
    <row r="87" spans="1:14" ht="15.6" x14ac:dyDescent="0.3">
      <c r="A87" s="272">
        <v>31300</v>
      </c>
      <c r="B87" s="274" t="s">
        <v>589</v>
      </c>
      <c r="C87" s="276">
        <v>343875045</v>
      </c>
      <c r="D87" s="259">
        <v>0</v>
      </c>
      <c r="E87" s="281">
        <v>228993</v>
      </c>
      <c r="F87" s="276">
        <v>16528254</v>
      </c>
      <c r="G87" s="276">
        <v>14839818</v>
      </c>
      <c r="H87" s="276">
        <v>17335634</v>
      </c>
      <c r="I87" s="259">
        <v>0</v>
      </c>
      <c r="J87" s="276">
        <v>103383910</v>
      </c>
      <c r="K87" s="276">
        <v>9064578</v>
      </c>
      <c r="L87" s="276">
        <v>-5076107</v>
      </c>
      <c r="M87" s="276">
        <v>2910455</v>
      </c>
      <c r="N87" s="238">
        <f t="shared" si="10"/>
        <v>-2165652</v>
      </c>
    </row>
    <row r="88" spans="1:14" ht="15.6" x14ac:dyDescent="0.3">
      <c r="A88" s="6">
        <v>31301</v>
      </c>
      <c r="B88" s="275" t="s">
        <v>590</v>
      </c>
      <c r="C88" s="239">
        <v>7393061</v>
      </c>
      <c r="D88" s="259">
        <v>0</v>
      </c>
      <c r="E88" s="282">
        <v>4923</v>
      </c>
      <c r="F88" s="239">
        <v>355345</v>
      </c>
      <c r="G88" s="239">
        <v>1178310</v>
      </c>
      <c r="H88" s="239">
        <v>372703</v>
      </c>
      <c r="I88" s="259">
        <v>0</v>
      </c>
      <c r="J88" s="239">
        <v>2222678</v>
      </c>
      <c r="K88" s="239">
        <v>780660</v>
      </c>
      <c r="L88" s="239">
        <v>-109133</v>
      </c>
      <c r="M88" s="239">
        <v>225748</v>
      </c>
      <c r="N88" s="240">
        <f t="shared" si="10"/>
        <v>116615</v>
      </c>
    </row>
    <row r="89" spans="1:14" ht="15.6" x14ac:dyDescent="0.3">
      <c r="A89" s="6">
        <v>31320</v>
      </c>
      <c r="B89" s="275" t="s">
        <v>591</v>
      </c>
      <c r="C89" s="239">
        <v>60537539</v>
      </c>
      <c r="D89" s="259">
        <v>0</v>
      </c>
      <c r="E89" s="282">
        <v>40313</v>
      </c>
      <c r="F89" s="239">
        <v>2909719</v>
      </c>
      <c r="G89" s="239">
        <v>933939</v>
      </c>
      <c r="H89" s="239">
        <v>3051855</v>
      </c>
      <c r="I89" s="259">
        <v>0</v>
      </c>
      <c r="J89" s="239">
        <v>18200237</v>
      </c>
      <c r="K89" s="239">
        <v>2632835</v>
      </c>
      <c r="L89" s="239">
        <v>-893624</v>
      </c>
      <c r="M89" s="239">
        <v>-341367</v>
      </c>
      <c r="N89" s="240">
        <f t="shared" si="10"/>
        <v>-1234991</v>
      </c>
    </row>
    <row r="90" spans="1:14" ht="15.6" x14ac:dyDescent="0.3">
      <c r="A90" s="6">
        <v>31400</v>
      </c>
      <c r="B90" s="275" t="s">
        <v>592</v>
      </c>
      <c r="C90" s="239">
        <v>123153047</v>
      </c>
      <c r="D90" s="259">
        <v>0</v>
      </c>
      <c r="E90" s="282">
        <v>82010</v>
      </c>
      <c r="F90" s="239">
        <v>5919315</v>
      </c>
      <c r="G90" s="239">
        <v>2768253</v>
      </c>
      <c r="H90" s="239">
        <v>6208465</v>
      </c>
      <c r="I90" s="259">
        <v>0</v>
      </c>
      <c r="J90" s="239">
        <v>37025204</v>
      </c>
      <c r="K90" s="239">
        <v>9889185</v>
      </c>
      <c r="L90" s="239">
        <v>-1817922</v>
      </c>
      <c r="M90" s="239">
        <v>-1215829</v>
      </c>
      <c r="N90" s="240">
        <f t="shared" si="10"/>
        <v>-3033751</v>
      </c>
    </row>
    <row r="91" spans="1:14" ht="15.6" x14ac:dyDescent="0.3">
      <c r="A91" s="6">
        <v>31405</v>
      </c>
      <c r="B91" s="275" t="s">
        <v>61</v>
      </c>
      <c r="C91" s="240">
        <v>24002128</v>
      </c>
      <c r="D91" s="259">
        <v>0</v>
      </c>
      <c r="E91" s="283">
        <v>15984</v>
      </c>
      <c r="F91" s="240">
        <v>1153655</v>
      </c>
      <c r="G91" s="240">
        <v>912228</v>
      </c>
      <c r="H91" s="240">
        <v>1210010</v>
      </c>
      <c r="I91" s="259">
        <v>0</v>
      </c>
      <c r="J91" s="240">
        <v>7216092</v>
      </c>
      <c r="K91" s="240">
        <v>2341766</v>
      </c>
      <c r="L91" s="240">
        <v>-354307</v>
      </c>
      <c r="M91" s="240">
        <v>-358013</v>
      </c>
      <c r="N91" s="240">
        <f t="shared" si="10"/>
        <v>-712320</v>
      </c>
    </row>
    <row r="92" spans="1:14" ht="15.6" x14ac:dyDescent="0.3">
      <c r="A92" s="6">
        <v>31500</v>
      </c>
      <c r="B92" s="275" t="s">
        <v>593</v>
      </c>
      <c r="C92" s="239">
        <v>19965662</v>
      </c>
      <c r="D92" s="259">
        <v>0</v>
      </c>
      <c r="E92" s="282">
        <v>13296</v>
      </c>
      <c r="F92" s="239">
        <v>959644</v>
      </c>
      <c r="G92" s="239">
        <v>599668</v>
      </c>
      <c r="H92" s="239">
        <v>1006521</v>
      </c>
      <c r="I92" s="259">
        <v>0</v>
      </c>
      <c r="J92" s="239">
        <v>6002553</v>
      </c>
      <c r="K92" s="239">
        <v>412720</v>
      </c>
      <c r="L92" s="239">
        <v>-294723</v>
      </c>
      <c r="M92" s="239">
        <v>38862</v>
      </c>
      <c r="N92" s="240">
        <f t="shared" si="10"/>
        <v>-255861</v>
      </c>
    </row>
    <row r="93" spans="1:14" ht="15.6" x14ac:dyDescent="0.3">
      <c r="A93" s="6">
        <v>31600</v>
      </c>
      <c r="B93" s="275" t="s">
        <v>594</v>
      </c>
      <c r="C93" s="239">
        <v>89967728</v>
      </c>
      <c r="D93" s="259">
        <v>0</v>
      </c>
      <c r="E93" s="282">
        <v>59911</v>
      </c>
      <c r="F93" s="239">
        <v>4324273</v>
      </c>
      <c r="G93" s="239">
        <v>1307349</v>
      </c>
      <c r="H93" s="239">
        <v>4535507</v>
      </c>
      <c r="I93" s="259">
        <v>0</v>
      </c>
      <c r="J93" s="239">
        <v>27048242</v>
      </c>
      <c r="K93" s="239">
        <v>3725426</v>
      </c>
      <c r="L93" s="239">
        <v>-1328057</v>
      </c>
      <c r="M93" s="239">
        <v>-419685</v>
      </c>
      <c r="N93" s="240">
        <f t="shared" si="10"/>
        <v>-1747742</v>
      </c>
    </row>
    <row r="94" spans="1:14" ht="15.6" x14ac:dyDescent="0.3">
      <c r="A94" s="272">
        <v>31605</v>
      </c>
      <c r="B94" s="274" t="s">
        <v>62</v>
      </c>
      <c r="C94" s="238">
        <v>12710935</v>
      </c>
      <c r="D94" s="259">
        <v>0</v>
      </c>
      <c r="E94" s="280">
        <v>8464</v>
      </c>
      <c r="F94" s="238">
        <v>610947</v>
      </c>
      <c r="G94" s="238">
        <v>246765</v>
      </c>
      <c r="H94" s="238">
        <v>640791</v>
      </c>
      <c r="I94" s="259">
        <v>0</v>
      </c>
      <c r="J94" s="238">
        <v>3821464</v>
      </c>
      <c r="K94" s="238">
        <v>148031</v>
      </c>
      <c r="L94" s="238">
        <v>-187632</v>
      </c>
      <c r="M94" s="238">
        <v>52354</v>
      </c>
      <c r="N94" s="238">
        <f t="shared" si="10"/>
        <v>-135278</v>
      </c>
    </row>
    <row r="95" spans="1:14" ht="15.6" x14ac:dyDescent="0.3">
      <c r="A95" s="272">
        <v>31700</v>
      </c>
      <c r="B95" s="274" t="s">
        <v>595</v>
      </c>
      <c r="C95" s="276">
        <v>26572972</v>
      </c>
      <c r="D95" s="259">
        <v>0</v>
      </c>
      <c r="E95" s="281">
        <v>17695</v>
      </c>
      <c r="F95" s="276">
        <v>1277222</v>
      </c>
      <c r="G95" s="276">
        <v>1206058</v>
      </c>
      <c r="H95" s="276">
        <v>1339613</v>
      </c>
      <c r="I95" s="259">
        <v>0</v>
      </c>
      <c r="J95" s="276">
        <v>7989000</v>
      </c>
      <c r="K95" s="276">
        <v>1830970</v>
      </c>
      <c r="L95" s="276">
        <v>-392257</v>
      </c>
      <c r="M95" s="276">
        <v>15354</v>
      </c>
      <c r="N95" s="238">
        <f t="shared" si="10"/>
        <v>-376903</v>
      </c>
    </row>
    <row r="96" spans="1:14" ht="15.6" x14ac:dyDescent="0.3">
      <c r="A96" s="272">
        <v>31800</v>
      </c>
      <c r="B96" s="274" t="s">
        <v>596</v>
      </c>
      <c r="C96" s="276">
        <v>155573749</v>
      </c>
      <c r="D96" s="259">
        <v>0</v>
      </c>
      <c r="E96" s="281">
        <v>103600</v>
      </c>
      <c r="F96" s="276">
        <v>7477607</v>
      </c>
      <c r="G96" s="276">
        <v>755949</v>
      </c>
      <c r="H96" s="276">
        <v>7842877</v>
      </c>
      <c r="I96" s="259">
        <v>0</v>
      </c>
      <c r="J96" s="276">
        <v>46772288</v>
      </c>
      <c r="K96" s="276">
        <v>14311818</v>
      </c>
      <c r="L96" s="276">
        <v>-2296500</v>
      </c>
      <c r="M96" s="276">
        <v>-3028310</v>
      </c>
      <c r="N96" s="238">
        <f t="shared" si="10"/>
        <v>-5324810</v>
      </c>
    </row>
    <row r="97" spans="1:14" ht="15.6" x14ac:dyDescent="0.3">
      <c r="A97" s="272">
        <v>31805</v>
      </c>
      <c r="B97" s="274" t="s">
        <v>63</v>
      </c>
      <c r="C97" s="276">
        <v>32063438</v>
      </c>
      <c r="D97" s="259">
        <v>0</v>
      </c>
      <c r="E97" s="281">
        <v>21352</v>
      </c>
      <c r="F97" s="276">
        <v>1541120</v>
      </c>
      <c r="G97" s="276">
        <v>1422739</v>
      </c>
      <c r="H97" s="276">
        <v>1616401</v>
      </c>
      <c r="I97" s="259">
        <v>0</v>
      </c>
      <c r="J97" s="276">
        <v>9639675</v>
      </c>
      <c r="K97" s="276">
        <v>332916</v>
      </c>
      <c r="L97" s="276">
        <v>-473304</v>
      </c>
      <c r="M97" s="276">
        <v>222621</v>
      </c>
      <c r="N97" s="238">
        <f t="shared" si="10"/>
        <v>-250683</v>
      </c>
    </row>
    <row r="98" spans="1:14" ht="15.6" x14ac:dyDescent="0.3">
      <c r="A98" s="272">
        <v>31810</v>
      </c>
      <c r="B98" s="274" t="s">
        <v>597</v>
      </c>
      <c r="C98" s="276">
        <v>40214089</v>
      </c>
      <c r="D98" s="259">
        <v>0</v>
      </c>
      <c r="E98" s="281">
        <v>26779</v>
      </c>
      <c r="F98" s="276">
        <v>1932878</v>
      </c>
      <c r="G98" s="276">
        <v>1530099</v>
      </c>
      <c r="H98" s="276">
        <v>2027297</v>
      </c>
      <c r="I98" s="259">
        <v>0</v>
      </c>
      <c r="J98" s="276">
        <v>12090118</v>
      </c>
      <c r="K98" s="276">
        <v>4375854</v>
      </c>
      <c r="L98" s="276">
        <v>-593620</v>
      </c>
      <c r="M98" s="276">
        <v>-401343</v>
      </c>
      <c r="N98" s="238">
        <f t="shared" si="10"/>
        <v>-994963</v>
      </c>
    </row>
    <row r="99" spans="1:14" ht="15.6" x14ac:dyDescent="0.3">
      <c r="A99" s="272">
        <v>31820</v>
      </c>
      <c r="B99" s="274" t="s">
        <v>598</v>
      </c>
      <c r="C99" s="276">
        <v>34736358</v>
      </c>
      <c r="D99" s="259">
        <v>0</v>
      </c>
      <c r="E99" s="281">
        <v>23132</v>
      </c>
      <c r="F99" s="276">
        <v>1669593</v>
      </c>
      <c r="G99" s="276">
        <v>0</v>
      </c>
      <c r="H99" s="276">
        <v>1751150</v>
      </c>
      <c r="I99" s="259">
        <v>0</v>
      </c>
      <c r="J99" s="276">
        <v>10443272</v>
      </c>
      <c r="K99" s="276">
        <v>2960394</v>
      </c>
      <c r="L99" s="276">
        <v>-512760</v>
      </c>
      <c r="M99" s="276">
        <v>-645410</v>
      </c>
      <c r="N99" s="238">
        <f t="shared" si="10"/>
        <v>-1158170</v>
      </c>
    </row>
    <row r="100" spans="1:14" ht="15.6" x14ac:dyDescent="0.3">
      <c r="A100" s="6">
        <v>31900</v>
      </c>
      <c r="B100" s="275" t="s">
        <v>599</v>
      </c>
      <c r="C100" s="239">
        <v>101980125</v>
      </c>
      <c r="D100" s="259">
        <v>0</v>
      </c>
      <c r="E100" s="282">
        <v>67911</v>
      </c>
      <c r="F100" s="239">
        <v>4901645</v>
      </c>
      <c r="G100" s="239">
        <v>3887844</v>
      </c>
      <c r="H100" s="239">
        <v>5141083</v>
      </c>
      <c r="I100" s="259">
        <v>0</v>
      </c>
      <c r="J100" s="239">
        <v>30659695</v>
      </c>
      <c r="K100" s="239">
        <v>2492992</v>
      </c>
      <c r="L100" s="239">
        <v>-1505378</v>
      </c>
      <c r="M100" s="239">
        <v>732069</v>
      </c>
      <c r="N100" s="240">
        <f t="shared" si="10"/>
        <v>-773309</v>
      </c>
    </row>
    <row r="101" spans="1:14" ht="15.6" x14ac:dyDescent="0.3">
      <c r="A101" s="6">
        <v>32000</v>
      </c>
      <c r="B101" s="275" t="s">
        <v>600</v>
      </c>
      <c r="C101" s="239">
        <v>40470396</v>
      </c>
      <c r="D101" s="259">
        <v>0</v>
      </c>
      <c r="E101" s="282">
        <v>26950</v>
      </c>
      <c r="F101" s="239">
        <v>1945198</v>
      </c>
      <c r="G101" s="239">
        <v>1499055</v>
      </c>
      <c r="H101" s="239">
        <v>2040218</v>
      </c>
      <c r="I101" s="259">
        <v>0</v>
      </c>
      <c r="J101" s="239">
        <v>12167175</v>
      </c>
      <c r="K101" s="239">
        <v>1389448</v>
      </c>
      <c r="L101" s="239">
        <v>-597403</v>
      </c>
      <c r="M101" s="239">
        <v>190451</v>
      </c>
      <c r="N101" s="240">
        <f t="shared" si="10"/>
        <v>-406952</v>
      </c>
    </row>
    <row r="102" spans="1:14" ht="15.6" x14ac:dyDescent="0.3">
      <c r="A102" s="6">
        <v>32005</v>
      </c>
      <c r="B102" s="275" t="s">
        <v>64</v>
      </c>
      <c r="C102" s="239">
        <v>8270540</v>
      </c>
      <c r="D102" s="259">
        <v>0</v>
      </c>
      <c r="E102" s="282">
        <v>5508</v>
      </c>
      <c r="F102" s="239">
        <v>397521</v>
      </c>
      <c r="G102" s="239">
        <v>314156</v>
      </c>
      <c r="H102" s="239">
        <v>416939</v>
      </c>
      <c r="I102" s="259">
        <v>0</v>
      </c>
      <c r="J102" s="239">
        <v>2486487</v>
      </c>
      <c r="K102" s="239">
        <v>924590</v>
      </c>
      <c r="L102" s="239">
        <v>-122085</v>
      </c>
      <c r="M102" s="239">
        <v>-132876</v>
      </c>
      <c r="N102" s="240">
        <f t="shared" si="10"/>
        <v>-254961</v>
      </c>
    </row>
    <row r="103" spans="1:14" ht="15.6" x14ac:dyDescent="0.3">
      <c r="A103" s="6">
        <v>32100</v>
      </c>
      <c r="B103" s="275" t="s">
        <v>601</v>
      </c>
      <c r="C103" s="240">
        <v>22682452</v>
      </c>
      <c r="D103" s="259">
        <v>0</v>
      </c>
      <c r="E103" s="283">
        <v>15105</v>
      </c>
      <c r="F103" s="240">
        <v>1090225</v>
      </c>
      <c r="G103" s="240">
        <v>0</v>
      </c>
      <c r="H103" s="240">
        <v>1143481</v>
      </c>
      <c r="I103" s="259">
        <v>0</v>
      </c>
      <c r="J103" s="240">
        <v>6819339</v>
      </c>
      <c r="K103" s="240">
        <v>1787746</v>
      </c>
      <c r="L103" s="240">
        <v>-334827</v>
      </c>
      <c r="M103" s="240">
        <v>-445527</v>
      </c>
      <c r="N103" s="240">
        <f t="shared" si="10"/>
        <v>-780354</v>
      </c>
    </row>
    <row r="104" spans="1:14" ht="15.6" x14ac:dyDescent="0.3">
      <c r="A104" s="6">
        <v>32200</v>
      </c>
      <c r="B104" s="275" t="s">
        <v>602</v>
      </c>
      <c r="C104" s="239">
        <v>15418017</v>
      </c>
      <c r="D104" s="259">
        <v>0</v>
      </c>
      <c r="E104" s="282">
        <v>10267</v>
      </c>
      <c r="F104" s="239">
        <v>741062</v>
      </c>
      <c r="G104" s="239">
        <v>439180</v>
      </c>
      <c r="H104" s="239">
        <v>777262</v>
      </c>
      <c r="I104" s="259">
        <v>0</v>
      </c>
      <c r="J104" s="239">
        <v>4635332</v>
      </c>
      <c r="K104" s="239">
        <v>355205</v>
      </c>
      <c r="L104" s="239">
        <v>-227593</v>
      </c>
      <c r="M104" s="239">
        <v>55461</v>
      </c>
      <c r="N104" s="240">
        <f t="shared" si="10"/>
        <v>-172132</v>
      </c>
    </row>
    <row r="105" spans="1:14" ht="15.6" x14ac:dyDescent="0.3">
      <c r="A105" s="6">
        <v>32300</v>
      </c>
      <c r="B105" s="275" t="s">
        <v>603</v>
      </c>
      <c r="C105" s="239">
        <v>158500032</v>
      </c>
      <c r="D105" s="259">
        <v>0</v>
      </c>
      <c r="E105" s="282">
        <v>105548</v>
      </c>
      <c r="F105" s="239">
        <v>7618258</v>
      </c>
      <c r="G105" s="285">
        <v>3572532</v>
      </c>
      <c r="H105" s="239">
        <v>7990398</v>
      </c>
      <c r="I105" s="259">
        <v>0</v>
      </c>
      <c r="J105" s="239">
        <v>47652056</v>
      </c>
      <c r="K105" s="239">
        <v>20984089</v>
      </c>
      <c r="L105" s="239">
        <v>-2339696</v>
      </c>
      <c r="M105" s="239">
        <v>-3365947</v>
      </c>
      <c r="N105" s="240">
        <f t="shared" si="10"/>
        <v>-5705643</v>
      </c>
    </row>
    <row r="106" spans="1:14" ht="15.6" x14ac:dyDescent="0.3">
      <c r="A106" s="272">
        <v>32305</v>
      </c>
      <c r="B106" s="274" t="s">
        <v>65</v>
      </c>
      <c r="C106" s="238">
        <v>17099797</v>
      </c>
      <c r="D106" s="259">
        <v>0</v>
      </c>
      <c r="E106" s="280">
        <v>11387</v>
      </c>
      <c r="F106" s="238">
        <v>821897</v>
      </c>
      <c r="G106" s="238">
        <v>733915</v>
      </c>
      <c r="H106" s="238">
        <v>862045</v>
      </c>
      <c r="I106" s="259">
        <v>0</v>
      </c>
      <c r="J106" s="238">
        <v>5140948</v>
      </c>
      <c r="K106" s="238">
        <v>1059959</v>
      </c>
      <c r="L106" s="238">
        <v>-252418</v>
      </c>
      <c r="M106" s="238">
        <v>-128694</v>
      </c>
      <c r="N106" s="238">
        <f t="shared" si="10"/>
        <v>-381112</v>
      </c>
    </row>
    <row r="107" spans="1:14" ht="15.6" x14ac:dyDescent="0.3">
      <c r="A107" s="272">
        <v>32400</v>
      </c>
      <c r="B107" s="274" t="s">
        <v>604</v>
      </c>
      <c r="C107" s="276">
        <v>55901670</v>
      </c>
      <c r="D107" s="259">
        <v>0</v>
      </c>
      <c r="E107" s="281">
        <v>37226</v>
      </c>
      <c r="F107" s="276">
        <v>2686897</v>
      </c>
      <c r="G107" s="276">
        <v>1347387</v>
      </c>
      <c r="H107" s="276">
        <v>2818148</v>
      </c>
      <c r="I107" s="259">
        <v>0</v>
      </c>
      <c r="J107" s="276">
        <v>16806492</v>
      </c>
      <c r="K107" s="276">
        <v>7263337</v>
      </c>
      <c r="L107" s="276">
        <v>-825192</v>
      </c>
      <c r="M107" s="276">
        <v>-1171556</v>
      </c>
      <c r="N107" s="238">
        <f t="shared" si="10"/>
        <v>-1996748</v>
      </c>
    </row>
    <row r="108" spans="1:14" ht="15.6" x14ac:dyDescent="0.3">
      <c r="A108" s="272">
        <v>32405</v>
      </c>
      <c r="B108" s="274" t="s">
        <v>66</v>
      </c>
      <c r="C108" s="276">
        <v>15224962</v>
      </c>
      <c r="D108" s="259">
        <v>0</v>
      </c>
      <c r="E108" s="281">
        <v>10139</v>
      </c>
      <c r="F108" s="276">
        <v>731783</v>
      </c>
      <c r="G108" s="276">
        <v>178424</v>
      </c>
      <c r="H108" s="276">
        <v>767530</v>
      </c>
      <c r="I108" s="259">
        <v>0</v>
      </c>
      <c r="J108" s="276">
        <v>4577291</v>
      </c>
      <c r="K108" s="276">
        <v>161030</v>
      </c>
      <c r="L108" s="276">
        <v>-224743</v>
      </c>
      <c r="M108" s="276">
        <v>14728</v>
      </c>
      <c r="N108" s="238">
        <f t="shared" si="10"/>
        <v>-210015</v>
      </c>
    </row>
    <row r="109" spans="1:14" ht="15.6" x14ac:dyDescent="0.3">
      <c r="A109" s="272">
        <v>32410</v>
      </c>
      <c r="B109" s="274" t="s">
        <v>605</v>
      </c>
      <c r="C109" s="276">
        <v>22854343</v>
      </c>
      <c r="D109" s="259">
        <v>0</v>
      </c>
      <c r="E109" s="281">
        <v>15219</v>
      </c>
      <c r="F109" s="276">
        <v>1098487</v>
      </c>
      <c r="G109" s="276">
        <v>80523</v>
      </c>
      <c r="H109" s="276">
        <v>1152147</v>
      </c>
      <c r="I109" s="259">
        <v>0</v>
      </c>
      <c r="J109" s="276">
        <v>6871017</v>
      </c>
      <c r="K109" s="276">
        <v>1409694</v>
      </c>
      <c r="L109" s="276">
        <v>-337364</v>
      </c>
      <c r="M109" s="276">
        <v>-321693</v>
      </c>
      <c r="N109" s="238">
        <f t="shared" si="10"/>
        <v>-659057</v>
      </c>
    </row>
    <row r="110" spans="1:14" ht="15.6" x14ac:dyDescent="0.3">
      <c r="A110" s="272">
        <v>32500</v>
      </c>
      <c r="B110" s="274" t="s">
        <v>846</v>
      </c>
      <c r="C110" s="276">
        <v>134562825</v>
      </c>
      <c r="D110" s="259">
        <v>0</v>
      </c>
      <c r="E110" s="281">
        <v>89608</v>
      </c>
      <c r="F110" s="276">
        <v>6467723</v>
      </c>
      <c r="G110" s="276">
        <v>1543095</v>
      </c>
      <c r="H110" s="276">
        <v>6783662</v>
      </c>
      <c r="I110" s="259">
        <v>0</v>
      </c>
      <c r="J110" s="276">
        <v>40455483</v>
      </c>
      <c r="K110" s="276">
        <v>5876283</v>
      </c>
      <c r="L110" s="276">
        <v>-1986347</v>
      </c>
      <c r="M110" s="276">
        <v>-1236729</v>
      </c>
      <c r="N110" s="238">
        <f t="shared" si="10"/>
        <v>-3223076</v>
      </c>
    </row>
    <row r="111" spans="1:14" ht="15.6" x14ac:dyDescent="0.3">
      <c r="A111" s="272">
        <v>32505</v>
      </c>
      <c r="B111" s="274" t="s">
        <v>67</v>
      </c>
      <c r="C111" s="276">
        <v>19488699</v>
      </c>
      <c r="D111" s="259">
        <v>0</v>
      </c>
      <c r="E111" s="281">
        <v>12978</v>
      </c>
      <c r="F111" s="276">
        <v>936719</v>
      </c>
      <c r="G111" s="276">
        <v>1809668</v>
      </c>
      <c r="H111" s="276">
        <v>982476</v>
      </c>
      <c r="I111" s="259">
        <v>0</v>
      </c>
      <c r="J111" s="276">
        <v>5859157</v>
      </c>
      <c r="K111" s="276">
        <v>2604717</v>
      </c>
      <c r="L111" s="276">
        <v>-287682</v>
      </c>
      <c r="M111" s="276">
        <v>-164736</v>
      </c>
      <c r="N111" s="238">
        <f t="shared" si="10"/>
        <v>-452418</v>
      </c>
    </row>
    <row r="112" spans="1:14" ht="15.6" x14ac:dyDescent="0.3">
      <c r="A112" s="6">
        <v>32600</v>
      </c>
      <c r="B112" s="275" t="s">
        <v>606</v>
      </c>
      <c r="C112" s="239">
        <v>490843482</v>
      </c>
      <c r="D112" s="259">
        <v>0</v>
      </c>
      <c r="E112" s="282">
        <v>326863</v>
      </c>
      <c r="F112" s="239">
        <v>23592249</v>
      </c>
      <c r="G112" s="239">
        <v>7357200</v>
      </c>
      <c r="H112" s="239">
        <v>24744695</v>
      </c>
      <c r="I112" s="259">
        <v>0</v>
      </c>
      <c r="J112" s="239">
        <v>147569063</v>
      </c>
      <c r="K112" s="239">
        <v>16403548</v>
      </c>
      <c r="L112" s="239">
        <v>-7245579</v>
      </c>
      <c r="M112" s="239">
        <v>-2733458</v>
      </c>
      <c r="N112" s="240">
        <f t="shared" si="10"/>
        <v>-9979037</v>
      </c>
    </row>
    <row r="113" spans="1:14" ht="15.6" x14ac:dyDescent="0.3">
      <c r="A113" s="6">
        <v>32605</v>
      </c>
      <c r="B113" s="275" t="s">
        <v>68</v>
      </c>
      <c r="C113" s="239">
        <v>69061235</v>
      </c>
      <c r="D113" s="259">
        <v>0</v>
      </c>
      <c r="E113" s="282">
        <v>45989</v>
      </c>
      <c r="F113" s="239">
        <v>3319408</v>
      </c>
      <c r="G113" s="239">
        <v>2371667</v>
      </c>
      <c r="H113" s="239">
        <v>3481556</v>
      </c>
      <c r="I113" s="259">
        <v>0</v>
      </c>
      <c r="J113" s="239">
        <v>20762834</v>
      </c>
      <c r="K113" s="239">
        <v>2932917</v>
      </c>
      <c r="L113" s="239">
        <v>-1019446</v>
      </c>
      <c r="M113" s="239">
        <v>-387802</v>
      </c>
      <c r="N113" s="240">
        <f t="shared" si="10"/>
        <v>-1407248</v>
      </c>
    </row>
    <row r="114" spans="1:14" ht="15.6" x14ac:dyDescent="0.3">
      <c r="A114" s="6">
        <v>32700</v>
      </c>
      <c r="B114" s="275" t="s">
        <v>607</v>
      </c>
      <c r="C114" s="239">
        <v>43719432</v>
      </c>
      <c r="D114" s="259">
        <v>0</v>
      </c>
      <c r="E114" s="282">
        <v>29114</v>
      </c>
      <c r="F114" s="239">
        <v>2101362</v>
      </c>
      <c r="G114" s="239">
        <v>1775922</v>
      </c>
      <c r="H114" s="239">
        <v>2204010</v>
      </c>
      <c r="I114" s="259">
        <v>0</v>
      </c>
      <c r="J114" s="239">
        <v>13143978</v>
      </c>
      <c r="K114" s="239">
        <v>1540332</v>
      </c>
      <c r="L114" s="239">
        <v>-645364</v>
      </c>
      <c r="M114" s="239">
        <v>240579</v>
      </c>
      <c r="N114" s="240">
        <f t="shared" si="10"/>
        <v>-404785</v>
      </c>
    </row>
    <row r="115" spans="1:14" ht="15.6" x14ac:dyDescent="0.3">
      <c r="A115" s="6">
        <v>32800</v>
      </c>
      <c r="B115" s="275" t="s">
        <v>608</v>
      </c>
      <c r="C115" s="240">
        <v>62770636</v>
      </c>
      <c r="D115" s="259">
        <v>0</v>
      </c>
      <c r="E115" s="283">
        <v>41800</v>
      </c>
      <c r="F115" s="240">
        <v>3017052</v>
      </c>
      <c r="G115" s="240">
        <v>5022858</v>
      </c>
      <c r="H115" s="240">
        <v>3164431</v>
      </c>
      <c r="I115" s="259">
        <v>0</v>
      </c>
      <c r="J115" s="240">
        <v>18871604</v>
      </c>
      <c r="K115" s="240">
        <v>0</v>
      </c>
      <c r="L115" s="240">
        <v>-926588</v>
      </c>
      <c r="M115" s="240">
        <v>1345358</v>
      </c>
      <c r="N115" s="240">
        <f t="shared" si="10"/>
        <v>418770</v>
      </c>
    </row>
    <row r="116" spans="1:14" ht="15.6" x14ac:dyDescent="0.3">
      <c r="A116" s="6">
        <v>32900</v>
      </c>
      <c r="B116" s="275" t="s">
        <v>609</v>
      </c>
      <c r="C116" s="239">
        <v>176481284</v>
      </c>
      <c r="D116" s="259">
        <v>0</v>
      </c>
      <c r="E116" s="282">
        <v>117523</v>
      </c>
      <c r="F116" s="239">
        <v>8482521</v>
      </c>
      <c r="G116" s="239">
        <v>5223084</v>
      </c>
      <c r="H116" s="239">
        <v>8896880</v>
      </c>
      <c r="I116" s="259">
        <v>0</v>
      </c>
      <c r="J116" s="239">
        <v>53058009</v>
      </c>
      <c r="K116" s="239">
        <v>14331182</v>
      </c>
      <c r="L116" s="239">
        <v>-2605126</v>
      </c>
      <c r="M116" s="239">
        <v>-1388441</v>
      </c>
      <c r="N116" s="240">
        <f t="shared" si="10"/>
        <v>-3993567</v>
      </c>
    </row>
    <row r="117" spans="1:14" ht="15.6" x14ac:dyDescent="0.3">
      <c r="A117" s="6">
        <v>32901</v>
      </c>
      <c r="B117" s="275" t="s">
        <v>786</v>
      </c>
      <c r="C117" s="239">
        <v>3952479</v>
      </c>
      <c r="D117" s="259">
        <v>0</v>
      </c>
      <c r="E117" s="282">
        <v>2632</v>
      </c>
      <c r="F117" s="239">
        <v>189975</v>
      </c>
      <c r="G117" s="239">
        <v>0</v>
      </c>
      <c r="H117" s="239">
        <v>199255</v>
      </c>
      <c r="I117" s="259">
        <v>0</v>
      </c>
      <c r="J117" s="239">
        <v>1188288</v>
      </c>
      <c r="K117" s="239">
        <v>2097402</v>
      </c>
      <c r="L117" s="239">
        <v>-58344</v>
      </c>
      <c r="M117" s="239">
        <v>-541711</v>
      </c>
      <c r="N117" s="240">
        <f t="shared" si="10"/>
        <v>-600055</v>
      </c>
    </row>
    <row r="118" spans="1:14" ht="15.6" x14ac:dyDescent="0.3">
      <c r="A118" s="272">
        <v>32905</v>
      </c>
      <c r="B118" s="274" t="s">
        <v>69</v>
      </c>
      <c r="C118" s="238">
        <v>23459027</v>
      </c>
      <c r="D118" s="259">
        <v>0</v>
      </c>
      <c r="E118" s="280">
        <v>15622</v>
      </c>
      <c r="F118" s="238">
        <v>1127551</v>
      </c>
      <c r="G118" s="238">
        <v>380800</v>
      </c>
      <c r="H118" s="238">
        <v>1182631</v>
      </c>
      <c r="I118" s="259">
        <v>0</v>
      </c>
      <c r="J118" s="238">
        <v>7052812</v>
      </c>
      <c r="K118" s="238">
        <v>2918036</v>
      </c>
      <c r="L118" s="238">
        <v>-346290</v>
      </c>
      <c r="M118" s="238">
        <v>-603312</v>
      </c>
      <c r="N118" s="238">
        <f t="shared" si="10"/>
        <v>-949602</v>
      </c>
    </row>
    <row r="119" spans="1:14" ht="15.6" x14ac:dyDescent="0.3">
      <c r="A119" s="272">
        <v>32910</v>
      </c>
      <c r="B119" s="274" t="s">
        <v>610</v>
      </c>
      <c r="C119" s="276">
        <v>34369253</v>
      </c>
      <c r="D119" s="259">
        <v>0</v>
      </c>
      <c r="E119" s="281">
        <v>22887</v>
      </c>
      <c r="F119" s="276">
        <v>1651948</v>
      </c>
      <c r="G119" s="276">
        <v>2019980</v>
      </c>
      <c r="H119" s="276">
        <v>1732643</v>
      </c>
      <c r="I119" s="259">
        <v>0</v>
      </c>
      <c r="J119" s="276">
        <v>10332904</v>
      </c>
      <c r="K119" s="276">
        <v>1115684</v>
      </c>
      <c r="L119" s="276">
        <v>-507341</v>
      </c>
      <c r="M119" s="276">
        <v>284773</v>
      </c>
      <c r="N119" s="238">
        <f t="shared" si="10"/>
        <v>-222568</v>
      </c>
    </row>
    <row r="120" spans="1:14" ht="15.6" x14ac:dyDescent="0.3">
      <c r="A120" s="272">
        <v>32920</v>
      </c>
      <c r="B120" s="274" t="s">
        <v>611</v>
      </c>
      <c r="C120" s="276">
        <v>28605144</v>
      </c>
      <c r="D120" s="259">
        <v>0</v>
      </c>
      <c r="E120" s="281">
        <v>19049</v>
      </c>
      <c r="F120" s="276">
        <v>1374898</v>
      </c>
      <c r="G120" s="276">
        <v>1480970</v>
      </c>
      <c r="H120" s="276">
        <v>1442060</v>
      </c>
      <c r="I120" s="259">
        <v>0</v>
      </c>
      <c r="J120" s="276">
        <v>8599960</v>
      </c>
      <c r="K120" s="276">
        <v>901475</v>
      </c>
      <c r="L120" s="276">
        <v>-422254</v>
      </c>
      <c r="M120" s="276">
        <v>304388</v>
      </c>
      <c r="N120" s="238">
        <f t="shared" si="10"/>
        <v>-117866</v>
      </c>
    </row>
    <row r="121" spans="1:14" ht="15.6" x14ac:dyDescent="0.3">
      <c r="A121" s="272">
        <v>33000</v>
      </c>
      <c r="B121" s="274" t="s">
        <v>612</v>
      </c>
      <c r="C121" s="276">
        <v>68412838</v>
      </c>
      <c r="D121" s="259">
        <v>0</v>
      </c>
      <c r="E121" s="281">
        <v>45558</v>
      </c>
      <c r="F121" s="276">
        <v>3288243</v>
      </c>
      <c r="G121" s="276">
        <v>771945</v>
      </c>
      <c r="H121" s="276">
        <v>3448869</v>
      </c>
      <c r="I121" s="259">
        <v>0</v>
      </c>
      <c r="J121" s="276">
        <v>20567897</v>
      </c>
      <c r="K121" s="276">
        <v>3447542</v>
      </c>
      <c r="L121" s="276">
        <v>-1009875</v>
      </c>
      <c r="M121" s="276">
        <v>-507842</v>
      </c>
      <c r="N121" s="238">
        <f t="shared" si="10"/>
        <v>-1517717</v>
      </c>
    </row>
    <row r="122" spans="1:14" ht="15.6" x14ac:dyDescent="0.3">
      <c r="A122" s="272">
        <v>33001</v>
      </c>
      <c r="B122" s="274" t="s">
        <v>847</v>
      </c>
      <c r="C122" s="276">
        <v>1569930</v>
      </c>
      <c r="D122" s="259">
        <v>0</v>
      </c>
      <c r="E122" s="281">
        <v>1045</v>
      </c>
      <c r="F122" s="276">
        <v>75458</v>
      </c>
      <c r="G122" s="276">
        <v>129396</v>
      </c>
      <c r="H122" s="276">
        <v>79144</v>
      </c>
      <c r="I122" s="259">
        <v>0</v>
      </c>
      <c r="J122" s="276">
        <v>471990</v>
      </c>
      <c r="K122" s="276">
        <v>523361</v>
      </c>
      <c r="L122" s="276">
        <v>-23174</v>
      </c>
      <c r="M122" s="276">
        <v>-68252</v>
      </c>
      <c r="N122" s="238">
        <f t="shared" si="10"/>
        <v>-91426</v>
      </c>
    </row>
    <row r="123" spans="1:14" ht="15.6" x14ac:dyDescent="0.3">
      <c r="A123" s="272">
        <v>33027</v>
      </c>
      <c r="B123" s="274" t="s">
        <v>613</v>
      </c>
      <c r="C123" s="276">
        <v>9386505</v>
      </c>
      <c r="D123" s="259">
        <v>0</v>
      </c>
      <c r="E123" s="281">
        <v>6251</v>
      </c>
      <c r="F123" s="276">
        <v>451160</v>
      </c>
      <c r="G123" s="276">
        <v>1753803</v>
      </c>
      <c r="H123" s="276">
        <v>473198</v>
      </c>
      <c r="I123" s="259">
        <v>0</v>
      </c>
      <c r="J123" s="276">
        <v>2821995</v>
      </c>
      <c r="K123" s="276">
        <v>0</v>
      </c>
      <c r="L123" s="276">
        <v>-138559</v>
      </c>
      <c r="M123" s="276">
        <v>465237</v>
      </c>
      <c r="N123" s="238">
        <f t="shared" si="10"/>
        <v>326678</v>
      </c>
    </row>
    <row r="124" spans="1:14" ht="15.6" x14ac:dyDescent="0.3">
      <c r="A124" s="6">
        <v>33100</v>
      </c>
      <c r="B124" s="275" t="s">
        <v>614</v>
      </c>
      <c r="C124" s="239">
        <v>92356313</v>
      </c>
      <c r="D124" s="259">
        <v>0</v>
      </c>
      <c r="E124" s="282">
        <v>61502</v>
      </c>
      <c r="F124" s="239">
        <v>4439079</v>
      </c>
      <c r="G124" s="239">
        <v>1019652</v>
      </c>
      <c r="H124" s="239">
        <v>4655922</v>
      </c>
      <c r="I124" s="259">
        <v>0</v>
      </c>
      <c r="J124" s="239">
        <v>27766355</v>
      </c>
      <c r="K124" s="239">
        <v>9940773</v>
      </c>
      <c r="L124" s="239">
        <v>-1363316</v>
      </c>
      <c r="M124" s="239">
        <v>-1901780</v>
      </c>
      <c r="N124" s="240">
        <f t="shared" si="10"/>
        <v>-3265096</v>
      </c>
    </row>
    <row r="125" spans="1:14" ht="15.6" x14ac:dyDescent="0.3">
      <c r="A125" s="6">
        <v>33105</v>
      </c>
      <c r="B125" s="275" t="s">
        <v>70</v>
      </c>
      <c r="C125" s="239">
        <v>10054594</v>
      </c>
      <c r="D125" s="259">
        <v>0</v>
      </c>
      <c r="E125" s="282">
        <v>6696</v>
      </c>
      <c r="F125" s="239">
        <v>483271</v>
      </c>
      <c r="G125" s="239">
        <v>0</v>
      </c>
      <c r="H125" s="239">
        <v>506878</v>
      </c>
      <c r="I125" s="259">
        <v>0</v>
      </c>
      <c r="J125" s="239">
        <v>3022852</v>
      </c>
      <c r="K125" s="239">
        <v>1163330</v>
      </c>
      <c r="L125" s="239">
        <v>-148421</v>
      </c>
      <c r="M125" s="239">
        <v>-273191</v>
      </c>
      <c r="N125" s="240">
        <f t="shared" si="10"/>
        <v>-421612</v>
      </c>
    </row>
    <row r="126" spans="1:14" ht="15.6" x14ac:dyDescent="0.3">
      <c r="A126" s="6">
        <v>33200</v>
      </c>
      <c r="B126" s="275" t="s">
        <v>615</v>
      </c>
      <c r="C126" s="239">
        <v>434743527</v>
      </c>
      <c r="D126" s="259">
        <v>0</v>
      </c>
      <c r="E126" s="282">
        <v>289505</v>
      </c>
      <c r="F126" s="239">
        <v>20895821</v>
      </c>
      <c r="G126" s="239">
        <v>12415907</v>
      </c>
      <c r="H126" s="239">
        <v>21916550</v>
      </c>
      <c r="I126" s="259">
        <v>0</v>
      </c>
      <c r="J126" s="239">
        <v>130702958</v>
      </c>
      <c r="K126" s="239">
        <v>20266284</v>
      </c>
      <c r="L126" s="239">
        <v>-6417460</v>
      </c>
      <c r="M126" s="239">
        <v>-1477146</v>
      </c>
      <c r="N126" s="240">
        <f t="shared" si="10"/>
        <v>-7894606</v>
      </c>
    </row>
    <row r="127" spans="1:14" ht="15.6" x14ac:dyDescent="0.3">
      <c r="A127" s="6">
        <v>33202</v>
      </c>
      <c r="B127" s="275" t="s">
        <v>848</v>
      </c>
      <c r="C127" s="240">
        <v>7286949</v>
      </c>
      <c r="D127" s="259">
        <v>0</v>
      </c>
      <c r="E127" s="283">
        <v>4853</v>
      </c>
      <c r="F127" s="240">
        <v>350245</v>
      </c>
      <c r="G127" s="240">
        <v>1628644</v>
      </c>
      <c r="H127" s="240">
        <v>367354</v>
      </c>
      <c r="I127" s="259">
        <v>0</v>
      </c>
      <c r="J127" s="240">
        <v>2190776</v>
      </c>
      <c r="K127" s="240">
        <v>214345</v>
      </c>
      <c r="L127" s="240">
        <v>-107566</v>
      </c>
      <c r="M127" s="240">
        <v>445656</v>
      </c>
      <c r="N127" s="240">
        <f t="shared" si="10"/>
        <v>338090</v>
      </c>
    </row>
    <row r="128" spans="1:14" ht="15.6" x14ac:dyDescent="0.3">
      <c r="A128" s="6">
        <v>33203</v>
      </c>
      <c r="B128" s="275" t="s">
        <v>616</v>
      </c>
      <c r="C128" s="239">
        <v>3628609</v>
      </c>
      <c r="D128" s="259">
        <v>0</v>
      </c>
      <c r="E128" s="282">
        <v>2416</v>
      </c>
      <c r="F128" s="239">
        <v>174408</v>
      </c>
      <c r="G128" s="239">
        <v>190559</v>
      </c>
      <c r="H128" s="239">
        <v>182928</v>
      </c>
      <c r="I128" s="259">
        <v>0</v>
      </c>
      <c r="J128" s="239">
        <v>1090919</v>
      </c>
      <c r="K128" s="239">
        <v>274868</v>
      </c>
      <c r="L128" s="239">
        <v>-53564</v>
      </c>
      <c r="M128" s="239">
        <v>-10580</v>
      </c>
      <c r="N128" s="240">
        <f t="shared" si="10"/>
        <v>-64144</v>
      </c>
    </row>
    <row r="129" spans="1:14" ht="15.6" x14ac:dyDescent="0.3">
      <c r="A129" s="6">
        <v>33204</v>
      </c>
      <c r="B129" s="275" t="s">
        <v>617</v>
      </c>
      <c r="C129" s="239">
        <v>12616170</v>
      </c>
      <c r="D129" s="259">
        <v>0</v>
      </c>
      <c r="E129" s="282">
        <v>8401</v>
      </c>
      <c r="F129" s="239">
        <v>606393</v>
      </c>
      <c r="G129" s="239">
        <v>1176898</v>
      </c>
      <c r="H129" s="239">
        <v>636014</v>
      </c>
      <c r="I129" s="259">
        <v>0</v>
      </c>
      <c r="J129" s="239">
        <v>3792974</v>
      </c>
      <c r="K129" s="239">
        <v>1750488</v>
      </c>
      <c r="L129" s="239">
        <v>-186233</v>
      </c>
      <c r="M129" s="239">
        <v>-103841</v>
      </c>
      <c r="N129" s="240">
        <f t="shared" ref="N129:N192" si="11">SUM(L129:M129)</f>
        <v>-290074</v>
      </c>
    </row>
    <row r="130" spans="1:14" ht="15.6" x14ac:dyDescent="0.3">
      <c r="A130" s="272">
        <v>33205</v>
      </c>
      <c r="B130" s="274" t="s">
        <v>71</v>
      </c>
      <c r="C130" s="238">
        <v>32661375</v>
      </c>
      <c r="D130" s="259">
        <v>0</v>
      </c>
      <c r="E130" s="280">
        <v>21750</v>
      </c>
      <c r="F130" s="238">
        <v>1569859</v>
      </c>
      <c r="G130" s="238">
        <v>331224</v>
      </c>
      <c r="H130" s="238">
        <v>1646545</v>
      </c>
      <c r="I130" s="259">
        <v>0</v>
      </c>
      <c r="J130" s="238">
        <v>9819441</v>
      </c>
      <c r="K130" s="238">
        <v>2738956</v>
      </c>
      <c r="L130" s="238">
        <v>-482130</v>
      </c>
      <c r="M130" s="238">
        <v>-574922</v>
      </c>
      <c r="N130" s="238">
        <f t="shared" si="11"/>
        <v>-1057052</v>
      </c>
    </row>
    <row r="131" spans="1:14" ht="15.6" x14ac:dyDescent="0.3">
      <c r="A131" s="272">
        <v>33206</v>
      </c>
      <c r="B131" s="274" t="s">
        <v>618</v>
      </c>
      <c r="C131" s="276">
        <v>3200483</v>
      </c>
      <c r="D131" s="259">
        <v>0</v>
      </c>
      <c r="E131" s="281">
        <v>2131</v>
      </c>
      <c r="F131" s="276">
        <v>153830</v>
      </c>
      <c r="G131" s="276">
        <v>402813</v>
      </c>
      <c r="H131" s="276">
        <v>161345</v>
      </c>
      <c r="I131" s="259">
        <v>0</v>
      </c>
      <c r="J131" s="276">
        <v>962205</v>
      </c>
      <c r="K131" s="276">
        <v>235960</v>
      </c>
      <c r="L131" s="276">
        <v>-47244</v>
      </c>
      <c r="M131" s="276">
        <v>70553</v>
      </c>
      <c r="N131" s="238">
        <f t="shared" si="11"/>
        <v>23309</v>
      </c>
    </row>
    <row r="132" spans="1:14" ht="15.6" x14ac:dyDescent="0.3">
      <c r="A132" s="272">
        <v>33207</v>
      </c>
      <c r="B132" s="274" t="s">
        <v>619</v>
      </c>
      <c r="C132" s="276">
        <v>11522887</v>
      </c>
      <c r="D132" s="259">
        <v>0</v>
      </c>
      <c r="E132" s="281">
        <v>7673</v>
      </c>
      <c r="F132" s="276">
        <v>553844</v>
      </c>
      <c r="G132" s="276">
        <v>4504344</v>
      </c>
      <c r="H132" s="276">
        <v>580899</v>
      </c>
      <c r="I132" s="259">
        <v>0</v>
      </c>
      <c r="J132" s="276">
        <v>3464285</v>
      </c>
      <c r="K132" s="276">
        <v>0</v>
      </c>
      <c r="L132" s="276">
        <v>-170095</v>
      </c>
      <c r="M132" s="276">
        <v>1229663</v>
      </c>
      <c r="N132" s="238">
        <f t="shared" si="11"/>
        <v>1059568</v>
      </c>
    </row>
    <row r="133" spans="1:14" ht="15.6" x14ac:dyDescent="0.3">
      <c r="A133" s="272">
        <v>33208</v>
      </c>
      <c r="B133" s="274" t="s">
        <v>849</v>
      </c>
      <c r="C133" s="276">
        <v>0</v>
      </c>
      <c r="D133" s="259">
        <v>0</v>
      </c>
      <c r="E133" s="281">
        <v>0</v>
      </c>
      <c r="F133" s="276">
        <v>0</v>
      </c>
      <c r="G133" s="276">
        <v>0</v>
      </c>
      <c r="H133" s="276">
        <v>0</v>
      </c>
      <c r="I133" s="259">
        <v>0</v>
      </c>
      <c r="J133" s="276">
        <v>0</v>
      </c>
      <c r="K133" s="276">
        <v>872177</v>
      </c>
      <c r="L133" s="276">
        <v>0</v>
      </c>
      <c r="M133" s="276">
        <v>-223659</v>
      </c>
      <c r="N133" s="238">
        <f t="shared" si="11"/>
        <v>-223659</v>
      </c>
    </row>
    <row r="134" spans="1:14" ht="15.6" x14ac:dyDescent="0.3">
      <c r="A134" s="272">
        <v>33209</v>
      </c>
      <c r="B134" s="274" t="s">
        <v>620</v>
      </c>
      <c r="C134" s="276">
        <v>3382119</v>
      </c>
      <c r="D134" s="259">
        <v>0</v>
      </c>
      <c r="E134" s="281">
        <v>2252</v>
      </c>
      <c r="F134" s="276">
        <v>162561</v>
      </c>
      <c r="G134" s="276">
        <v>1164646</v>
      </c>
      <c r="H134" s="276">
        <v>170501</v>
      </c>
      <c r="I134" s="259">
        <v>0</v>
      </c>
      <c r="J134" s="276">
        <v>1016813</v>
      </c>
      <c r="K134" s="276">
        <v>0</v>
      </c>
      <c r="L134" s="276">
        <v>-49925</v>
      </c>
      <c r="M134" s="276">
        <v>266246</v>
      </c>
      <c r="N134" s="238">
        <f t="shared" si="11"/>
        <v>216321</v>
      </c>
    </row>
    <row r="135" spans="1:14" ht="15.6" x14ac:dyDescent="0.3">
      <c r="A135" s="272">
        <v>33300</v>
      </c>
      <c r="B135" s="274" t="s">
        <v>621</v>
      </c>
      <c r="C135" s="276">
        <v>63014529</v>
      </c>
      <c r="D135" s="259">
        <v>0</v>
      </c>
      <c r="E135" s="281">
        <v>41963</v>
      </c>
      <c r="F135" s="276">
        <v>3028775</v>
      </c>
      <c r="G135" s="276">
        <v>1377846</v>
      </c>
      <c r="H135" s="276">
        <v>3176726</v>
      </c>
      <c r="I135" s="259">
        <v>0</v>
      </c>
      <c r="J135" s="276">
        <v>18944929</v>
      </c>
      <c r="K135" s="276">
        <v>2456856</v>
      </c>
      <c r="L135" s="276">
        <v>-930188</v>
      </c>
      <c r="M135" s="276">
        <v>-76859</v>
      </c>
      <c r="N135" s="238">
        <f t="shared" si="11"/>
        <v>-1007047</v>
      </c>
    </row>
    <row r="136" spans="1:14" ht="15.6" x14ac:dyDescent="0.3">
      <c r="A136" s="6">
        <v>33305</v>
      </c>
      <c r="B136" s="275" t="s">
        <v>72</v>
      </c>
      <c r="C136" s="239">
        <v>14308755</v>
      </c>
      <c r="D136" s="259">
        <v>0</v>
      </c>
      <c r="E136" s="282">
        <v>9528</v>
      </c>
      <c r="F136" s="239">
        <v>687746</v>
      </c>
      <c r="G136" s="239">
        <v>0</v>
      </c>
      <c r="H136" s="239">
        <v>721341</v>
      </c>
      <c r="I136" s="259">
        <v>0</v>
      </c>
      <c r="J136" s="239">
        <v>4301839</v>
      </c>
      <c r="K136" s="239">
        <v>1540382</v>
      </c>
      <c r="L136" s="239">
        <v>-211218</v>
      </c>
      <c r="M136" s="239">
        <v>-365053</v>
      </c>
      <c r="N136" s="240">
        <f t="shared" si="11"/>
        <v>-576271</v>
      </c>
    </row>
    <row r="137" spans="1:14" ht="15.6" x14ac:dyDescent="0.3">
      <c r="A137" s="6">
        <v>33400</v>
      </c>
      <c r="B137" s="275" t="s">
        <v>622</v>
      </c>
      <c r="C137" s="239">
        <v>569657981</v>
      </c>
      <c r="D137" s="259">
        <v>0</v>
      </c>
      <c r="E137" s="282">
        <v>379347</v>
      </c>
      <c r="F137" s="239">
        <v>27380445</v>
      </c>
      <c r="G137" s="239">
        <v>18485814</v>
      </c>
      <c r="H137" s="239">
        <v>28717938</v>
      </c>
      <c r="I137" s="259">
        <v>0</v>
      </c>
      <c r="J137" s="239">
        <v>171264156</v>
      </c>
      <c r="K137" s="239">
        <v>21871122</v>
      </c>
      <c r="L137" s="239">
        <v>-8408998</v>
      </c>
      <c r="M137" s="239">
        <v>1255160</v>
      </c>
      <c r="N137" s="240">
        <f t="shared" si="11"/>
        <v>-7153838</v>
      </c>
    </row>
    <row r="138" spans="1:14" ht="15.6" x14ac:dyDescent="0.3">
      <c r="A138" s="6">
        <v>33402</v>
      </c>
      <c r="B138" s="275" t="s">
        <v>623</v>
      </c>
      <c r="C138" s="239">
        <v>4710993</v>
      </c>
      <c r="D138" s="259">
        <v>0</v>
      </c>
      <c r="E138" s="282">
        <v>3137</v>
      </c>
      <c r="F138" s="239">
        <v>226433</v>
      </c>
      <c r="G138" s="239">
        <v>381650</v>
      </c>
      <c r="H138" s="239">
        <v>237493</v>
      </c>
      <c r="I138" s="259">
        <v>0</v>
      </c>
      <c r="J138" s="239">
        <v>1416331</v>
      </c>
      <c r="K138" s="239">
        <v>317085</v>
      </c>
      <c r="L138" s="239">
        <v>-69541</v>
      </c>
      <c r="M138" s="239">
        <v>50495</v>
      </c>
      <c r="N138" s="240">
        <f t="shared" si="11"/>
        <v>-19046</v>
      </c>
    </row>
    <row r="139" spans="1:14" ht="15.6" x14ac:dyDescent="0.3">
      <c r="A139" s="6">
        <v>33405</v>
      </c>
      <c r="B139" s="275" t="s">
        <v>73</v>
      </c>
      <c r="C139" s="240">
        <v>48843366</v>
      </c>
      <c r="D139" s="259">
        <v>0</v>
      </c>
      <c r="E139" s="283">
        <v>32526</v>
      </c>
      <c r="F139" s="240">
        <v>2347642</v>
      </c>
      <c r="G139" s="240">
        <v>0</v>
      </c>
      <c r="H139" s="240">
        <v>2462321</v>
      </c>
      <c r="I139" s="259">
        <v>0</v>
      </c>
      <c r="J139" s="240">
        <v>14684457</v>
      </c>
      <c r="K139" s="240">
        <v>6155816</v>
      </c>
      <c r="L139" s="240">
        <v>-721001</v>
      </c>
      <c r="M139" s="240">
        <v>-1669772</v>
      </c>
      <c r="N139" s="240">
        <f t="shared" si="11"/>
        <v>-2390773</v>
      </c>
    </row>
    <row r="140" spans="1:14" ht="15.6" x14ac:dyDescent="0.3">
      <c r="A140" s="6">
        <v>33500</v>
      </c>
      <c r="B140" s="275" t="s">
        <v>624</v>
      </c>
      <c r="C140" s="239">
        <v>86437332</v>
      </c>
      <c r="D140" s="259">
        <v>0</v>
      </c>
      <c r="E140" s="282">
        <v>57560</v>
      </c>
      <c r="F140" s="239">
        <v>4154585</v>
      </c>
      <c r="G140" s="239">
        <v>0</v>
      </c>
      <c r="H140" s="239">
        <v>4357530</v>
      </c>
      <c r="I140" s="259">
        <v>0</v>
      </c>
      <c r="J140" s="239">
        <v>25986850</v>
      </c>
      <c r="K140" s="239">
        <v>8204377</v>
      </c>
      <c r="L140" s="239">
        <v>-1275943</v>
      </c>
      <c r="M140" s="239">
        <v>-1906059</v>
      </c>
      <c r="N140" s="240">
        <f t="shared" si="11"/>
        <v>-3182002</v>
      </c>
    </row>
    <row r="141" spans="1:14" ht="15.6" x14ac:dyDescent="0.3">
      <c r="A141" s="6">
        <v>33501</v>
      </c>
      <c r="B141" s="275" t="s">
        <v>625</v>
      </c>
      <c r="C141" s="239">
        <v>2180268</v>
      </c>
      <c r="D141" s="259">
        <v>0</v>
      </c>
      <c r="E141" s="282">
        <v>1452</v>
      </c>
      <c r="F141" s="239">
        <v>104794</v>
      </c>
      <c r="G141" s="239">
        <v>288909</v>
      </c>
      <c r="H141" s="239">
        <v>109913</v>
      </c>
      <c r="I141" s="259">
        <v>0</v>
      </c>
      <c r="J141" s="239">
        <v>655484</v>
      </c>
      <c r="K141" s="239">
        <v>153544</v>
      </c>
      <c r="L141" s="239">
        <v>-32184</v>
      </c>
      <c r="M141" s="239">
        <v>48767</v>
      </c>
      <c r="N141" s="240">
        <f t="shared" si="11"/>
        <v>16583</v>
      </c>
    </row>
    <row r="142" spans="1:14" ht="15.6" x14ac:dyDescent="0.3">
      <c r="A142" s="272">
        <v>33600</v>
      </c>
      <c r="B142" s="274" t="s">
        <v>626</v>
      </c>
      <c r="C142" s="238">
        <v>308233938</v>
      </c>
      <c r="D142" s="259">
        <v>0</v>
      </c>
      <c r="E142" s="280">
        <v>205259</v>
      </c>
      <c r="F142" s="238">
        <v>14815174</v>
      </c>
      <c r="G142" s="238">
        <v>11710986</v>
      </c>
      <c r="H142" s="238">
        <v>15538873</v>
      </c>
      <c r="I142" s="259">
        <v>0</v>
      </c>
      <c r="J142" s="238">
        <v>92668631</v>
      </c>
      <c r="K142" s="238">
        <v>8729854</v>
      </c>
      <c r="L142" s="238">
        <v>-4549991</v>
      </c>
      <c r="M142" s="238">
        <v>2070904</v>
      </c>
      <c r="N142" s="238">
        <f t="shared" si="11"/>
        <v>-2479087</v>
      </c>
    </row>
    <row r="143" spans="1:14" ht="15.6" x14ac:dyDescent="0.3">
      <c r="A143" s="272">
        <v>33605</v>
      </c>
      <c r="B143" s="274" t="s">
        <v>74</v>
      </c>
      <c r="C143" s="276">
        <v>35393207</v>
      </c>
      <c r="D143" s="259">
        <v>0</v>
      </c>
      <c r="E143" s="281">
        <v>23569</v>
      </c>
      <c r="F143" s="276">
        <v>1701164</v>
      </c>
      <c r="G143" s="276">
        <v>0</v>
      </c>
      <c r="H143" s="276">
        <v>1784264</v>
      </c>
      <c r="I143" s="259">
        <v>0</v>
      </c>
      <c r="J143" s="276">
        <v>10640749</v>
      </c>
      <c r="K143" s="276">
        <v>3726846</v>
      </c>
      <c r="L143" s="276">
        <v>-522456</v>
      </c>
      <c r="M143" s="276">
        <v>-883965</v>
      </c>
      <c r="N143" s="238">
        <f t="shared" si="11"/>
        <v>-1406421</v>
      </c>
    </row>
    <row r="144" spans="1:14" ht="15.6" x14ac:dyDescent="0.3">
      <c r="A144" s="272">
        <v>33700</v>
      </c>
      <c r="B144" s="274" t="s">
        <v>627</v>
      </c>
      <c r="C144" s="276">
        <v>20102969</v>
      </c>
      <c r="D144" s="259">
        <v>0</v>
      </c>
      <c r="E144" s="281">
        <v>13387</v>
      </c>
      <c r="F144" s="276">
        <v>966243</v>
      </c>
      <c r="G144" s="276">
        <v>91515</v>
      </c>
      <c r="H144" s="276">
        <v>1013443</v>
      </c>
      <c r="I144" s="259">
        <v>0</v>
      </c>
      <c r="J144" s="276">
        <v>6043834</v>
      </c>
      <c r="K144" s="276">
        <v>1177097</v>
      </c>
      <c r="L144" s="276">
        <v>-296750</v>
      </c>
      <c r="M144" s="276">
        <v>-234379</v>
      </c>
      <c r="N144" s="238">
        <f t="shared" si="11"/>
        <v>-531129</v>
      </c>
    </row>
    <row r="145" spans="1:14" ht="15.6" x14ac:dyDescent="0.3">
      <c r="A145" s="272">
        <v>33800</v>
      </c>
      <c r="B145" s="274" t="s">
        <v>628</v>
      </c>
      <c r="C145" s="276">
        <v>15058992</v>
      </c>
      <c r="D145" s="259">
        <v>0</v>
      </c>
      <c r="E145" s="281">
        <v>10028</v>
      </c>
      <c r="F145" s="276">
        <v>723806</v>
      </c>
      <c r="G145" s="276">
        <v>451758</v>
      </c>
      <c r="H145" s="276">
        <v>759163</v>
      </c>
      <c r="I145" s="259">
        <v>0</v>
      </c>
      <c r="J145" s="276">
        <v>4527393</v>
      </c>
      <c r="K145" s="276">
        <v>1615713</v>
      </c>
      <c r="L145" s="276">
        <v>-222293</v>
      </c>
      <c r="M145" s="276">
        <v>-216907</v>
      </c>
      <c r="N145" s="238">
        <f t="shared" si="11"/>
        <v>-439200</v>
      </c>
    </row>
    <row r="146" spans="1:14" ht="15.6" x14ac:dyDescent="0.3">
      <c r="A146" s="272">
        <v>33900</v>
      </c>
      <c r="B146" s="274" t="s">
        <v>850</v>
      </c>
      <c r="C146" s="276">
        <v>74921993</v>
      </c>
      <c r="D146" s="259">
        <v>0</v>
      </c>
      <c r="E146" s="281">
        <v>49892</v>
      </c>
      <c r="F146" s="276">
        <v>3601104</v>
      </c>
      <c r="G146" s="276">
        <v>179856</v>
      </c>
      <c r="H146" s="276">
        <v>3777012</v>
      </c>
      <c r="I146" s="259">
        <v>0</v>
      </c>
      <c r="J146" s="276">
        <v>22524835</v>
      </c>
      <c r="K146" s="276">
        <v>9044126</v>
      </c>
      <c r="L146" s="276">
        <v>-1105960</v>
      </c>
      <c r="M146" s="276">
        <v>-1930400</v>
      </c>
      <c r="N146" s="238">
        <f t="shared" si="11"/>
        <v>-3036360</v>
      </c>
    </row>
    <row r="147" spans="1:14" ht="15.6" x14ac:dyDescent="0.3">
      <c r="A147" s="272">
        <v>34000</v>
      </c>
      <c r="B147" s="274" t="s">
        <v>629</v>
      </c>
      <c r="C147" s="276">
        <v>34420577</v>
      </c>
      <c r="D147" s="259">
        <v>0</v>
      </c>
      <c r="E147" s="281">
        <v>22921</v>
      </c>
      <c r="F147" s="276">
        <v>1654415</v>
      </c>
      <c r="G147" s="276">
        <v>993669</v>
      </c>
      <c r="H147" s="276">
        <v>1735231</v>
      </c>
      <c r="I147" s="259">
        <v>0</v>
      </c>
      <c r="J147" s="276">
        <v>10348334</v>
      </c>
      <c r="K147" s="276">
        <v>3750180</v>
      </c>
      <c r="L147" s="276">
        <v>-508099</v>
      </c>
      <c r="M147" s="276">
        <v>-482961</v>
      </c>
      <c r="N147" s="238">
        <f t="shared" si="11"/>
        <v>-991060</v>
      </c>
    </row>
    <row r="148" spans="1:14" ht="15.6" x14ac:dyDescent="0.3">
      <c r="A148" s="6">
        <v>34100</v>
      </c>
      <c r="B148" s="275" t="s">
        <v>630</v>
      </c>
      <c r="C148" s="239">
        <v>804006602</v>
      </c>
      <c r="D148" s="259">
        <v>0</v>
      </c>
      <c r="E148" s="282">
        <v>535404</v>
      </c>
      <c r="F148" s="239">
        <v>38644343</v>
      </c>
      <c r="G148" s="239">
        <v>12819726</v>
      </c>
      <c r="H148" s="239">
        <v>40532061</v>
      </c>
      <c r="I148" s="259">
        <v>0</v>
      </c>
      <c r="J148" s="239">
        <v>241719622</v>
      </c>
      <c r="K148" s="239">
        <v>42923100</v>
      </c>
      <c r="L148" s="239">
        <v>-11868332</v>
      </c>
      <c r="M148" s="239">
        <v>-5798766</v>
      </c>
      <c r="N148" s="240">
        <f t="shared" si="11"/>
        <v>-17667098</v>
      </c>
    </row>
    <row r="149" spans="1:14" ht="15.6" x14ac:dyDescent="0.3">
      <c r="A149" s="6">
        <v>34105</v>
      </c>
      <c r="B149" s="275" t="s">
        <v>75</v>
      </c>
      <c r="C149" s="239">
        <v>60806895</v>
      </c>
      <c r="D149" s="259">
        <v>0</v>
      </c>
      <c r="E149" s="282">
        <v>40493</v>
      </c>
      <c r="F149" s="239">
        <v>2922666</v>
      </c>
      <c r="G149" s="239">
        <v>0</v>
      </c>
      <c r="H149" s="239">
        <v>3065434</v>
      </c>
      <c r="I149" s="259">
        <v>0</v>
      </c>
      <c r="J149" s="239">
        <v>18281218</v>
      </c>
      <c r="K149" s="239">
        <v>7628644</v>
      </c>
      <c r="L149" s="239">
        <v>-897600</v>
      </c>
      <c r="M149" s="239">
        <v>-1811584</v>
      </c>
      <c r="N149" s="240">
        <f t="shared" si="11"/>
        <v>-2709184</v>
      </c>
    </row>
    <row r="150" spans="1:14" ht="15.6" x14ac:dyDescent="0.3">
      <c r="A150" s="6">
        <v>34200</v>
      </c>
      <c r="B150" s="275" t="s">
        <v>631</v>
      </c>
      <c r="C150" s="239">
        <v>27557318</v>
      </c>
      <c r="D150" s="259">
        <v>0</v>
      </c>
      <c r="E150" s="282">
        <v>18351</v>
      </c>
      <c r="F150" s="239">
        <v>1324534</v>
      </c>
      <c r="G150" s="239">
        <v>1457190</v>
      </c>
      <c r="H150" s="239">
        <v>1389236</v>
      </c>
      <c r="I150" s="259">
        <v>0</v>
      </c>
      <c r="J150" s="239">
        <v>8284938</v>
      </c>
      <c r="K150" s="239">
        <v>3955797</v>
      </c>
      <c r="L150" s="239">
        <v>-406787</v>
      </c>
      <c r="M150" s="239">
        <v>-924875</v>
      </c>
      <c r="N150" s="240">
        <f t="shared" si="11"/>
        <v>-1331662</v>
      </c>
    </row>
    <row r="151" spans="1:14" ht="15.6" x14ac:dyDescent="0.3">
      <c r="A151" s="6">
        <v>34205</v>
      </c>
      <c r="B151" s="275" t="s">
        <v>76</v>
      </c>
      <c r="C151" s="240">
        <v>11160087</v>
      </c>
      <c r="D151" s="259">
        <v>0</v>
      </c>
      <c r="E151" s="283">
        <v>7432</v>
      </c>
      <c r="F151" s="240">
        <v>536406</v>
      </c>
      <c r="G151" s="240">
        <v>0</v>
      </c>
      <c r="H151" s="240">
        <v>562609</v>
      </c>
      <c r="I151" s="259">
        <v>0</v>
      </c>
      <c r="J151" s="240">
        <v>3355211</v>
      </c>
      <c r="K151" s="240">
        <v>1478003</v>
      </c>
      <c r="L151" s="240">
        <v>-164739</v>
      </c>
      <c r="M151" s="240">
        <v>-382871</v>
      </c>
      <c r="N151" s="240">
        <f t="shared" si="11"/>
        <v>-547610</v>
      </c>
    </row>
    <row r="152" spans="1:14" ht="15.6" x14ac:dyDescent="0.3">
      <c r="A152" s="6">
        <v>34220</v>
      </c>
      <c r="B152" s="275" t="s">
        <v>632</v>
      </c>
      <c r="C152" s="239">
        <v>30327131</v>
      </c>
      <c r="D152" s="259">
        <v>0</v>
      </c>
      <c r="E152" s="282">
        <v>20195</v>
      </c>
      <c r="F152" s="239">
        <v>1457665</v>
      </c>
      <c r="G152" s="239">
        <v>2237742</v>
      </c>
      <c r="H152" s="239">
        <v>1528869</v>
      </c>
      <c r="I152" s="259">
        <v>0</v>
      </c>
      <c r="J152" s="239">
        <v>9117665</v>
      </c>
      <c r="K152" s="239">
        <v>1716000</v>
      </c>
      <c r="L152" s="239">
        <v>-447674</v>
      </c>
      <c r="M152" s="239">
        <v>353167</v>
      </c>
      <c r="N152" s="240">
        <f t="shared" si="11"/>
        <v>-94507</v>
      </c>
    </row>
    <row r="153" spans="1:14" ht="15.6" x14ac:dyDescent="0.3">
      <c r="A153" s="6">
        <v>34230</v>
      </c>
      <c r="B153" s="275" t="s">
        <v>633</v>
      </c>
      <c r="C153" s="239">
        <v>9966537</v>
      </c>
      <c r="D153" s="259">
        <v>0</v>
      </c>
      <c r="E153" s="282">
        <v>6637</v>
      </c>
      <c r="F153" s="239">
        <v>479039</v>
      </c>
      <c r="G153" s="239">
        <v>0</v>
      </c>
      <c r="H153" s="239">
        <v>502439</v>
      </c>
      <c r="I153" s="259">
        <v>0</v>
      </c>
      <c r="J153" s="239">
        <v>2996378</v>
      </c>
      <c r="K153" s="239">
        <v>3533018</v>
      </c>
      <c r="L153" s="239">
        <v>-147121</v>
      </c>
      <c r="M153" s="239">
        <v>-820914</v>
      </c>
      <c r="N153" s="240">
        <f t="shared" si="11"/>
        <v>-968035</v>
      </c>
    </row>
    <row r="154" spans="1:14" ht="15.6" x14ac:dyDescent="0.3">
      <c r="A154" s="272">
        <v>34300</v>
      </c>
      <c r="B154" s="274" t="s">
        <v>634</v>
      </c>
      <c r="C154" s="238">
        <v>196482150</v>
      </c>
      <c r="D154" s="259">
        <v>0</v>
      </c>
      <c r="E154" s="280">
        <v>130841</v>
      </c>
      <c r="F154" s="238">
        <v>9443857</v>
      </c>
      <c r="G154" s="238">
        <v>6983160</v>
      </c>
      <c r="H154" s="238">
        <v>9905176</v>
      </c>
      <c r="I154" s="259">
        <v>0</v>
      </c>
      <c r="J154" s="238">
        <v>59071146</v>
      </c>
      <c r="K154" s="238">
        <v>9797135</v>
      </c>
      <c r="L154" s="238">
        <v>-2900368</v>
      </c>
      <c r="M154" s="238">
        <v>132044</v>
      </c>
      <c r="N154" s="238">
        <f t="shared" si="11"/>
        <v>-2768324</v>
      </c>
    </row>
    <row r="155" spans="1:14" ht="15.6" x14ac:dyDescent="0.3">
      <c r="A155" s="272">
        <v>34400</v>
      </c>
      <c r="B155" s="274" t="s">
        <v>635</v>
      </c>
      <c r="C155" s="276">
        <v>78037583</v>
      </c>
      <c r="D155" s="259">
        <v>0</v>
      </c>
      <c r="E155" s="281">
        <v>51967</v>
      </c>
      <c r="F155" s="276">
        <v>3750854</v>
      </c>
      <c r="G155" s="276">
        <v>0</v>
      </c>
      <c r="H155" s="276">
        <v>3934077</v>
      </c>
      <c r="I155" s="259">
        <v>0</v>
      </c>
      <c r="J155" s="276">
        <v>23461518</v>
      </c>
      <c r="K155" s="276">
        <v>4593909</v>
      </c>
      <c r="L155" s="276">
        <v>-1151951</v>
      </c>
      <c r="M155" s="276">
        <v>-1156637</v>
      </c>
      <c r="N155" s="238">
        <f t="shared" si="11"/>
        <v>-2308588</v>
      </c>
    </row>
    <row r="156" spans="1:14" ht="15.6" x14ac:dyDescent="0.3">
      <c r="A156" s="272">
        <v>34405</v>
      </c>
      <c r="B156" s="274" t="s">
        <v>77</v>
      </c>
      <c r="C156" s="276">
        <v>15490007</v>
      </c>
      <c r="D156" s="259">
        <v>0</v>
      </c>
      <c r="E156" s="281">
        <v>10315</v>
      </c>
      <c r="F156" s="276">
        <v>744523</v>
      </c>
      <c r="G156" s="276">
        <v>0</v>
      </c>
      <c r="H156" s="276">
        <v>780891</v>
      </c>
      <c r="I156" s="259">
        <v>0</v>
      </c>
      <c r="J156" s="276">
        <v>4656975</v>
      </c>
      <c r="K156" s="276">
        <v>1314561</v>
      </c>
      <c r="L156" s="276">
        <v>-228656</v>
      </c>
      <c r="M156" s="276">
        <v>-423410</v>
      </c>
      <c r="N156" s="238">
        <f t="shared" si="11"/>
        <v>-652066</v>
      </c>
    </row>
    <row r="157" spans="1:14" ht="15.6" x14ac:dyDescent="0.3">
      <c r="A157" s="272">
        <v>34500</v>
      </c>
      <c r="B157" s="274" t="s">
        <v>636</v>
      </c>
      <c r="C157" s="276">
        <v>143151572</v>
      </c>
      <c r="D157" s="259">
        <v>0</v>
      </c>
      <c r="E157" s="281">
        <v>95328</v>
      </c>
      <c r="F157" s="276">
        <v>6880539</v>
      </c>
      <c r="G157" s="276">
        <v>1900839</v>
      </c>
      <c r="H157" s="276">
        <v>7216643</v>
      </c>
      <c r="I157" s="259">
        <v>0</v>
      </c>
      <c r="J157" s="276">
        <v>43037637</v>
      </c>
      <c r="K157" s="276">
        <v>2375345</v>
      </c>
      <c r="L157" s="276">
        <v>-2113130</v>
      </c>
      <c r="M157" s="276">
        <v>93917</v>
      </c>
      <c r="N157" s="238">
        <f t="shared" si="11"/>
        <v>-2019213</v>
      </c>
    </row>
    <row r="158" spans="1:14" ht="15.6" x14ac:dyDescent="0.3">
      <c r="A158" s="272">
        <v>34501</v>
      </c>
      <c r="B158" s="274" t="s">
        <v>637</v>
      </c>
      <c r="C158" s="276">
        <v>1925123</v>
      </c>
      <c r="D158" s="259">
        <v>0</v>
      </c>
      <c r="E158" s="281">
        <v>1282</v>
      </c>
      <c r="F158" s="276">
        <v>92530</v>
      </c>
      <c r="G158" s="276">
        <v>269732</v>
      </c>
      <c r="H158" s="276">
        <v>97050</v>
      </c>
      <c r="I158" s="259">
        <v>0</v>
      </c>
      <c r="J158" s="276">
        <v>578776</v>
      </c>
      <c r="K158" s="276">
        <v>61445</v>
      </c>
      <c r="L158" s="276">
        <v>-28418</v>
      </c>
      <c r="M158" s="276">
        <v>63663</v>
      </c>
      <c r="N158" s="238">
        <f t="shared" si="11"/>
        <v>35245</v>
      </c>
    </row>
    <row r="159" spans="1:14" ht="15.6" x14ac:dyDescent="0.3">
      <c r="A159" s="272">
        <v>34505</v>
      </c>
      <c r="B159" s="274" t="s">
        <v>78</v>
      </c>
      <c r="C159" s="276">
        <v>17349694</v>
      </c>
      <c r="D159" s="259">
        <v>0</v>
      </c>
      <c r="E159" s="281">
        <v>11554</v>
      </c>
      <c r="F159" s="276">
        <v>833908</v>
      </c>
      <c r="G159" s="276">
        <v>1348388</v>
      </c>
      <c r="H159" s="276">
        <v>874643</v>
      </c>
      <c r="I159" s="259">
        <v>0</v>
      </c>
      <c r="J159" s="276">
        <v>5216078</v>
      </c>
      <c r="K159" s="276">
        <v>1335868</v>
      </c>
      <c r="L159" s="276">
        <v>-256107</v>
      </c>
      <c r="M159" s="276">
        <v>-9527</v>
      </c>
      <c r="N159" s="238">
        <f t="shared" si="11"/>
        <v>-265634</v>
      </c>
    </row>
    <row r="160" spans="1:14" ht="15.6" x14ac:dyDescent="0.3">
      <c r="A160" s="272">
        <v>34600</v>
      </c>
      <c r="B160" s="274" t="s">
        <v>638</v>
      </c>
      <c r="C160" s="238">
        <v>30987806</v>
      </c>
      <c r="D160" s="259">
        <v>0</v>
      </c>
      <c r="E160" s="280">
        <v>20635</v>
      </c>
      <c r="F160" s="238">
        <v>1489420</v>
      </c>
      <c r="G160" s="238">
        <v>143541</v>
      </c>
      <c r="H160" s="238">
        <v>1562176</v>
      </c>
      <c r="I160" s="259">
        <v>0</v>
      </c>
      <c r="J160" s="238">
        <v>9316293</v>
      </c>
      <c r="K160" s="238">
        <v>2750364</v>
      </c>
      <c r="L160" s="238">
        <v>-457426</v>
      </c>
      <c r="M160" s="238">
        <v>-545188</v>
      </c>
      <c r="N160" s="238">
        <f t="shared" si="11"/>
        <v>-1002614</v>
      </c>
    </row>
    <row r="161" spans="1:14" ht="15.6" x14ac:dyDescent="0.3">
      <c r="A161" s="272">
        <v>34605</v>
      </c>
      <c r="B161" s="274" t="s">
        <v>79</v>
      </c>
      <c r="C161" s="276">
        <v>5925752</v>
      </c>
      <c r="D161" s="259">
        <v>0</v>
      </c>
      <c r="E161" s="281">
        <v>3946</v>
      </c>
      <c r="F161" s="276">
        <v>284820</v>
      </c>
      <c r="G161" s="276">
        <v>0</v>
      </c>
      <c r="H161" s="276">
        <v>298733</v>
      </c>
      <c r="I161" s="259">
        <v>0</v>
      </c>
      <c r="J161" s="276">
        <v>1781541</v>
      </c>
      <c r="K161" s="276">
        <v>1742841</v>
      </c>
      <c r="L161" s="276">
        <v>-87473</v>
      </c>
      <c r="M161" s="276">
        <v>-430336</v>
      </c>
      <c r="N161" s="238">
        <f t="shared" si="11"/>
        <v>-517809</v>
      </c>
    </row>
    <row r="162" spans="1:14" ht="15.6" x14ac:dyDescent="0.3">
      <c r="A162" s="272">
        <v>34700</v>
      </c>
      <c r="B162" s="274" t="s">
        <v>639</v>
      </c>
      <c r="C162" s="276">
        <v>93740796</v>
      </c>
      <c r="D162" s="259">
        <v>0</v>
      </c>
      <c r="E162" s="281">
        <v>62424</v>
      </c>
      <c r="F162" s="276">
        <v>4505624</v>
      </c>
      <c r="G162" s="276">
        <v>826776</v>
      </c>
      <c r="H162" s="276">
        <v>4725717</v>
      </c>
      <c r="I162" s="259">
        <v>0</v>
      </c>
      <c r="J162" s="276">
        <v>28182592</v>
      </c>
      <c r="K162" s="276">
        <v>1682696</v>
      </c>
      <c r="L162" s="276">
        <v>-1383753</v>
      </c>
      <c r="M162" s="276">
        <v>-89977</v>
      </c>
      <c r="N162" s="238">
        <f t="shared" si="11"/>
        <v>-1473730</v>
      </c>
    </row>
    <row r="163" spans="1:14" ht="15.6" x14ac:dyDescent="0.3">
      <c r="A163" s="272">
        <v>34800</v>
      </c>
      <c r="B163" s="274" t="s">
        <v>640</v>
      </c>
      <c r="C163" s="276">
        <v>9954086</v>
      </c>
      <c r="D163" s="259">
        <v>0</v>
      </c>
      <c r="E163" s="281">
        <v>6629</v>
      </c>
      <c r="F163" s="276">
        <v>478440</v>
      </c>
      <c r="G163" s="276">
        <v>735734</v>
      </c>
      <c r="H163" s="276">
        <v>501811</v>
      </c>
      <c r="I163" s="259">
        <v>0</v>
      </c>
      <c r="J163" s="276">
        <v>2992635</v>
      </c>
      <c r="K163" s="276">
        <v>700765</v>
      </c>
      <c r="L163" s="276">
        <v>-146937</v>
      </c>
      <c r="M163" s="276">
        <v>100238</v>
      </c>
      <c r="N163" s="238">
        <f t="shared" si="11"/>
        <v>-46699</v>
      </c>
    </row>
    <row r="164" spans="1:14" ht="15.6" x14ac:dyDescent="0.3">
      <c r="A164" s="272">
        <v>34900</v>
      </c>
      <c r="B164" s="274" t="s">
        <v>851</v>
      </c>
      <c r="C164" s="276">
        <v>198492628</v>
      </c>
      <c r="D164" s="259">
        <v>0</v>
      </c>
      <c r="E164" s="281">
        <v>132180</v>
      </c>
      <c r="F164" s="276">
        <v>9540490</v>
      </c>
      <c r="G164" s="276">
        <v>4269504</v>
      </c>
      <c r="H164" s="276">
        <v>10006529</v>
      </c>
      <c r="I164" s="259">
        <v>0</v>
      </c>
      <c r="J164" s="276">
        <v>59675583</v>
      </c>
      <c r="K164" s="276">
        <v>11766284</v>
      </c>
      <c r="L164" s="276">
        <v>-2930046</v>
      </c>
      <c r="M164" s="276">
        <v>-1226451</v>
      </c>
      <c r="N164" s="238">
        <f t="shared" si="11"/>
        <v>-4156497</v>
      </c>
    </row>
    <row r="165" spans="1:14" ht="15.6" x14ac:dyDescent="0.3">
      <c r="A165" s="272">
        <v>34901</v>
      </c>
      <c r="B165" s="274" t="s">
        <v>852</v>
      </c>
      <c r="C165" s="276">
        <v>5285475</v>
      </c>
      <c r="D165" s="259">
        <v>0</v>
      </c>
      <c r="E165" s="281">
        <v>3520</v>
      </c>
      <c r="F165" s="276">
        <v>254045</v>
      </c>
      <c r="G165" s="276">
        <v>193833</v>
      </c>
      <c r="H165" s="276">
        <v>266455</v>
      </c>
      <c r="I165" s="259">
        <v>0</v>
      </c>
      <c r="J165" s="276">
        <v>1589045</v>
      </c>
      <c r="K165" s="276">
        <v>232283</v>
      </c>
      <c r="L165" s="276">
        <v>-78021</v>
      </c>
      <c r="M165" s="276">
        <v>7404</v>
      </c>
      <c r="N165" s="238">
        <f t="shared" si="11"/>
        <v>-70617</v>
      </c>
    </row>
    <row r="166" spans="1:14" ht="15.6" x14ac:dyDescent="0.3">
      <c r="A166" s="6">
        <v>34903</v>
      </c>
      <c r="B166" s="275" t="s">
        <v>641</v>
      </c>
      <c r="C166" s="239">
        <v>195558</v>
      </c>
      <c r="D166" s="259">
        <v>0</v>
      </c>
      <c r="E166" s="282">
        <v>130</v>
      </c>
      <c r="F166" s="239">
        <v>9399</v>
      </c>
      <c r="G166" s="239">
        <v>7164</v>
      </c>
      <c r="H166" s="239">
        <v>9859</v>
      </c>
      <c r="I166" s="259">
        <v>0</v>
      </c>
      <c r="J166" s="239">
        <v>58793</v>
      </c>
      <c r="K166" s="239">
        <v>131159</v>
      </c>
      <c r="L166" s="239">
        <v>-2887</v>
      </c>
      <c r="M166" s="239">
        <v>-26331</v>
      </c>
      <c r="N166" s="240">
        <f t="shared" si="11"/>
        <v>-29218</v>
      </c>
    </row>
    <row r="167" spans="1:14" ht="15.6" x14ac:dyDescent="0.3">
      <c r="A167" s="6">
        <v>34905</v>
      </c>
      <c r="B167" s="275" t="s">
        <v>80</v>
      </c>
      <c r="C167" s="239">
        <v>18653464</v>
      </c>
      <c r="D167" s="259">
        <v>0</v>
      </c>
      <c r="E167" s="282">
        <v>12422</v>
      </c>
      <c r="F167" s="239">
        <v>896573</v>
      </c>
      <c r="G167" s="239">
        <v>125584</v>
      </c>
      <c r="H167" s="239">
        <v>940370</v>
      </c>
      <c r="I167" s="259">
        <v>0</v>
      </c>
      <c r="J167" s="239">
        <v>5608049</v>
      </c>
      <c r="K167" s="239">
        <v>1382377</v>
      </c>
      <c r="L167" s="239">
        <v>-275353</v>
      </c>
      <c r="M167" s="239">
        <v>-397880</v>
      </c>
      <c r="N167" s="240">
        <f t="shared" si="11"/>
        <v>-673233</v>
      </c>
    </row>
    <row r="168" spans="1:14" ht="15.6" x14ac:dyDescent="0.3">
      <c r="A168" s="6">
        <v>34910</v>
      </c>
      <c r="B168" s="275" t="s">
        <v>642</v>
      </c>
      <c r="C168" s="239">
        <v>62702296</v>
      </c>
      <c r="D168" s="259">
        <v>0</v>
      </c>
      <c r="E168" s="282">
        <v>41755</v>
      </c>
      <c r="F168" s="239">
        <v>3013768</v>
      </c>
      <c r="G168" s="239">
        <v>885741</v>
      </c>
      <c r="H168" s="239">
        <v>3160986</v>
      </c>
      <c r="I168" s="259">
        <v>0</v>
      </c>
      <c r="J168" s="239">
        <v>18851058</v>
      </c>
      <c r="K168" s="239">
        <v>3169429</v>
      </c>
      <c r="L168" s="239">
        <v>-925579</v>
      </c>
      <c r="M168" s="239">
        <v>-387781</v>
      </c>
      <c r="N168" s="240">
        <f t="shared" si="11"/>
        <v>-1313360</v>
      </c>
    </row>
    <row r="169" spans="1:14" ht="15.6" x14ac:dyDescent="0.3">
      <c r="A169" s="6">
        <v>35000</v>
      </c>
      <c r="B169" s="275" t="s">
        <v>643</v>
      </c>
      <c r="C169" s="240">
        <v>42445352</v>
      </c>
      <c r="D169" s="259">
        <v>0</v>
      </c>
      <c r="E169" s="283">
        <v>28265</v>
      </c>
      <c r="F169" s="240">
        <v>2040123</v>
      </c>
      <c r="G169" s="240">
        <v>1357117</v>
      </c>
      <c r="H169" s="240">
        <v>2139780</v>
      </c>
      <c r="I169" s="259">
        <v>0</v>
      </c>
      <c r="J169" s="240">
        <v>12760933</v>
      </c>
      <c r="K169" s="240">
        <v>778344</v>
      </c>
      <c r="L169" s="240">
        <v>-626556</v>
      </c>
      <c r="M169" s="240">
        <v>244294</v>
      </c>
      <c r="N169" s="240">
        <f t="shared" si="11"/>
        <v>-382262</v>
      </c>
    </row>
    <row r="170" spans="1:14" ht="15.6" x14ac:dyDescent="0.3">
      <c r="A170" s="6">
        <v>35005</v>
      </c>
      <c r="B170" s="275" t="s">
        <v>81</v>
      </c>
      <c r="C170" s="239">
        <v>18470293</v>
      </c>
      <c r="D170" s="259">
        <v>0</v>
      </c>
      <c r="E170" s="282">
        <v>12300</v>
      </c>
      <c r="F170" s="239">
        <v>887769</v>
      </c>
      <c r="G170" s="239">
        <v>458508</v>
      </c>
      <c r="H170" s="239">
        <v>931135</v>
      </c>
      <c r="I170" s="259">
        <v>0</v>
      </c>
      <c r="J170" s="239">
        <v>5552979</v>
      </c>
      <c r="K170" s="239">
        <v>1169119</v>
      </c>
      <c r="L170" s="239">
        <v>-272649</v>
      </c>
      <c r="M170" s="239">
        <v>-198393</v>
      </c>
      <c r="N170" s="240">
        <f t="shared" si="11"/>
        <v>-471042</v>
      </c>
    </row>
    <row r="171" spans="1:14" ht="15.6" x14ac:dyDescent="0.3">
      <c r="A171" s="6">
        <v>35100</v>
      </c>
      <c r="B171" s="275" t="s">
        <v>644</v>
      </c>
      <c r="C171" s="239">
        <v>380551709</v>
      </c>
      <c r="D171" s="259">
        <v>0</v>
      </c>
      <c r="E171" s="282">
        <v>253417</v>
      </c>
      <c r="F171" s="239">
        <v>18291107</v>
      </c>
      <c r="G171" s="239">
        <v>13962516</v>
      </c>
      <c r="H171" s="239">
        <v>19184600</v>
      </c>
      <c r="I171" s="259">
        <v>0</v>
      </c>
      <c r="J171" s="239">
        <v>114410522</v>
      </c>
      <c r="K171" s="239">
        <v>3603205</v>
      </c>
      <c r="L171" s="239">
        <v>-5617509</v>
      </c>
      <c r="M171" s="239">
        <v>3863070</v>
      </c>
      <c r="N171" s="240">
        <f t="shared" si="11"/>
        <v>-1754439</v>
      </c>
    </row>
    <row r="172" spans="1:14" ht="15.6" x14ac:dyDescent="0.3">
      <c r="A172" s="272">
        <v>35105</v>
      </c>
      <c r="B172" s="274" t="s">
        <v>82</v>
      </c>
      <c r="C172" s="238">
        <v>31945089</v>
      </c>
      <c r="D172" s="259">
        <v>0</v>
      </c>
      <c r="E172" s="280">
        <v>21273</v>
      </c>
      <c r="F172" s="238">
        <v>1535431</v>
      </c>
      <c r="G172" s="238">
        <v>655708</v>
      </c>
      <c r="H172" s="238">
        <v>1610435</v>
      </c>
      <c r="I172" s="259">
        <v>0</v>
      </c>
      <c r="J172" s="238">
        <v>9604094</v>
      </c>
      <c r="K172" s="238">
        <v>1651390</v>
      </c>
      <c r="L172" s="238">
        <v>-471557</v>
      </c>
      <c r="M172" s="238">
        <v>-382974</v>
      </c>
      <c r="N172" s="238">
        <f t="shared" si="11"/>
        <v>-854531</v>
      </c>
    </row>
    <row r="173" spans="1:14" ht="15.6" x14ac:dyDescent="0.3">
      <c r="A173" s="272">
        <v>35106</v>
      </c>
      <c r="B173" s="274" t="s">
        <v>645</v>
      </c>
      <c r="C173" s="276">
        <v>7946923</v>
      </c>
      <c r="D173" s="259">
        <v>0</v>
      </c>
      <c r="E173" s="281">
        <v>5292</v>
      </c>
      <c r="F173" s="276">
        <v>381967</v>
      </c>
      <c r="G173" s="276">
        <v>64605</v>
      </c>
      <c r="H173" s="276">
        <v>400625</v>
      </c>
      <c r="I173" s="259">
        <v>0</v>
      </c>
      <c r="J173" s="276">
        <v>2389193</v>
      </c>
      <c r="K173" s="276">
        <v>711821</v>
      </c>
      <c r="L173" s="276">
        <v>-117308</v>
      </c>
      <c r="M173" s="276">
        <v>-132426</v>
      </c>
      <c r="N173" s="238">
        <f t="shared" si="11"/>
        <v>-249734</v>
      </c>
    </row>
    <row r="174" spans="1:14" ht="15.6" x14ac:dyDescent="0.3">
      <c r="A174" s="272">
        <v>35200</v>
      </c>
      <c r="B174" s="274" t="s">
        <v>646</v>
      </c>
      <c r="C174" s="276">
        <v>14909916</v>
      </c>
      <c r="D174" s="259">
        <v>0</v>
      </c>
      <c r="E174" s="281">
        <v>9929</v>
      </c>
      <c r="F174" s="276">
        <v>716641</v>
      </c>
      <c r="G174" s="276">
        <v>304773</v>
      </c>
      <c r="H174" s="276">
        <v>751648</v>
      </c>
      <c r="I174" s="259">
        <v>0</v>
      </c>
      <c r="J174" s="276">
        <v>4482574</v>
      </c>
      <c r="K174" s="276">
        <v>1063063</v>
      </c>
      <c r="L174" s="276">
        <v>-220093</v>
      </c>
      <c r="M174" s="276">
        <v>-125663</v>
      </c>
      <c r="N174" s="238">
        <f t="shared" si="11"/>
        <v>-345756</v>
      </c>
    </row>
    <row r="175" spans="1:14" ht="15.6" x14ac:dyDescent="0.3">
      <c r="A175" s="272">
        <v>35300</v>
      </c>
      <c r="B175" s="274" t="s">
        <v>853</v>
      </c>
      <c r="C175" s="276">
        <v>112163956</v>
      </c>
      <c r="D175" s="259">
        <v>0</v>
      </c>
      <c r="E175" s="281">
        <v>74692</v>
      </c>
      <c r="F175" s="276">
        <v>5391128</v>
      </c>
      <c r="G175" s="276">
        <v>8037743</v>
      </c>
      <c r="H175" s="276">
        <v>5654476</v>
      </c>
      <c r="I175" s="259">
        <v>0</v>
      </c>
      <c r="J175" s="276">
        <v>33721401</v>
      </c>
      <c r="K175" s="276">
        <v>6388435</v>
      </c>
      <c r="L175" s="276">
        <v>-1655707</v>
      </c>
      <c r="M175" s="276">
        <v>1275337</v>
      </c>
      <c r="N175" s="238">
        <f t="shared" si="11"/>
        <v>-380370</v>
      </c>
    </row>
    <row r="176" spans="1:14" ht="15.6" x14ac:dyDescent="0.3">
      <c r="A176" s="272">
        <v>35305</v>
      </c>
      <c r="B176" s="274" t="s">
        <v>83</v>
      </c>
      <c r="C176" s="276">
        <v>39430662</v>
      </c>
      <c r="D176" s="259">
        <v>0</v>
      </c>
      <c r="E176" s="281">
        <v>26258</v>
      </c>
      <c r="F176" s="276">
        <v>1895223</v>
      </c>
      <c r="G176" s="276">
        <v>1113348</v>
      </c>
      <c r="H176" s="276">
        <v>1987802</v>
      </c>
      <c r="I176" s="259">
        <v>0</v>
      </c>
      <c r="J176" s="276">
        <v>11854585</v>
      </c>
      <c r="K176" s="276">
        <v>1192700</v>
      </c>
      <c r="L176" s="276">
        <v>-582055</v>
      </c>
      <c r="M176" s="276">
        <v>-72440</v>
      </c>
      <c r="N176" s="238">
        <f t="shared" si="11"/>
        <v>-654495</v>
      </c>
    </row>
    <row r="177" spans="1:14" ht="15.6" x14ac:dyDescent="0.3">
      <c r="A177" s="272">
        <v>35400</v>
      </c>
      <c r="B177" s="274" t="s">
        <v>647</v>
      </c>
      <c r="C177" s="276">
        <v>81729518</v>
      </c>
      <c r="D177" s="259">
        <v>0</v>
      </c>
      <c r="E177" s="281">
        <v>54425</v>
      </c>
      <c r="F177" s="276">
        <v>3928305</v>
      </c>
      <c r="G177" s="276">
        <v>495864</v>
      </c>
      <c r="H177" s="276">
        <v>4120197</v>
      </c>
      <c r="I177" s="259">
        <v>0</v>
      </c>
      <c r="J177" s="276">
        <v>24571475</v>
      </c>
      <c r="K177" s="276">
        <v>3882205</v>
      </c>
      <c r="L177" s="276">
        <v>-1206449</v>
      </c>
      <c r="M177" s="276">
        <v>-705173</v>
      </c>
      <c r="N177" s="238">
        <f t="shared" si="11"/>
        <v>-1911622</v>
      </c>
    </row>
    <row r="178" spans="1:14" ht="15.6" x14ac:dyDescent="0.3">
      <c r="A178" s="6">
        <v>35401</v>
      </c>
      <c r="B178" s="275" t="s">
        <v>648</v>
      </c>
      <c r="C178" s="239">
        <v>866294</v>
      </c>
      <c r="D178" s="259">
        <v>0</v>
      </c>
      <c r="E178" s="282">
        <v>577</v>
      </c>
      <c r="F178" s="239">
        <v>41638</v>
      </c>
      <c r="G178" s="239">
        <v>183579</v>
      </c>
      <c r="H178" s="239">
        <v>43672</v>
      </c>
      <c r="I178" s="259">
        <v>0</v>
      </c>
      <c r="J178" s="239">
        <v>260446</v>
      </c>
      <c r="K178" s="239">
        <v>176782</v>
      </c>
      <c r="L178" s="239">
        <v>-12788</v>
      </c>
      <c r="M178" s="239">
        <v>18197</v>
      </c>
      <c r="N178" s="240">
        <f t="shared" si="11"/>
        <v>5409</v>
      </c>
    </row>
    <row r="179" spans="1:14" ht="15.6" x14ac:dyDescent="0.3">
      <c r="A179" s="6">
        <v>35405</v>
      </c>
      <c r="B179" s="275" t="s">
        <v>84</v>
      </c>
      <c r="C179" s="239">
        <v>26351851</v>
      </c>
      <c r="D179" s="259">
        <v>0</v>
      </c>
      <c r="E179" s="282">
        <v>17548</v>
      </c>
      <c r="F179" s="239">
        <v>1266594</v>
      </c>
      <c r="G179" s="239">
        <v>0</v>
      </c>
      <c r="H179" s="239">
        <v>1328465</v>
      </c>
      <c r="I179" s="259">
        <v>0</v>
      </c>
      <c r="J179" s="239">
        <v>7922521</v>
      </c>
      <c r="K179" s="239">
        <v>2662406</v>
      </c>
      <c r="L179" s="239">
        <v>-388992</v>
      </c>
      <c r="M179" s="239">
        <v>-689043</v>
      </c>
      <c r="N179" s="240">
        <f t="shared" si="11"/>
        <v>-1078035</v>
      </c>
    </row>
    <row r="180" spans="1:14" ht="15.6" x14ac:dyDescent="0.3">
      <c r="A180" s="6">
        <v>35500</v>
      </c>
      <c r="B180" s="275" t="s">
        <v>649</v>
      </c>
      <c r="C180" s="239">
        <v>112292721</v>
      </c>
      <c r="D180" s="259">
        <v>0</v>
      </c>
      <c r="E180" s="282">
        <v>74778</v>
      </c>
      <c r="F180" s="239">
        <v>5397317</v>
      </c>
      <c r="G180" s="239">
        <v>0</v>
      </c>
      <c r="H180" s="239">
        <v>5660968</v>
      </c>
      <c r="I180" s="259">
        <v>0</v>
      </c>
      <c r="J180" s="239">
        <v>33760113</v>
      </c>
      <c r="K180" s="239">
        <v>8720563</v>
      </c>
      <c r="L180" s="239">
        <v>-1657607</v>
      </c>
      <c r="M180" s="239">
        <v>-2057968</v>
      </c>
      <c r="N180" s="240">
        <f t="shared" si="11"/>
        <v>-3715575</v>
      </c>
    </row>
    <row r="181" spans="1:14" ht="15.6" x14ac:dyDescent="0.3">
      <c r="A181" s="6">
        <v>35600</v>
      </c>
      <c r="B181" s="275" t="s">
        <v>650</v>
      </c>
      <c r="C181" s="240">
        <v>47527815</v>
      </c>
      <c r="D181" s="259">
        <v>0</v>
      </c>
      <c r="E181" s="283">
        <v>31650</v>
      </c>
      <c r="F181" s="240">
        <v>2284411</v>
      </c>
      <c r="G181" s="240">
        <v>2031420</v>
      </c>
      <c r="H181" s="240">
        <v>2396001</v>
      </c>
      <c r="I181" s="259">
        <v>0</v>
      </c>
      <c r="J181" s="240">
        <v>14288944</v>
      </c>
      <c r="K181" s="240">
        <v>1973704</v>
      </c>
      <c r="L181" s="240">
        <v>-701581</v>
      </c>
      <c r="M181" s="240">
        <v>262713</v>
      </c>
      <c r="N181" s="240">
        <f t="shared" si="11"/>
        <v>-438868</v>
      </c>
    </row>
    <row r="182" spans="1:14" ht="15.6" x14ac:dyDescent="0.3">
      <c r="A182" s="6">
        <v>35700</v>
      </c>
      <c r="B182" s="275" t="s">
        <v>651</v>
      </c>
      <c r="C182" s="239">
        <v>25585947</v>
      </c>
      <c r="D182" s="259">
        <v>0</v>
      </c>
      <c r="E182" s="282">
        <v>17038</v>
      </c>
      <c r="F182" s="239">
        <v>1229781</v>
      </c>
      <c r="G182" s="239">
        <v>1000527</v>
      </c>
      <c r="H182" s="239">
        <v>1289854</v>
      </c>
      <c r="I182" s="259">
        <v>0</v>
      </c>
      <c r="J182" s="239">
        <v>7692257</v>
      </c>
      <c r="K182" s="239">
        <v>1939218</v>
      </c>
      <c r="L182" s="239">
        <v>-377687</v>
      </c>
      <c r="M182" s="239">
        <v>-121570</v>
      </c>
      <c r="N182" s="240">
        <f t="shared" si="11"/>
        <v>-499257</v>
      </c>
    </row>
    <row r="183" spans="1:14" ht="15.6" x14ac:dyDescent="0.3">
      <c r="A183" s="6">
        <v>35800</v>
      </c>
      <c r="B183" s="275" t="s">
        <v>652</v>
      </c>
      <c r="C183" s="239">
        <v>33971673</v>
      </c>
      <c r="D183" s="259">
        <v>0</v>
      </c>
      <c r="E183" s="282">
        <v>22622</v>
      </c>
      <c r="F183" s="239">
        <v>1632839</v>
      </c>
      <c r="G183" s="239">
        <v>352065</v>
      </c>
      <c r="H183" s="239">
        <v>1712600</v>
      </c>
      <c r="I183" s="259">
        <v>0</v>
      </c>
      <c r="J183" s="239">
        <v>10213374</v>
      </c>
      <c r="K183" s="239">
        <v>3848485</v>
      </c>
      <c r="L183" s="239">
        <v>-501472</v>
      </c>
      <c r="M183" s="239">
        <v>-776460</v>
      </c>
      <c r="N183" s="240">
        <f t="shared" si="11"/>
        <v>-1277932</v>
      </c>
    </row>
    <row r="184" spans="1:14" ht="15.6" x14ac:dyDescent="0.3">
      <c r="A184" s="272">
        <v>35805</v>
      </c>
      <c r="B184" s="274" t="s">
        <v>85</v>
      </c>
      <c r="C184" s="238">
        <v>7051520</v>
      </c>
      <c r="D184" s="259">
        <v>0</v>
      </c>
      <c r="E184" s="280">
        <v>4696</v>
      </c>
      <c r="F184" s="238">
        <v>338929</v>
      </c>
      <c r="G184" s="238">
        <v>1213491</v>
      </c>
      <c r="H184" s="238">
        <v>355485</v>
      </c>
      <c r="I184" s="259">
        <v>0</v>
      </c>
      <c r="J184" s="238">
        <v>2119996</v>
      </c>
      <c r="K184" s="238">
        <v>0</v>
      </c>
      <c r="L184" s="238">
        <v>-104091</v>
      </c>
      <c r="M184" s="238">
        <v>293773</v>
      </c>
      <c r="N184" s="238">
        <f t="shared" si="11"/>
        <v>189682</v>
      </c>
    </row>
    <row r="185" spans="1:14" ht="15.6" x14ac:dyDescent="0.3">
      <c r="A185" s="272">
        <v>35900</v>
      </c>
      <c r="B185" s="274" t="s">
        <v>653</v>
      </c>
      <c r="C185" s="276">
        <v>66438762</v>
      </c>
      <c r="D185" s="259">
        <v>0</v>
      </c>
      <c r="E185" s="281">
        <v>44243</v>
      </c>
      <c r="F185" s="276">
        <v>3193360</v>
      </c>
      <c r="G185" s="276">
        <v>260541</v>
      </c>
      <c r="H185" s="276">
        <v>3349351</v>
      </c>
      <c r="I185" s="259">
        <v>0</v>
      </c>
      <c r="J185" s="276">
        <v>19974404</v>
      </c>
      <c r="K185" s="276">
        <v>4771041</v>
      </c>
      <c r="L185" s="276">
        <v>-980735</v>
      </c>
      <c r="M185" s="276">
        <v>-943238</v>
      </c>
      <c r="N185" s="238">
        <f t="shared" si="11"/>
        <v>-1923973</v>
      </c>
    </row>
    <row r="186" spans="1:14" ht="15.6" x14ac:dyDescent="0.3">
      <c r="A186" s="272">
        <v>35905</v>
      </c>
      <c r="B186" s="274" t="s">
        <v>86</v>
      </c>
      <c r="C186" s="276">
        <v>7749587</v>
      </c>
      <c r="D186" s="259">
        <v>0</v>
      </c>
      <c r="E186" s="281">
        <v>5161</v>
      </c>
      <c r="F186" s="276">
        <v>372482</v>
      </c>
      <c r="G186" s="276">
        <v>0</v>
      </c>
      <c r="H186" s="276">
        <v>390677</v>
      </c>
      <c r="I186" s="259">
        <v>0</v>
      </c>
      <c r="J186" s="276">
        <v>2329865</v>
      </c>
      <c r="K186" s="276">
        <v>1398717</v>
      </c>
      <c r="L186" s="276">
        <v>-114395</v>
      </c>
      <c r="M186" s="276">
        <v>-311231</v>
      </c>
      <c r="N186" s="238">
        <f t="shared" si="11"/>
        <v>-425626</v>
      </c>
    </row>
    <row r="187" spans="1:14" ht="15.6" x14ac:dyDescent="0.3">
      <c r="A187" s="272">
        <v>36000</v>
      </c>
      <c r="B187" s="274" t="s">
        <v>654</v>
      </c>
      <c r="C187" s="276">
        <v>1688233561</v>
      </c>
      <c r="D187" s="259">
        <v>0</v>
      </c>
      <c r="E187" s="281">
        <v>1124229</v>
      </c>
      <c r="F187" s="276">
        <v>81144454</v>
      </c>
      <c r="G187" s="276">
        <v>51794583</v>
      </c>
      <c r="H187" s="276">
        <v>85108239</v>
      </c>
      <c r="I187" s="259">
        <v>0</v>
      </c>
      <c r="J187" s="276">
        <v>507557000</v>
      </c>
      <c r="K187" s="276">
        <v>56282031</v>
      </c>
      <c r="L187" s="276">
        <v>-24920836</v>
      </c>
      <c r="M187" s="276">
        <v>5220418</v>
      </c>
      <c r="N187" s="238">
        <f t="shared" si="11"/>
        <v>-19700418</v>
      </c>
    </row>
    <row r="188" spans="1:14" ht="15.6" x14ac:dyDescent="0.3">
      <c r="A188" s="272">
        <v>36001</v>
      </c>
      <c r="B188" s="274" t="s">
        <v>854</v>
      </c>
      <c r="C188" s="276">
        <v>0</v>
      </c>
      <c r="D188" s="259">
        <v>0</v>
      </c>
      <c r="E188" s="281">
        <v>0</v>
      </c>
      <c r="F188" s="276">
        <v>0</v>
      </c>
      <c r="G188" s="276">
        <v>63726</v>
      </c>
      <c r="H188" s="276">
        <v>0</v>
      </c>
      <c r="I188" s="259">
        <v>0</v>
      </c>
      <c r="J188" s="276">
        <v>0</v>
      </c>
      <c r="K188" s="276">
        <v>873440</v>
      </c>
      <c r="L188" s="276">
        <v>0</v>
      </c>
      <c r="M188" s="276">
        <v>-197118</v>
      </c>
      <c r="N188" s="238">
        <f t="shared" si="11"/>
        <v>-197118</v>
      </c>
    </row>
    <row r="189" spans="1:14" ht="15.6" x14ac:dyDescent="0.3">
      <c r="A189" s="272">
        <v>36002</v>
      </c>
      <c r="B189" s="274" t="s">
        <v>855</v>
      </c>
      <c r="C189" s="276">
        <v>0</v>
      </c>
      <c r="D189" s="259">
        <v>0</v>
      </c>
      <c r="E189" s="281">
        <v>0</v>
      </c>
      <c r="F189" s="276">
        <v>0</v>
      </c>
      <c r="G189" s="276">
        <v>0</v>
      </c>
      <c r="H189" s="276">
        <v>0</v>
      </c>
      <c r="I189" s="259">
        <v>0</v>
      </c>
      <c r="J189" s="276">
        <v>0</v>
      </c>
      <c r="K189" s="276">
        <v>3371812</v>
      </c>
      <c r="L189" s="276">
        <v>0</v>
      </c>
      <c r="M189" s="276">
        <v>-1070064</v>
      </c>
      <c r="N189" s="238">
        <f t="shared" si="11"/>
        <v>-1070064</v>
      </c>
    </row>
    <row r="190" spans="1:14" ht="15.6" x14ac:dyDescent="0.3">
      <c r="A190" s="6">
        <v>36003</v>
      </c>
      <c r="B190" s="275" t="s">
        <v>655</v>
      </c>
      <c r="C190" s="239">
        <v>11542948</v>
      </c>
      <c r="D190" s="259">
        <v>0</v>
      </c>
      <c r="E190" s="282">
        <v>7687</v>
      </c>
      <c r="F190" s="239">
        <v>554808</v>
      </c>
      <c r="G190" s="239">
        <v>232050</v>
      </c>
      <c r="H190" s="239">
        <v>581910</v>
      </c>
      <c r="I190" s="259">
        <v>0</v>
      </c>
      <c r="J190" s="239">
        <v>3470316</v>
      </c>
      <c r="K190" s="239">
        <v>1191381</v>
      </c>
      <c r="L190" s="239">
        <v>-170391</v>
      </c>
      <c r="M190" s="239">
        <v>-199358</v>
      </c>
      <c r="N190" s="240">
        <f t="shared" si="11"/>
        <v>-369749</v>
      </c>
    </row>
    <row r="191" spans="1:14" ht="15.6" x14ac:dyDescent="0.3">
      <c r="A191" s="6">
        <v>36004</v>
      </c>
      <c r="B191" s="275" t="s">
        <v>856</v>
      </c>
      <c r="C191" s="239">
        <v>8121030</v>
      </c>
      <c r="D191" s="259">
        <v>0</v>
      </c>
      <c r="E191" s="282">
        <v>5408</v>
      </c>
      <c r="F191" s="239">
        <v>390335</v>
      </c>
      <c r="G191" s="239">
        <v>1662743</v>
      </c>
      <c r="H191" s="239">
        <v>409402</v>
      </c>
      <c r="I191" s="259">
        <v>0</v>
      </c>
      <c r="J191" s="239">
        <v>2441538</v>
      </c>
      <c r="K191" s="239">
        <v>0</v>
      </c>
      <c r="L191" s="239">
        <v>-119878</v>
      </c>
      <c r="M191" s="239">
        <v>400080</v>
      </c>
      <c r="N191" s="240">
        <f t="shared" si="11"/>
        <v>280202</v>
      </c>
    </row>
    <row r="192" spans="1:14" ht="15.6" x14ac:dyDescent="0.3">
      <c r="A192" s="6">
        <v>36005</v>
      </c>
      <c r="B192" s="275" t="s">
        <v>87</v>
      </c>
      <c r="C192" s="239">
        <v>131177066</v>
      </c>
      <c r="D192" s="259">
        <v>0</v>
      </c>
      <c r="E192" s="282">
        <v>87353</v>
      </c>
      <c r="F192" s="239">
        <v>6304987</v>
      </c>
      <c r="G192" s="239">
        <v>4862616</v>
      </c>
      <c r="H192" s="239">
        <v>6612977</v>
      </c>
      <c r="I192" s="259">
        <v>0</v>
      </c>
      <c r="J192" s="239">
        <v>39437575</v>
      </c>
      <c r="K192" s="239">
        <v>12380634</v>
      </c>
      <c r="L192" s="239">
        <v>-1936368</v>
      </c>
      <c r="M192" s="239">
        <v>-2041739</v>
      </c>
      <c r="N192" s="240">
        <f t="shared" si="11"/>
        <v>-3978107</v>
      </c>
    </row>
    <row r="193" spans="1:14" ht="15.6" x14ac:dyDescent="0.3">
      <c r="A193" s="6">
        <v>36006</v>
      </c>
      <c r="B193" s="275" t="s">
        <v>656</v>
      </c>
      <c r="C193" s="240">
        <v>19479881</v>
      </c>
      <c r="D193" s="259">
        <v>0</v>
      </c>
      <c r="E193" s="283">
        <v>12972</v>
      </c>
      <c r="F193" s="240">
        <v>936295</v>
      </c>
      <c r="G193" s="240">
        <v>3590450</v>
      </c>
      <c r="H193" s="240">
        <v>982031</v>
      </c>
      <c r="I193" s="259">
        <v>0</v>
      </c>
      <c r="J193" s="240">
        <v>5856506</v>
      </c>
      <c r="K193" s="240">
        <v>0</v>
      </c>
      <c r="L193" s="240">
        <v>-287552</v>
      </c>
      <c r="M193" s="240">
        <v>907331</v>
      </c>
      <c r="N193" s="240">
        <f t="shared" ref="N193:N256" si="12">SUM(L193:M193)</f>
        <v>619779</v>
      </c>
    </row>
    <row r="194" spans="1:14" ht="15.6" x14ac:dyDescent="0.3">
      <c r="A194" s="6">
        <v>36007</v>
      </c>
      <c r="B194" s="275" t="s">
        <v>657</v>
      </c>
      <c r="C194" s="239">
        <v>5948404</v>
      </c>
      <c r="D194" s="259">
        <v>0</v>
      </c>
      <c r="E194" s="282">
        <v>3961</v>
      </c>
      <c r="F194" s="239">
        <v>285908</v>
      </c>
      <c r="G194" s="239">
        <v>616368</v>
      </c>
      <c r="H194" s="239">
        <v>299875</v>
      </c>
      <c r="I194" s="259">
        <v>0</v>
      </c>
      <c r="J194" s="239">
        <v>1788351</v>
      </c>
      <c r="K194" s="239">
        <v>0</v>
      </c>
      <c r="L194" s="239">
        <v>-87807</v>
      </c>
      <c r="M194" s="239">
        <v>159722</v>
      </c>
      <c r="N194" s="240">
        <f t="shared" si="12"/>
        <v>71915</v>
      </c>
    </row>
    <row r="195" spans="1:14" ht="15.6" x14ac:dyDescent="0.3">
      <c r="A195" s="6">
        <v>36008</v>
      </c>
      <c r="B195" s="275" t="s">
        <v>658</v>
      </c>
      <c r="C195" s="239">
        <v>16759519</v>
      </c>
      <c r="D195" s="259">
        <v>0</v>
      </c>
      <c r="E195" s="282">
        <v>11161</v>
      </c>
      <c r="F195" s="239">
        <v>805541</v>
      </c>
      <c r="G195" s="239">
        <v>1328346</v>
      </c>
      <c r="H195" s="239">
        <v>844891</v>
      </c>
      <c r="I195" s="259">
        <v>0</v>
      </c>
      <c r="J195" s="239">
        <v>5038646</v>
      </c>
      <c r="K195" s="239">
        <v>1607892</v>
      </c>
      <c r="L195" s="239">
        <v>-247395</v>
      </c>
      <c r="M195" s="239">
        <v>57202</v>
      </c>
      <c r="N195" s="240">
        <f t="shared" si="12"/>
        <v>-190193</v>
      </c>
    </row>
    <row r="196" spans="1:14" ht="15.6" x14ac:dyDescent="0.3">
      <c r="A196" s="272">
        <v>36009</v>
      </c>
      <c r="B196" s="274" t="s">
        <v>659</v>
      </c>
      <c r="C196" s="238">
        <v>3181892</v>
      </c>
      <c r="D196" s="259">
        <v>0</v>
      </c>
      <c r="E196" s="280">
        <v>2119</v>
      </c>
      <c r="F196" s="238">
        <v>152937</v>
      </c>
      <c r="G196" s="238">
        <v>91557</v>
      </c>
      <c r="H196" s="238">
        <v>160407</v>
      </c>
      <c r="I196" s="259">
        <v>0</v>
      </c>
      <c r="J196" s="238">
        <v>956616</v>
      </c>
      <c r="K196" s="238">
        <v>2078870</v>
      </c>
      <c r="L196" s="238">
        <v>-46969</v>
      </c>
      <c r="M196" s="238">
        <v>-447290</v>
      </c>
      <c r="N196" s="238">
        <f t="shared" si="12"/>
        <v>-494259</v>
      </c>
    </row>
    <row r="197" spans="1:14" ht="15.6" x14ac:dyDescent="0.3">
      <c r="A197" s="272">
        <v>36100</v>
      </c>
      <c r="B197" s="274" t="s">
        <v>660</v>
      </c>
      <c r="C197" s="276">
        <v>20242045</v>
      </c>
      <c r="D197" s="259">
        <v>0</v>
      </c>
      <c r="E197" s="281">
        <v>13480</v>
      </c>
      <c r="F197" s="276">
        <v>972928</v>
      </c>
      <c r="G197" s="276">
        <v>108528</v>
      </c>
      <c r="H197" s="276">
        <v>1020454</v>
      </c>
      <c r="I197" s="259">
        <v>0</v>
      </c>
      <c r="J197" s="276">
        <v>6085646</v>
      </c>
      <c r="K197" s="276">
        <v>1136826</v>
      </c>
      <c r="L197" s="276">
        <v>-298803</v>
      </c>
      <c r="M197" s="276">
        <v>-229563</v>
      </c>
      <c r="N197" s="238">
        <f t="shared" si="12"/>
        <v>-528366</v>
      </c>
    </row>
    <row r="198" spans="1:14" ht="15.6" x14ac:dyDescent="0.3">
      <c r="A198" s="272">
        <v>36102</v>
      </c>
      <c r="B198" s="274" t="s">
        <v>661</v>
      </c>
      <c r="C198" s="276">
        <v>7917005</v>
      </c>
      <c r="D198" s="259">
        <v>0</v>
      </c>
      <c r="E198" s="281">
        <v>5272</v>
      </c>
      <c r="F198" s="276">
        <v>380529</v>
      </c>
      <c r="G198" s="276">
        <v>2333565</v>
      </c>
      <c r="H198" s="276">
        <v>399117</v>
      </c>
      <c r="I198" s="259">
        <v>0</v>
      </c>
      <c r="J198" s="276">
        <v>2380199</v>
      </c>
      <c r="K198" s="276">
        <v>0</v>
      </c>
      <c r="L198" s="276">
        <v>-116867</v>
      </c>
      <c r="M198" s="276">
        <v>610515</v>
      </c>
      <c r="N198" s="238">
        <f t="shared" si="12"/>
        <v>493648</v>
      </c>
    </row>
    <row r="199" spans="1:14" ht="15.6" x14ac:dyDescent="0.3">
      <c r="A199" s="272">
        <v>36105</v>
      </c>
      <c r="B199" s="274" t="s">
        <v>88</v>
      </c>
      <c r="C199" s="276">
        <v>9809785</v>
      </c>
      <c r="D199" s="259">
        <v>0</v>
      </c>
      <c r="E199" s="281">
        <v>6533</v>
      </c>
      <c r="F199" s="276">
        <v>471504</v>
      </c>
      <c r="G199" s="276">
        <v>122408</v>
      </c>
      <c r="H199" s="276">
        <v>494537</v>
      </c>
      <c r="I199" s="259">
        <v>0</v>
      </c>
      <c r="J199" s="276">
        <v>2949251</v>
      </c>
      <c r="K199" s="276">
        <v>1260191</v>
      </c>
      <c r="L199" s="276">
        <v>-144807</v>
      </c>
      <c r="M199" s="276">
        <v>-228316</v>
      </c>
      <c r="N199" s="238">
        <f t="shared" si="12"/>
        <v>-373123</v>
      </c>
    </row>
    <row r="200" spans="1:14" ht="15.6" x14ac:dyDescent="0.3">
      <c r="A200" s="272">
        <v>36200</v>
      </c>
      <c r="B200" s="274" t="s">
        <v>662</v>
      </c>
      <c r="C200" s="276">
        <v>40269251</v>
      </c>
      <c r="D200" s="259">
        <v>0</v>
      </c>
      <c r="E200" s="281">
        <v>26816</v>
      </c>
      <c r="F200" s="276">
        <v>1935530</v>
      </c>
      <c r="G200" s="276">
        <v>1176762</v>
      </c>
      <c r="H200" s="276">
        <v>2030078</v>
      </c>
      <c r="I200" s="259">
        <v>0</v>
      </c>
      <c r="J200" s="276">
        <v>12106702</v>
      </c>
      <c r="K200" s="276">
        <v>5336461</v>
      </c>
      <c r="L200" s="276">
        <v>-594434</v>
      </c>
      <c r="M200" s="276">
        <v>-769835</v>
      </c>
      <c r="N200" s="238">
        <f t="shared" si="12"/>
        <v>-1364269</v>
      </c>
    </row>
    <row r="201" spans="1:14" ht="15.6" x14ac:dyDescent="0.3">
      <c r="A201" s="272">
        <v>36205</v>
      </c>
      <c r="B201" s="274" t="s">
        <v>89</v>
      </c>
      <c r="C201" s="276">
        <v>8093303</v>
      </c>
      <c r="D201" s="259">
        <v>0</v>
      </c>
      <c r="E201" s="281">
        <v>5389</v>
      </c>
      <c r="F201" s="276">
        <v>389002</v>
      </c>
      <c r="G201" s="276">
        <v>828201</v>
      </c>
      <c r="H201" s="276">
        <v>408004</v>
      </c>
      <c r="I201" s="259">
        <v>0</v>
      </c>
      <c r="J201" s="276">
        <v>2433202</v>
      </c>
      <c r="K201" s="276">
        <v>314346</v>
      </c>
      <c r="L201" s="276">
        <v>-119469</v>
      </c>
      <c r="M201" s="276">
        <v>90430</v>
      </c>
      <c r="N201" s="238">
        <f t="shared" si="12"/>
        <v>-29039</v>
      </c>
    </row>
    <row r="202" spans="1:14" ht="15.6" x14ac:dyDescent="0.3">
      <c r="A202" s="6">
        <v>36300</v>
      </c>
      <c r="B202" s="275" t="s">
        <v>663</v>
      </c>
      <c r="C202" s="239">
        <v>138173080</v>
      </c>
      <c r="D202" s="259">
        <v>0</v>
      </c>
      <c r="E202" s="282">
        <v>92012</v>
      </c>
      <c r="F202" s="239">
        <v>6641249</v>
      </c>
      <c r="G202" s="239">
        <v>5387868</v>
      </c>
      <c r="H202" s="239">
        <v>6965664</v>
      </c>
      <c r="I202" s="259">
        <v>0</v>
      </c>
      <c r="J202" s="239">
        <v>41540884</v>
      </c>
      <c r="K202" s="239">
        <v>8244188</v>
      </c>
      <c r="L202" s="239">
        <v>-2039640</v>
      </c>
      <c r="M202" s="239">
        <v>-138027</v>
      </c>
      <c r="N202" s="240">
        <f t="shared" si="12"/>
        <v>-2177667</v>
      </c>
    </row>
    <row r="203" spans="1:14" ht="15.6" x14ac:dyDescent="0.3">
      <c r="A203" s="6">
        <v>36301</v>
      </c>
      <c r="B203" s="275" t="s">
        <v>664</v>
      </c>
      <c r="C203" s="239">
        <v>2774246</v>
      </c>
      <c r="D203" s="259">
        <v>0</v>
      </c>
      <c r="E203" s="282">
        <v>1847</v>
      </c>
      <c r="F203" s="239">
        <v>133343</v>
      </c>
      <c r="G203" s="239">
        <v>871195</v>
      </c>
      <c r="H203" s="239">
        <v>139857</v>
      </c>
      <c r="I203" s="259">
        <v>0</v>
      </c>
      <c r="J203" s="239">
        <v>834060</v>
      </c>
      <c r="K203" s="239">
        <v>0</v>
      </c>
      <c r="L203" s="239">
        <v>-40952</v>
      </c>
      <c r="M203" s="239">
        <v>220403</v>
      </c>
      <c r="N203" s="240">
        <f t="shared" si="12"/>
        <v>179451</v>
      </c>
    </row>
    <row r="204" spans="1:14" ht="15.6" x14ac:dyDescent="0.3">
      <c r="A204" s="6">
        <v>36302</v>
      </c>
      <c r="B204" s="275" t="s">
        <v>665</v>
      </c>
      <c r="C204" s="239">
        <v>3970380</v>
      </c>
      <c r="D204" s="259">
        <v>0</v>
      </c>
      <c r="E204" s="282">
        <v>2644</v>
      </c>
      <c r="F204" s="239">
        <v>190835</v>
      </c>
      <c r="G204" s="239">
        <v>436786</v>
      </c>
      <c r="H204" s="239">
        <v>200157</v>
      </c>
      <c r="I204" s="259">
        <v>0</v>
      </c>
      <c r="J204" s="239">
        <v>1193670</v>
      </c>
      <c r="K204" s="239">
        <v>17468</v>
      </c>
      <c r="L204" s="239">
        <v>-58609</v>
      </c>
      <c r="M204" s="239">
        <v>94064</v>
      </c>
      <c r="N204" s="240">
        <f t="shared" si="12"/>
        <v>35455</v>
      </c>
    </row>
    <row r="205" spans="1:14" ht="15.6" x14ac:dyDescent="0.3">
      <c r="A205" s="6">
        <v>36303</v>
      </c>
      <c r="B205" s="275" t="s">
        <v>547</v>
      </c>
      <c r="C205" s="240">
        <v>5854052</v>
      </c>
      <c r="D205" s="259">
        <v>0</v>
      </c>
      <c r="E205" s="283">
        <v>3898</v>
      </c>
      <c r="F205" s="240">
        <v>281373</v>
      </c>
      <c r="G205" s="240">
        <v>5664001</v>
      </c>
      <c r="H205" s="240">
        <v>295118</v>
      </c>
      <c r="I205" s="259">
        <v>0</v>
      </c>
      <c r="J205" s="240">
        <v>1759984</v>
      </c>
      <c r="K205" s="240">
        <v>0</v>
      </c>
      <c r="L205" s="240">
        <v>-86414</v>
      </c>
      <c r="M205" s="240">
        <v>1339133</v>
      </c>
      <c r="N205" s="240">
        <f t="shared" si="12"/>
        <v>1252719</v>
      </c>
    </row>
    <row r="206" spans="1:14" ht="15.6" x14ac:dyDescent="0.3">
      <c r="A206" s="6">
        <v>36305</v>
      </c>
      <c r="B206" s="275" t="s">
        <v>90</v>
      </c>
      <c r="C206" s="239">
        <v>25138046</v>
      </c>
      <c r="D206" s="259">
        <v>0</v>
      </c>
      <c r="E206" s="282">
        <v>16740</v>
      </c>
      <c r="F206" s="239">
        <v>1208253</v>
      </c>
      <c r="G206" s="239">
        <v>0</v>
      </c>
      <c r="H206" s="239">
        <v>1267274</v>
      </c>
      <c r="I206" s="259">
        <v>0</v>
      </c>
      <c r="J206" s="239">
        <v>7557598</v>
      </c>
      <c r="K206" s="239">
        <v>1765559</v>
      </c>
      <c r="L206" s="239">
        <v>-371075</v>
      </c>
      <c r="M206" s="239">
        <v>-555458</v>
      </c>
      <c r="N206" s="240">
        <f t="shared" si="12"/>
        <v>-926533</v>
      </c>
    </row>
    <row r="207" spans="1:14" ht="15.6" x14ac:dyDescent="0.3">
      <c r="A207" s="6">
        <v>36310</v>
      </c>
      <c r="B207" s="275" t="s">
        <v>857</v>
      </c>
      <c r="C207" s="239">
        <v>0</v>
      </c>
      <c r="D207" s="259">
        <v>0</v>
      </c>
      <c r="E207" s="282">
        <v>0</v>
      </c>
      <c r="F207" s="239">
        <v>0</v>
      </c>
      <c r="G207" s="239">
        <v>535767</v>
      </c>
      <c r="H207" s="239">
        <v>0</v>
      </c>
      <c r="I207" s="259">
        <v>0</v>
      </c>
      <c r="J207" s="239">
        <v>0</v>
      </c>
      <c r="K207" s="239">
        <v>719924</v>
      </c>
      <c r="L207" s="239">
        <v>0</v>
      </c>
      <c r="M207" s="239">
        <v>-1392</v>
      </c>
      <c r="N207" s="240">
        <f t="shared" si="12"/>
        <v>-1392</v>
      </c>
    </row>
    <row r="208" spans="1:14" ht="15.6" x14ac:dyDescent="0.3">
      <c r="A208" s="272">
        <v>36400</v>
      </c>
      <c r="B208" s="274" t="s">
        <v>666</v>
      </c>
      <c r="C208" s="238">
        <v>145364768</v>
      </c>
      <c r="D208" s="259">
        <v>0</v>
      </c>
      <c r="E208" s="280">
        <v>96801</v>
      </c>
      <c r="F208" s="238">
        <v>6986915</v>
      </c>
      <c r="G208" s="238">
        <v>8792895</v>
      </c>
      <c r="H208" s="238">
        <v>7328216</v>
      </c>
      <c r="I208" s="259">
        <v>0</v>
      </c>
      <c r="J208" s="238">
        <v>43703020</v>
      </c>
      <c r="K208" s="238">
        <v>16393835</v>
      </c>
      <c r="L208" s="238">
        <v>-2145800</v>
      </c>
      <c r="M208" s="238">
        <v>-674175</v>
      </c>
      <c r="N208" s="238">
        <f t="shared" si="12"/>
        <v>-2819975</v>
      </c>
    </row>
    <row r="209" spans="1:14" ht="15.6" x14ac:dyDescent="0.3">
      <c r="A209" s="272">
        <v>36405</v>
      </c>
      <c r="B209" s="274" t="s">
        <v>91</v>
      </c>
      <c r="C209" s="276">
        <v>23931590</v>
      </c>
      <c r="D209" s="259">
        <v>0</v>
      </c>
      <c r="E209" s="281">
        <v>15937</v>
      </c>
      <c r="F209" s="276">
        <v>1150265</v>
      </c>
      <c r="G209" s="276">
        <v>641148</v>
      </c>
      <c r="H209" s="276">
        <v>1206454</v>
      </c>
      <c r="I209" s="259">
        <v>0</v>
      </c>
      <c r="J209" s="276">
        <v>7194885</v>
      </c>
      <c r="K209" s="276">
        <v>2126362</v>
      </c>
      <c r="L209" s="276">
        <v>-353266</v>
      </c>
      <c r="M209" s="276">
        <v>-291027</v>
      </c>
      <c r="N209" s="238">
        <f t="shared" si="12"/>
        <v>-644293</v>
      </c>
    </row>
    <row r="210" spans="1:14" ht="15.6" x14ac:dyDescent="0.3">
      <c r="A210" s="272">
        <v>36500</v>
      </c>
      <c r="B210" s="274" t="s">
        <v>667</v>
      </c>
      <c r="C210" s="276">
        <v>302393398</v>
      </c>
      <c r="D210" s="259">
        <v>0</v>
      </c>
      <c r="E210" s="281">
        <v>201370</v>
      </c>
      <c r="F210" s="276">
        <v>14534451</v>
      </c>
      <c r="G210" s="276">
        <v>12697329</v>
      </c>
      <c r="H210" s="276">
        <v>15244437</v>
      </c>
      <c r="I210" s="259">
        <v>0</v>
      </c>
      <c r="J210" s="276">
        <v>90912709</v>
      </c>
      <c r="K210" s="276">
        <v>11284257</v>
      </c>
      <c r="L210" s="276">
        <v>-4463776</v>
      </c>
      <c r="M210" s="276">
        <v>1901551</v>
      </c>
      <c r="N210" s="238">
        <f t="shared" si="12"/>
        <v>-2562225</v>
      </c>
    </row>
    <row r="211" spans="1:14" ht="15.6" x14ac:dyDescent="0.3">
      <c r="A211" s="272">
        <v>36501</v>
      </c>
      <c r="B211" s="274" t="s">
        <v>858</v>
      </c>
      <c r="C211" s="276">
        <v>4064007</v>
      </c>
      <c r="D211" s="259">
        <v>0</v>
      </c>
      <c r="E211" s="281">
        <v>2706</v>
      </c>
      <c r="F211" s="276">
        <v>195335</v>
      </c>
      <c r="G211" s="276">
        <v>510956</v>
      </c>
      <c r="H211" s="276">
        <v>204877</v>
      </c>
      <c r="I211" s="259">
        <v>0</v>
      </c>
      <c r="J211" s="276">
        <v>1221819</v>
      </c>
      <c r="K211" s="276">
        <v>146705</v>
      </c>
      <c r="L211" s="276">
        <v>-59991</v>
      </c>
      <c r="M211" s="276">
        <v>118988</v>
      </c>
      <c r="N211" s="238">
        <f t="shared" si="12"/>
        <v>58997</v>
      </c>
    </row>
    <row r="212" spans="1:14" ht="15.6" x14ac:dyDescent="0.3">
      <c r="A212" s="272">
        <v>36502</v>
      </c>
      <c r="B212" s="274" t="s">
        <v>668</v>
      </c>
      <c r="C212" s="276">
        <v>1444802</v>
      </c>
      <c r="D212" s="259">
        <v>0</v>
      </c>
      <c r="E212" s="281">
        <v>962</v>
      </c>
      <c r="F212" s="276">
        <v>69444</v>
      </c>
      <c r="G212" s="276">
        <v>55364</v>
      </c>
      <c r="H212" s="276">
        <v>72836</v>
      </c>
      <c r="I212" s="259">
        <v>0</v>
      </c>
      <c r="J212" s="276">
        <v>434371</v>
      </c>
      <c r="K212" s="276">
        <v>78260</v>
      </c>
      <c r="L212" s="276">
        <v>-21327</v>
      </c>
      <c r="M212" s="276">
        <v>-4340</v>
      </c>
      <c r="N212" s="238">
        <f t="shared" si="12"/>
        <v>-25667</v>
      </c>
    </row>
    <row r="213" spans="1:14" ht="15.6" x14ac:dyDescent="0.3">
      <c r="A213" s="272">
        <v>36505</v>
      </c>
      <c r="B213" s="274" t="s">
        <v>92</v>
      </c>
      <c r="C213" s="276">
        <v>56931162</v>
      </c>
      <c r="D213" s="259">
        <v>0</v>
      </c>
      <c r="E213" s="281">
        <v>37912</v>
      </c>
      <c r="F213" s="276">
        <v>2736380</v>
      </c>
      <c r="G213" s="276">
        <v>386610</v>
      </c>
      <c r="H213" s="276">
        <v>2870048</v>
      </c>
      <c r="I213" s="259">
        <v>0</v>
      </c>
      <c r="J213" s="276">
        <v>17116002</v>
      </c>
      <c r="K213" s="276">
        <v>2103559</v>
      </c>
      <c r="L213" s="276">
        <v>-840389</v>
      </c>
      <c r="M213" s="276">
        <v>-305679</v>
      </c>
      <c r="N213" s="238">
        <f t="shared" si="12"/>
        <v>-1146068</v>
      </c>
    </row>
    <row r="214" spans="1:14" ht="15.6" x14ac:dyDescent="0.3">
      <c r="A214" s="6">
        <v>36600</v>
      </c>
      <c r="B214" s="275" t="s">
        <v>669</v>
      </c>
      <c r="C214" s="239">
        <v>19777685</v>
      </c>
      <c r="D214" s="259">
        <v>0</v>
      </c>
      <c r="E214" s="282">
        <v>13170</v>
      </c>
      <c r="F214" s="239">
        <v>950609</v>
      </c>
      <c r="G214" s="239">
        <v>130410</v>
      </c>
      <c r="H214" s="239">
        <v>997044</v>
      </c>
      <c r="I214" s="259">
        <v>0</v>
      </c>
      <c r="J214" s="239">
        <v>5946039</v>
      </c>
      <c r="K214" s="239">
        <v>2109541</v>
      </c>
      <c r="L214" s="239">
        <v>-291948</v>
      </c>
      <c r="M214" s="239">
        <v>-391200</v>
      </c>
      <c r="N214" s="240">
        <f t="shared" si="12"/>
        <v>-683148</v>
      </c>
    </row>
    <row r="215" spans="1:14" ht="15.6" x14ac:dyDescent="0.3">
      <c r="A215" s="6">
        <v>36601</v>
      </c>
      <c r="B215" s="275" t="s">
        <v>670</v>
      </c>
      <c r="C215" s="239">
        <v>13046049</v>
      </c>
      <c r="D215" s="259">
        <v>0</v>
      </c>
      <c r="E215" s="282">
        <v>8688</v>
      </c>
      <c r="F215" s="239">
        <v>627055</v>
      </c>
      <c r="G215" s="239">
        <v>1388652</v>
      </c>
      <c r="H215" s="239">
        <v>657685</v>
      </c>
      <c r="I215" s="259">
        <v>0</v>
      </c>
      <c r="J215" s="239">
        <v>3922214</v>
      </c>
      <c r="K215" s="239">
        <v>823430</v>
      </c>
      <c r="L215" s="239">
        <v>-192579</v>
      </c>
      <c r="M215" s="239">
        <v>276959</v>
      </c>
      <c r="N215" s="240">
        <f t="shared" si="12"/>
        <v>84380</v>
      </c>
    </row>
    <row r="216" spans="1:14" ht="15.6" x14ac:dyDescent="0.3">
      <c r="A216" s="6">
        <v>36700</v>
      </c>
      <c r="B216" s="275" t="s">
        <v>671</v>
      </c>
      <c r="C216" s="239">
        <v>265038752</v>
      </c>
      <c r="D216" s="259">
        <v>0</v>
      </c>
      <c r="E216" s="282">
        <v>176495</v>
      </c>
      <c r="F216" s="239">
        <v>12739010</v>
      </c>
      <c r="G216" s="239">
        <v>7554438</v>
      </c>
      <c r="H216" s="239">
        <v>13361292</v>
      </c>
      <c r="I216" s="259">
        <v>0</v>
      </c>
      <c r="J216" s="239">
        <v>79682265</v>
      </c>
      <c r="K216" s="239">
        <v>0</v>
      </c>
      <c r="L216" s="239">
        <v>-3912366</v>
      </c>
      <c r="M216" s="239">
        <v>2425607</v>
      </c>
      <c r="N216" s="240">
        <f t="shared" si="12"/>
        <v>-1486759</v>
      </c>
    </row>
    <row r="217" spans="1:14" ht="15.6" x14ac:dyDescent="0.3">
      <c r="A217" s="6">
        <v>36701</v>
      </c>
      <c r="B217" s="275" t="s">
        <v>672</v>
      </c>
      <c r="C217" s="240">
        <v>1269151</v>
      </c>
      <c r="D217" s="259">
        <v>0</v>
      </c>
      <c r="E217" s="283">
        <v>845</v>
      </c>
      <c r="F217" s="240">
        <v>61001</v>
      </c>
      <c r="G217" s="240">
        <v>391565</v>
      </c>
      <c r="H217" s="240">
        <v>63981</v>
      </c>
      <c r="I217" s="259">
        <v>0</v>
      </c>
      <c r="J217" s="240">
        <v>381562</v>
      </c>
      <c r="K217" s="240">
        <v>285494</v>
      </c>
      <c r="L217" s="240">
        <v>-18735</v>
      </c>
      <c r="M217" s="240">
        <v>-11422</v>
      </c>
      <c r="N217" s="240">
        <f t="shared" si="12"/>
        <v>-30157</v>
      </c>
    </row>
    <row r="218" spans="1:14" ht="15.6" x14ac:dyDescent="0.3">
      <c r="A218" s="6">
        <v>36705</v>
      </c>
      <c r="B218" s="275" t="s">
        <v>93</v>
      </c>
      <c r="C218" s="239">
        <v>30013226</v>
      </c>
      <c r="D218" s="259">
        <v>0</v>
      </c>
      <c r="E218" s="282">
        <v>19986</v>
      </c>
      <c r="F218" s="239">
        <v>1442577</v>
      </c>
      <c r="G218" s="239">
        <v>2411476</v>
      </c>
      <c r="H218" s="239">
        <v>1513045</v>
      </c>
      <c r="I218" s="259">
        <v>0</v>
      </c>
      <c r="J218" s="239">
        <v>9023291</v>
      </c>
      <c r="K218" s="239">
        <v>1749085</v>
      </c>
      <c r="L218" s="239">
        <v>-443040</v>
      </c>
      <c r="M218" s="239">
        <v>154394</v>
      </c>
      <c r="N218" s="240">
        <f t="shared" si="12"/>
        <v>-288646</v>
      </c>
    </row>
    <row r="219" spans="1:14" ht="15.6" x14ac:dyDescent="0.3">
      <c r="A219" s="6">
        <v>36800</v>
      </c>
      <c r="B219" s="275" t="s">
        <v>673</v>
      </c>
      <c r="C219" s="239">
        <v>95720788</v>
      </c>
      <c r="D219" s="259">
        <v>0</v>
      </c>
      <c r="E219" s="282">
        <v>63742</v>
      </c>
      <c r="F219" s="239">
        <v>4600792</v>
      </c>
      <c r="G219" s="239">
        <v>3736890</v>
      </c>
      <c r="H219" s="239">
        <v>4825534</v>
      </c>
      <c r="I219" s="259">
        <v>0</v>
      </c>
      <c r="J219" s="239">
        <v>28777864</v>
      </c>
      <c r="K219" s="239">
        <v>6479768</v>
      </c>
      <c r="L219" s="239">
        <v>-1412981</v>
      </c>
      <c r="M219" s="239">
        <v>-77327</v>
      </c>
      <c r="N219" s="240">
        <f t="shared" si="12"/>
        <v>-1490308</v>
      </c>
    </row>
    <row r="220" spans="1:14" ht="15.6" x14ac:dyDescent="0.3">
      <c r="A220" s="272">
        <v>36802</v>
      </c>
      <c r="B220" s="274" t="s">
        <v>674</v>
      </c>
      <c r="C220" s="238">
        <v>5851250</v>
      </c>
      <c r="D220" s="259">
        <v>0</v>
      </c>
      <c r="E220" s="280">
        <v>3896</v>
      </c>
      <c r="F220" s="238">
        <v>281239</v>
      </c>
      <c r="G220" s="238">
        <v>2844684</v>
      </c>
      <c r="H220" s="238">
        <v>294977</v>
      </c>
      <c r="I220" s="259">
        <v>0</v>
      </c>
      <c r="J220" s="238">
        <v>1759142</v>
      </c>
      <c r="K220" s="238">
        <v>0</v>
      </c>
      <c r="L220" s="238">
        <v>-86373</v>
      </c>
      <c r="M220" s="238">
        <v>743217</v>
      </c>
      <c r="N220" s="238">
        <f t="shared" si="12"/>
        <v>656844</v>
      </c>
    </row>
    <row r="221" spans="1:14" ht="15.6" x14ac:dyDescent="0.3">
      <c r="A221" s="272">
        <v>36810</v>
      </c>
      <c r="B221" s="274" t="s">
        <v>859</v>
      </c>
      <c r="C221" s="276">
        <v>187109403</v>
      </c>
      <c r="D221" s="259">
        <v>0</v>
      </c>
      <c r="E221" s="281">
        <v>124600</v>
      </c>
      <c r="F221" s="276">
        <v>8993359</v>
      </c>
      <c r="G221" s="276">
        <v>2816892</v>
      </c>
      <c r="H221" s="276">
        <v>9432671</v>
      </c>
      <c r="I221" s="259">
        <v>0</v>
      </c>
      <c r="J221" s="276">
        <v>56253287</v>
      </c>
      <c r="K221" s="276">
        <v>5905913</v>
      </c>
      <c r="L221" s="276">
        <v>-2762013</v>
      </c>
      <c r="M221" s="276">
        <v>-331754</v>
      </c>
      <c r="N221" s="238">
        <f t="shared" si="12"/>
        <v>-3093767</v>
      </c>
    </row>
    <row r="222" spans="1:14" ht="15.6" x14ac:dyDescent="0.3">
      <c r="A222" s="272">
        <v>36900</v>
      </c>
      <c r="B222" s="274" t="s">
        <v>675</v>
      </c>
      <c r="C222" s="276">
        <v>17482789</v>
      </c>
      <c r="D222" s="259">
        <v>0</v>
      </c>
      <c r="E222" s="281">
        <v>11642</v>
      </c>
      <c r="F222" s="276">
        <v>840305</v>
      </c>
      <c r="G222" s="276">
        <v>567708</v>
      </c>
      <c r="H222" s="276">
        <v>881353</v>
      </c>
      <c r="I222" s="259">
        <v>0</v>
      </c>
      <c r="J222" s="276">
        <v>5256093</v>
      </c>
      <c r="K222" s="276">
        <v>1245145</v>
      </c>
      <c r="L222" s="276">
        <v>-258072</v>
      </c>
      <c r="M222" s="276">
        <v>-99133</v>
      </c>
      <c r="N222" s="238">
        <f t="shared" si="12"/>
        <v>-357205</v>
      </c>
    </row>
    <row r="223" spans="1:14" ht="15.6" x14ac:dyDescent="0.3">
      <c r="A223" s="272">
        <v>36901</v>
      </c>
      <c r="B223" s="274" t="s">
        <v>676</v>
      </c>
      <c r="C223" s="276">
        <v>6994329</v>
      </c>
      <c r="D223" s="259">
        <v>0</v>
      </c>
      <c r="E223" s="281">
        <v>4658</v>
      </c>
      <c r="F223" s="276">
        <v>336180</v>
      </c>
      <c r="G223" s="276">
        <v>1007117</v>
      </c>
      <c r="H223" s="276">
        <v>352602</v>
      </c>
      <c r="I223" s="259">
        <v>0</v>
      </c>
      <c r="J223" s="276">
        <v>2102802</v>
      </c>
      <c r="K223" s="276">
        <v>0</v>
      </c>
      <c r="L223" s="276">
        <v>-103247</v>
      </c>
      <c r="M223" s="276">
        <v>257188</v>
      </c>
      <c r="N223" s="238">
        <f t="shared" si="12"/>
        <v>153941</v>
      </c>
    </row>
    <row r="224" spans="1:14" ht="15.6" x14ac:dyDescent="0.3">
      <c r="A224" s="272">
        <v>36905</v>
      </c>
      <c r="B224" s="274" t="s">
        <v>94</v>
      </c>
      <c r="C224" s="276">
        <v>6506182</v>
      </c>
      <c r="D224" s="259">
        <v>0</v>
      </c>
      <c r="E224" s="281">
        <v>4333</v>
      </c>
      <c r="F224" s="276">
        <v>312718</v>
      </c>
      <c r="G224" s="276">
        <v>1098553</v>
      </c>
      <c r="H224" s="276">
        <v>327994</v>
      </c>
      <c r="I224" s="259">
        <v>0</v>
      </c>
      <c r="J224" s="276">
        <v>1956043</v>
      </c>
      <c r="K224" s="276">
        <v>0</v>
      </c>
      <c r="L224" s="276">
        <v>-96041</v>
      </c>
      <c r="M224" s="276">
        <v>273842</v>
      </c>
      <c r="N224" s="238">
        <f t="shared" si="12"/>
        <v>177801</v>
      </c>
    </row>
    <row r="225" spans="1:14" ht="15.6" x14ac:dyDescent="0.3">
      <c r="A225" s="272">
        <v>37000</v>
      </c>
      <c r="B225" s="274" t="s">
        <v>677</v>
      </c>
      <c r="C225" s="276">
        <v>55769931</v>
      </c>
      <c r="D225" s="259">
        <v>0</v>
      </c>
      <c r="E225" s="281">
        <v>37138</v>
      </c>
      <c r="F225" s="276">
        <v>2680565</v>
      </c>
      <c r="G225" s="276">
        <v>282405</v>
      </c>
      <c r="H225" s="276">
        <v>2811507</v>
      </c>
      <c r="I225" s="259">
        <v>0</v>
      </c>
      <c r="J225" s="276">
        <v>16766886</v>
      </c>
      <c r="K225" s="276">
        <v>6887605</v>
      </c>
      <c r="L225" s="276">
        <v>-823247</v>
      </c>
      <c r="M225" s="276">
        <v>-1398227</v>
      </c>
      <c r="N225" s="238">
        <f t="shared" si="12"/>
        <v>-2221474</v>
      </c>
    </row>
    <row r="226" spans="1:14" ht="15.6" x14ac:dyDescent="0.3">
      <c r="A226" s="6">
        <v>37001</v>
      </c>
      <c r="B226" s="275" t="s">
        <v>860</v>
      </c>
      <c r="C226" s="239">
        <v>3593672</v>
      </c>
      <c r="D226" s="259">
        <v>0</v>
      </c>
      <c r="E226" s="282">
        <v>2393</v>
      </c>
      <c r="F226" s="239">
        <v>172729</v>
      </c>
      <c r="G226" s="239">
        <v>2114144</v>
      </c>
      <c r="H226" s="239">
        <v>181166</v>
      </c>
      <c r="I226" s="259">
        <v>0</v>
      </c>
      <c r="J226" s="239">
        <v>1080415</v>
      </c>
      <c r="K226" s="239">
        <v>0</v>
      </c>
      <c r="L226" s="239">
        <v>-53048</v>
      </c>
      <c r="M226" s="239">
        <v>590995</v>
      </c>
      <c r="N226" s="240">
        <f t="shared" si="12"/>
        <v>537947</v>
      </c>
    </row>
    <row r="227" spans="1:14" ht="15.6" x14ac:dyDescent="0.3">
      <c r="A227" s="6">
        <v>37005</v>
      </c>
      <c r="B227" s="275" t="s">
        <v>95</v>
      </c>
      <c r="C227" s="239">
        <v>13492961</v>
      </c>
      <c r="D227" s="259">
        <v>0</v>
      </c>
      <c r="E227" s="282">
        <v>8985</v>
      </c>
      <c r="F227" s="239">
        <v>648535</v>
      </c>
      <c r="G227" s="239">
        <v>58764</v>
      </c>
      <c r="H227" s="239">
        <v>680215</v>
      </c>
      <c r="I227" s="259">
        <v>0</v>
      </c>
      <c r="J227" s="239">
        <v>4056576</v>
      </c>
      <c r="K227" s="239">
        <v>868334</v>
      </c>
      <c r="L227" s="239">
        <v>-199176</v>
      </c>
      <c r="M227" s="239">
        <v>-199570</v>
      </c>
      <c r="N227" s="240">
        <f t="shared" si="12"/>
        <v>-398746</v>
      </c>
    </row>
    <row r="228" spans="1:14" ht="15.6" x14ac:dyDescent="0.3">
      <c r="A228" s="6">
        <v>37100</v>
      </c>
      <c r="B228" s="275" t="s">
        <v>678</v>
      </c>
      <c r="C228" s="239">
        <v>93128113</v>
      </c>
      <c r="D228" s="259">
        <v>0</v>
      </c>
      <c r="E228" s="282">
        <v>62016</v>
      </c>
      <c r="F228" s="239">
        <v>4476176</v>
      </c>
      <c r="G228" s="239">
        <v>4781242</v>
      </c>
      <c r="H228" s="239">
        <v>4694830</v>
      </c>
      <c r="I228" s="259">
        <v>0</v>
      </c>
      <c r="J228" s="239">
        <v>27998392</v>
      </c>
      <c r="K228" s="239">
        <v>873608</v>
      </c>
      <c r="L228" s="239">
        <v>-1374709</v>
      </c>
      <c r="M228" s="239">
        <v>1249175</v>
      </c>
      <c r="N228" s="240">
        <f t="shared" si="12"/>
        <v>-125534</v>
      </c>
    </row>
    <row r="229" spans="1:14" ht="15.6" x14ac:dyDescent="0.3">
      <c r="A229" s="6">
        <v>37200</v>
      </c>
      <c r="B229" s="275" t="s">
        <v>679</v>
      </c>
      <c r="C229" s="240">
        <v>19584400</v>
      </c>
      <c r="D229" s="259">
        <v>0</v>
      </c>
      <c r="E229" s="283">
        <v>13042</v>
      </c>
      <c r="F229" s="240">
        <v>941318</v>
      </c>
      <c r="G229" s="240">
        <v>768651</v>
      </c>
      <c r="H229" s="240">
        <v>987300</v>
      </c>
      <c r="I229" s="259">
        <v>0</v>
      </c>
      <c r="J229" s="240">
        <v>5887929</v>
      </c>
      <c r="K229" s="240">
        <v>1307464</v>
      </c>
      <c r="L229" s="240">
        <v>-289095</v>
      </c>
      <c r="M229" s="240">
        <v>-44466</v>
      </c>
      <c r="N229" s="240">
        <f t="shared" si="12"/>
        <v>-333561</v>
      </c>
    </row>
    <row r="230" spans="1:14" ht="15.6" x14ac:dyDescent="0.3">
      <c r="A230" s="6">
        <v>37300</v>
      </c>
      <c r="B230" s="275" t="s">
        <v>680</v>
      </c>
      <c r="C230" s="239">
        <v>52738082</v>
      </c>
      <c r="D230" s="259">
        <v>0</v>
      </c>
      <c r="E230" s="282">
        <v>35119</v>
      </c>
      <c r="F230" s="239">
        <v>2534841</v>
      </c>
      <c r="G230" s="239">
        <v>2177124</v>
      </c>
      <c r="H230" s="239">
        <v>2658664</v>
      </c>
      <c r="I230" s="259">
        <v>0</v>
      </c>
      <c r="J230" s="239">
        <v>15855379</v>
      </c>
      <c r="K230" s="239">
        <v>2754619</v>
      </c>
      <c r="L230" s="239">
        <v>-778492</v>
      </c>
      <c r="M230" s="239">
        <v>147843</v>
      </c>
      <c r="N230" s="240">
        <f t="shared" si="12"/>
        <v>-630649</v>
      </c>
    </row>
    <row r="231" spans="1:14" ht="15.6" x14ac:dyDescent="0.3">
      <c r="A231" s="6">
        <v>37301</v>
      </c>
      <c r="B231" s="275" t="s">
        <v>681</v>
      </c>
      <c r="C231" s="239">
        <v>6076147</v>
      </c>
      <c r="D231" s="259">
        <v>0</v>
      </c>
      <c r="E231" s="282">
        <v>4046</v>
      </c>
      <c r="F231" s="239">
        <v>292048</v>
      </c>
      <c r="G231" s="239">
        <v>449897</v>
      </c>
      <c r="H231" s="239">
        <v>306314</v>
      </c>
      <c r="I231" s="259">
        <v>0</v>
      </c>
      <c r="J231" s="239">
        <v>1826756</v>
      </c>
      <c r="K231" s="239">
        <v>236280</v>
      </c>
      <c r="L231" s="239">
        <v>-89693</v>
      </c>
      <c r="M231" s="239">
        <v>84496</v>
      </c>
      <c r="N231" s="240">
        <f t="shared" si="12"/>
        <v>-5197</v>
      </c>
    </row>
    <row r="232" spans="1:14" ht="15.6" x14ac:dyDescent="0.3">
      <c r="A232" s="272">
        <v>37305</v>
      </c>
      <c r="B232" s="274" t="s">
        <v>96</v>
      </c>
      <c r="C232" s="238">
        <v>12516472</v>
      </c>
      <c r="D232" s="259">
        <v>0</v>
      </c>
      <c r="E232" s="280">
        <v>8335</v>
      </c>
      <c r="F232" s="238">
        <v>601601</v>
      </c>
      <c r="G232" s="238">
        <v>0</v>
      </c>
      <c r="H232" s="238">
        <v>630988</v>
      </c>
      <c r="I232" s="259">
        <v>0</v>
      </c>
      <c r="J232" s="238">
        <v>3763000</v>
      </c>
      <c r="K232" s="238">
        <v>1877544</v>
      </c>
      <c r="L232" s="238">
        <v>-184762</v>
      </c>
      <c r="M232" s="238">
        <v>-562649</v>
      </c>
      <c r="N232" s="238">
        <f t="shared" si="12"/>
        <v>-747411</v>
      </c>
    </row>
    <row r="233" spans="1:14" ht="15.6" x14ac:dyDescent="0.3">
      <c r="A233" s="272">
        <v>37400</v>
      </c>
      <c r="B233" s="274" t="s">
        <v>682</v>
      </c>
      <c r="C233" s="276">
        <v>255933196</v>
      </c>
      <c r="D233" s="259">
        <v>0</v>
      </c>
      <c r="E233" s="281">
        <v>170431</v>
      </c>
      <c r="F233" s="276">
        <v>12301354</v>
      </c>
      <c r="G233" s="276">
        <v>3735345</v>
      </c>
      <c r="H233" s="276">
        <v>12902257</v>
      </c>
      <c r="I233" s="259">
        <v>0</v>
      </c>
      <c r="J233" s="276">
        <v>76944736</v>
      </c>
      <c r="K233" s="276">
        <v>6322879</v>
      </c>
      <c r="L233" s="276">
        <v>-3777954</v>
      </c>
      <c r="M233" s="276">
        <v>-326650</v>
      </c>
      <c r="N233" s="238">
        <f t="shared" si="12"/>
        <v>-4104604</v>
      </c>
    </row>
    <row r="234" spans="1:14" ht="15.6" x14ac:dyDescent="0.3">
      <c r="A234" s="272">
        <v>37405</v>
      </c>
      <c r="B234" s="274" t="s">
        <v>97</v>
      </c>
      <c r="C234" s="276">
        <v>52428497</v>
      </c>
      <c r="D234" s="259">
        <v>0</v>
      </c>
      <c r="E234" s="281">
        <v>34913</v>
      </c>
      <c r="F234" s="276">
        <v>2519960</v>
      </c>
      <c r="G234" s="276">
        <v>1343376</v>
      </c>
      <c r="H234" s="276">
        <v>2643057</v>
      </c>
      <c r="I234" s="259">
        <v>0</v>
      </c>
      <c r="J234" s="276">
        <v>15762304</v>
      </c>
      <c r="K234" s="276">
        <v>5674561</v>
      </c>
      <c r="L234" s="276">
        <v>-773923</v>
      </c>
      <c r="M234" s="276">
        <v>-967952</v>
      </c>
      <c r="N234" s="238">
        <f t="shared" si="12"/>
        <v>-1741875</v>
      </c>
    </row>
    <row r="235" spans="1:14" ht="15.6" x14ac:dyDescent="0.3">
      <c r="A235" s="272">
        <v>37500</v>
      </c>
      <c r="B235" s="274" t="s">
        <v>683</v>
      </c>
      <c r="C235" s="276">
        <v>27365871</v>
      </c>
      <c r="D235" s="259">
        <v>0</v>
      </c>
      <c r="E235" s="281">
        <v>18223</v>
      </c>
      <c r="F235" s="276">
        <v>1315333</v>
      </c>
      <c r="G235" s="276">
        <v>169998</v>
      </c>
      <c r="H235" s="276">
        <v>1379585</v>
      </c>
      <c r="I235" s="259">
        <v>0</v>
      </c>
      <c r="J235" s="276">
        <v>8227380</v>
      </c>
      <c r="K235" s="276">
        <v>1703015</v>
      </c>
      <c r="L235" s="276">
        <v>-403961</v>
      </c>
      <c r="M235" s="276">
        <v>-332034</v>
      </c>
      <c r="N235" s="238">
        <f t="shared" si="12"/>
        <v>-735995</v>
      </c>
    </row>
    <row r="236" spans="1:14" ht="15.6" x14ac:dyDescent="0.3">
      <c r="A236" s="272">
        <v>37600</v>
      </c>
      <c r="B236" s="274" t="s">
        <v>684</v>
      </c>
      <c r="C236" s="276">
        <v>165982002</v>
      </c>
      <c r="D236" s="259">
        <v>0</v>
      </c>
      <c r="E236" s="281">
        <v>110531</v>
      </c>
      <c r="F236" s="276">
        <v>7977877</v>
      </c>
      <c r="G236" s="276">
        <v>4060719</v>
      </c>
      <c r="H236" s="276">
        <v>8367584</v>
      </c>
      <c r="I236" s="259">
        <v>0</v>
      </c>
      <c r="J236" s="276">
        <v>49901464</v>
      </c>
      <c r="K236" s="276">
        <v>17698616</v>
      </c>
      <c r="L236" s="276">
        <v>-2450141</v>
      </c>
      <c r="M236" s="276">
        <v>-2554020</v>
      </c>
      <c r="N236" s="238">
        <f t="shared" si="12"/>
        <v>-5004161</v>
      </c>
    </row>
    <row r="237" spans="1:14" ht="15.6" x14ac:dyDescent="0.3">
      <c r="A237" s="272">
        <v>37601</v>
      </c>
      <c r="B237" s="274" t="s">
        <v>685</v>
      </c>
      <c r="C237" s="276">
        <v>13119805</v>
      </c>
      <c r="D237" s="259">
        <v>0</v>
      </c>
      <c r="E237" s="281">
        <v>8737</v>
      </c>
      <c r="F237" s="276">
        <v>630600</v>
      </c>
      <c r="G237" s="276">
        <v>7197046</v>
      </c>
      <c r="H237" s="276">
        <v>661403</v>
      </c>
      <c r="I237" s="259">
        <v>0</v>
      </c>
      <c r="J237" s="276">
        <v>3944388</v>
      </c>
      <c r="K237" s="276">
        <v>0</v>
      </c>
      <c r="L237" s="276">
        <v>-193668</v>
      </c>
      <c r="M237" s="276">
        <v>1680108</v>
      </c>
      <c r="N237" s="238">
        <f t="shared" si="12"/>
        <v>1486440</v>
      </c>
    </row>
    <row r="238" spans="1:14" ht="15.6" x14ac:dyDescent="0.3">
      <c r="A238" s="272">
        <v>37605</v>
      </c>
      <c r="B238" s="274" t="s">
        <v>98</v>
      </c>
      <c r="C238" s="238">
        <v>20652286</v>
      </c>
      <c r="D238" s="259">
        <v>0</v>
      </c>
      <c r="E238" s="280">
        <v>13753</v>
      </c>
      <c r="F238" s="238">
        <v>992646</v>
      </c>
      <c r="G238" s="238">
        <v>336616</v>
      </c>
      <c r="H238" s="238">
        <v>1041135</v>
      </c>
      <c r="I238" s="259">
        <v>0</v>
      </c>
      <c r="J238" s="238">
        <v>6208982</v>
      </c>
      <c r="K238" s="238">
        <v>906994</v>
      </c>
      <c r="L238" s="238">
        <v>-304858</v>
      </c>
      <c r="M238" s="238">
        <v>-138475</v>
      </c>
      <c r="N238" s="238">
        <f t="shared" si="12"/>
        <v>-443333</v>
      </c>
    </row>
    <row r="239" spans="1:14" ht="15.6" x14ac:dyDescent="0.3">
      <c r="A239" s="272">
        <v>37610</v>
      </c>
      <c r="B239" s="274" t="s">
        <v>686</v>
      </c>
      <c r="C239" s="276">
        <v>52418497</v>
      </c>
      <c r="D239" s="259">
        <v>0</v>
      </c>
      <c r="E239" s="281">
        <v>34907</v>
      </c>
      <c r="F239" s="276">
        <v>2519480</v>
      </c>
      <c r="G239" s="276">
        <v>2151006</v>
      </c>
      <c r="H239" s="276">
        <v>2642553</v>
      </c>
      <c r="I239" s="259">
        <v>0</v>
      </c>
      <c r="J239" s="276">
        <v>15759298</v>
      </c>
      <c r="K239" s="276">
        <v>4970269</v>
      </c>
      <c r="L239" s="276">
        <v>-773775</v>
      </c>
      <c r="M239" s="276">
        <v>-467309</v>
      </c>
      <c r="N239" s="238">
        <f t="shared" si="12"/>
        <v>-1241084</v>
      </c>
    </row>
    <row r="240" spans="1:14" ht="15.6" x14ac:dyDescent="0.3">
      <c r="A240" s="272">
        <v>37700</v>
      </c>
      <c r="B240" s="274" t="s">
        <v>687</v>
      </c>
      <c r="C240" s="276">
        <v>72121857</v>
      </c>
      <c r="D240" s="259">
        <v>0</v>
      </c>
      <c r="E240" s="281">
        <v>48027</v>
      </c>
      <c r="F240" s="276">
        <v>3466516</v>
      </c>
      <c r="G240" s="276">
        <v>809439</v>
      </c>
      <c r="H240" s="276">
        <v>3635850</v>
      </c>
      <c r="I240" s="259">
        <v>0</v>
      </c>
      <c r="J240" s="276">
        <v>21682991</v>
      </c>
      <c r="K240" s="276">
        <v>4643401</v>
      </c>
      <c r="L240" s="276">
        <v>-1064626</v>
      </c>
      <c r="M240" s="276">
        <v>-778842</v>
      </c>
      <c r="N240" s="238">
        <f t="shared" si="12"/>
        <v>-1843468</v>
      </c>
    </row>
    <row r="241" spans="1:14" ht="15.6" x14ac:dyDescent="0.3">
      <c r="A241" s="272">
        <v>37705</v>
      </c>
      <c r="B241" s="274" t="s">
        <v>99</v>
      </c>
      <c r="C241" s="276">
        <v>21919804</v>
      </c>
      <c r="D241" s="259">
        <v>0</v>
      </c>
      <c r="E241" s="281">
        <v>14597</v>
      </c>
      <c r="F241" s="276">
        <v>1053569</v>
      </c>
      <c r="G241" s="276">
        <v>1133496</v>
      </c>
      <c r="H241" s="276">
        <v>1105034</v>
      </c>
      <c r="I241" s="259">
        <v>0</v>
      </c>
      <c r="J241" s="276">
        <v>6590054</v>
      </c>
      <c r="K241" s="276">
        <v>996570</v>
      </c>
      <c r="L241" s="276">
        <v>-323569</v>
      </c>
      <c r="M241" s="276">
        <v>25840</v>
      </c>
      <c r="N241" s="238">
        <f t="shared" si="12"/>
        <v>-297729</v>
      </c>
    </row>
    <row r="242" spans="1:14" ht="15.6" x14ac:dyDescent="0.3">
      <c r="A242" s="272">
        <v>37800</v>
      </c>
      <c r="B242" s="274" t="s">
        <v>688</v>
      </c>
      <c r="C242" s="276">
        <v>225729259</v>
      </c>
      <c r="D242" s="259">
        <v>0</v>
      </c>
      <c r="E242" s="281">
        <v>150318</v>
      </c>
      <c r="F242" s="276">
        <v>10849611</v>
      </c>
      <c r="G242" s="276">
        <v>5498232</v>
      </c>
      <c r="H242" s="276">
        <v>11379598</v>
      </c>
      <c r="I242" s="259">
        <v>0</v>
      </c>
      <c r="J242" s="276">
        <v>67864108</v>
      </c>
      <c r="K242" s="276">
        <v>10048409</v>
      </c>
      <c r="L242" s="276">
        <v>-3332099</v>
      </c>
      <c r="M242" s="276">
        <v>-292831</v>
      </c>
      <c r="N242" s="238">
        <f t="shared" si="12"/>
        <v>-3624930</v>
      </c>
    </row>
    <row r="243" spans="1:14" ht="15.6" x14ac:dyDescent="0.3">
      <c r="A243" s="272">
        <v>37801</v>
      </c>
      <c r="B243" s="274" t="s">
        <v>689</v>
      </c>
      <c r="C243" s="276">
        <v>1856316</v>
      </c>
      <c r="D243" s="259">
        <v>0</v>
      </c>
      <c r="E243" s="281">
        <v>1236</v>
      </c>
      <c r="F243" s="276">
        <v>89223</v>
      </c>
      <c r="G243" s="276">
        <v>322014</v>
      </c>
      <c r="H243" s="276">
        <v>93582</v>
      </c>
      <c r="I243" s="259">
        <v>0</v>
      </c>
      <c r="J243" s="276">
        <v>558090</v>
      </c>
      <c r="K243" s="276">
        <v>70585</v>
      </c>
      <c r="L243" s="276">
        <v>-27402</v>
      </c>
      <c r="M243" s="276">
        <v>92744</v>
      </c>
      <c r="N243" s="238">
        <f t="shared" si="12"/>
        <v>65342</v>
      </c>
    </row>
    <row r="244" spans="1:14" ht="15.6" x14ac:dyDescent="0.3">
      <c r="A244" s="6">
        <v>37805</v>
      </c>
      <c r="B244" s="275" t="s">
        <v>100</v>
      </c>
      <c r="C244" s="239">
        <v>15350675</v>
      </c>
      <c r="D244" s="259">
        <v>0</v>
      </c>
      <c r="E244" s="282">
        <v>10222</v>
      </c>
      <c r="F244" s="239">
        <v>737826</v>
      </c>
      <c r="G244" s="239">
        <v>333772</v>
      </c>
      <c r="H244" s="239">
        <v>773867</v>
      </c>
      <c r="I244" s="259">
        <v>0</v>
      </c>
      <c r="J244" s="239">
        <v>4615086</v>
      </c>
      <c r="K244" s="239">
        <v>3182547</v>
      </c>
      <c r="L244" s="239">
        <v>-226599</v>
      </c>
      <c r="M244" s="239">
        <v>-709928</v>
      </c>
      <c r="N244" s="240">
        <f t="shared" si="12"/>
        <v>-936527</v>
      </c>
    </row>
    <row r="245" spans="1:14" ht="15.6" x14ac:dyDescent="0.3">
      <c r="A245" s="6">
        <v>37900</v>
      </c>
      <c r="B245" s="275" t="s">
        <v>690</v>
      </c>
      <c r="C245" s="239">
        <v>110197980</v>
      </c>
      <c r="D245" s="259">
        <v>0</v>
      </c>
      <c r="E245" s="282">
        <v>73383</v>
      </c>
      <c r="F245" s="239">
        <v>5296634</v>
      </c>
      <c r="G245" s="239">
        <v>1229721</v>
      </c>
      <c r="H245" s="239">
        <v>5555366</v>
      </c>
      <c r="I245" s="259">
        <v>0</v>
      </c>
      <c r="J245" s="239">
        <v>33130343</v>
      </c>
      <c r="K245" s="239">
        <v>15778168</v>
      </c>
      <c r="L245" s="239">
        <v>-1626686</v>
      </c>
      <c r="M245" s="239">
        <v>-3062092</v>
      </c>
      <c r="N245" s="240">
        <f t="shared" si="12"/>
        <v>-4688778</v>
      </c>
    </row>
    <row r="246" spans="1:14" ht="15.6" x14ac:dyDescent="0.3">
      <c r="A246" s="6">
        <v>37901</v>
      </c>
      <c r="B246" s="275" t="s">
        <v>691</v>
      </c>
      <c r="C246" s="239">
        <v>2721530</v>
      </c>
      <c r="D246" s="259">
        <v>0</v>
      </c>
      <c r="E246" s="282">
        <v>1812</v>
      </c>
      <c r="F246" s="239">
        <v>130810</v>
      </c>
      <c r="G246" s="239">
        <v>992194</v>
      </c>
      <c r="H246" s="239">
        <v>137199</v>
      </c>
      <c r="I246" s="259">
        <v>0</v>
      </c>
      <c r="J246" s="239">
        <v>818211</v>
      </c>
      <c r="K246" s="239">
        <v>66768</v>
      </c>
      <c r="L246" s="239">
        <v>-40174</v>
      </c>
      <c r="M246" s="239">
        <v>204492</v>
      </c>
      <c r="N246" s="240">
        <f t="shared" si="12"/>
        <v>164318</v>
      </c>
    </row>
    <row r="247" spans="1:14" ht="15.6" x14ac:dyDescent="0.3">
      <c r="A247" s="6">
        <v>37905</v>
      </c>
      <c r="B247" s="275" t="s">
        <v>101</v>
      </c>
      <c r="C247" s="240">
        <v>12488981</v>
      </c>
      <c r="D247" s="259">
        <v>0</v>
      </c>
      <c r="E247" s="283">
        <v>8317</v>
      </c>
      <c r="F247" s="240">
        <v>600279</v>
      </c>
      <c r="G247" s="240">
        <v>0</v>
      </c>
      <c r="H247" s="240">
        <v>629602</v>
      </c>
      <c r="I247" s="259">
        <v>0</v>
      </c>
      <c r="J247" s="240">
        <v>3754735</v>
      </c>
      <c r="K247" s="240">
        <v>1459793</v>
      </c>
      <c r="L247" s="240">
        <v>-184356</v>
      </c>
      <c r="M247" s="240">
        <v>-328350</v>
      </c>
      <c r="N247" s="240">
        <f t="shared" si="12"/>
        <v>-512706</v>
      </c>
    </row>
    <row r="248" spans="1:14" ht="15.6" x14ac:dyDescent="0.3">
      <c r="A248" s="6">
        <v>38000</v>
      </c>
      <c r="B248" s="275" t="s">
        <v>692</v>
      </c>
      <c r="C248" s="239">
        <v>198371446</v>
      </c>
      <c r="D248" s="259">
        <v>0</v>
      </c>
      <c r="E248" s="282">
        <v>132100</v>
      </c>
      <c r="F248" s="239">
        <v>9534666</v>
      </c>
      <c r="G248" s="239">
        <v>6099294</v>
      </c>
      <c r="H248" s="239">
        <v>10000420</v>
      </c>
      <c r="I248" s="259">
        <v>0</v>
      </c>
      <c r="J248" s="239">
        <v>59639151</v>
      </c>
      <c r="K248" s="239">
        <v>9450596</v>
      </c>
      <c r="L248" s="239">
        <v>-2928257</v>
      </c>
      <c r="M248" s="239">
        <v>19148</v>
      </c>
      <c r="N248" s="240">
        <f t="shared" si="12"/>
        <v>-2909109</v>
      </c>
    </row>
    <row r="249" spans="1:14" ht="15.6" x14ac:dyDescent="0.3">
      <c r="A249" s="6">
        <v>38005</v>
      </c>
      <c r="B249" s="275" t="s">
        <v>102</v>
      </c>
      <c r="C249" s="239">
        <v>37241916</v>
      </c>
      <c r="D249" s="259">
        <v>0</v>
      </c>
      <c r="E249" s="282">
        <v>24800</v>
      </c>
      <c r="F249" s="239">
        <v>1790022</v>
      </c>
      <c r="G249" s="239">
        <v>533455</v>
      </c>
      <c r="H249" s="239">
        <v>1877462</v>
      </c>
      <c r="I249" s="259">
        <v>0</v>
      </c>
      <c r="J249" s="239">
        <v>11196552</v>
      </c>
      <c r="K249" s="239">
        <v>3623967</v>
      </c>
      <c r="L249" s="239">
        <v>-549746</v>
      </c>
      <c r="M249" s="239">
        <v>-1086294</v>
      </c>
      <c r="N249" s="240">
        <f t="shared" si="12"/>
        <v>-1636040</v>
      </c>
    </row>
    <row r="250" spans="1:14" ht="15.6" x14ac:dyDescent="0.3">
      <c r="A250" s="272">
        <v>38100</v>
      </c>
      <c r="B250" s="274" t="s">
        <v>693</v>
      </c>
      <c r="C250" s="238">
        <v>89175142</v>
      </c>
      <c r="D250" s="259">
        <v>0</v>
      </c>
      <c r="E250" s="280">
        <v>59384</v>
      </c>
      <c r="F250" s="238">
        <v>4286177</v>
      </c>
      <c r="G250" s="238">
        <v>783057</v>
      </c>
      <c r="H250" s="238">
        <v>4495551</v>
      </c>
      <c r="I250" s="259">
        <v>0</v>
      </c>
      <c r="J250" s="238">
        <v>26809956</v>
      </c>
      <c r="K250" s="238">
        <v>2118650</v>
      </c>
      <c r="L250" s="238">
        <v>-1316358</v>
      </c>
      <c r="M250" s="238">
        <v>-169610</v>
      </c>
      <c r="N250" s="238">
        <f t="shared" si="12"/>
        <v>-1485968</v>
      </c>
    </row>
    <row r="251" spans="1:14" ht="15.6" x14ac:dyDescent="0.3">
      <c r="A251" s="272">
        <v>38105</v>
      </c>
      <c r="B251" s="274" t="s">
        <v>103</v>
      </c>
      <c r="C251" s="276">
        <v>16636843</v>
      </c>
      <c r="D251" s="259">
        <v>0</v>
      </c>
      <c r="E251" s="281">
        <v>11079</v>
      </c>
      <c r="F251" s="276">
        <v>799645</v>
      </c>
      <c r="G251" s="276">
        <v>0</v>
      </c>
      <c r="H251" s="276">
        <v>838706</v>
      </c>
      <c r="I251" s="259">
        <v>0</v>
      </c>
      <c r="J251" s="276">
        <v>5001764</v>
      </c>
      <c r="K251" s="276">
        <v>1856273</v>
      </c>
      <c r="L251" s="276">
        <v>-245585</v>
      </c>
      <c r="M251" s="276">
        <v>-515185</v>
      </c>
      <c r="N251" s="238">
        <f t="shared" si="12"/>
        <v>-760770</v>
      </c>
    </row>
    <row r="252" spans="1:14" ht="15.6" x14ac:dyDescent="0.3">
      <c r="A252" s="272">
        <v>38200</v>
      </c>
      <c r="B252" s="274" t="s">
        <v>694</v>
      </c>
      <c r="C252" s="276">
        <v>82489853</v>
      </c>
      <c r="D252" s="259">
        <v>0</v>
      </c>
      <c r="E252" s="281">
        <v>54932</v>
      </c>
      <c r="F252" s="276">
        <v>3964851</v>
      </c>
      <c r="G252" s="276">
        <v>244695</v>
      </c>
      <c r="H252" s="276">
        <v>4158528</v>
      </c>
      <c r="I252" s="259">
        <v>0</v>
      </c>
      <c r="J252" s="276">
        <v>24800065</v>
      </c>
      <c r="K252" s="276">
        <v>6687148</v>
      </c>
      <c r="L252" s="276">
        <v>-1217673</v>
      </c>
      <c r="M252" s="276">
        <v>-1432698</v>
      </c>
      <c r="N252" s="238">
        <f t="shared" si="12"/>
        <v>-2650371</v>
      </c>
    </row>
    <row r="253" spans="1:14" ht="15.6" x14ac:dyDescent="0.3">
      <c r="A253" s="272">
        <v>38205</v>
      </c>
      <c r="B253" s="274" t="s">
        <v>104</v>
      </c>
      <c r="C253" s="276">
        <v>11795730</v>
      </c>
      <c r="D253" s="259">
        <v>0</v>
      </c>
      <c r="E253" s="281">
        <v>7855</v>
      </c>
      <c r="F253" s="276">
        <v>566958</v>
      </c>
      <c r="G253" s="276">
        <v>145552</v>
      </c>
      <c r="H253" s="276">
        <v>594653</v>
      </c>
      <c r="I253" s="259">
        <v>0</v>
      </c>
      <c r="J253" s="276">
        <v>3546313</v>
      </c>
      <c r="K253" s="276">
        <v>314385</v>
      </c>
      <c r="L253" s="276">
        <v>-174122</v>
      </c>
      <c r="M253" s="276">
        <v>-55138</v>
      </c>
      <c r="N253" s="238">
        <f t="shared" si="12"/>
        <v>-229260</v>
      </c>
    </row>
    <row r="254" spans="1:14" ht="15.6" x14ac:dyDescent="0.3">
      <c r="A254" s="272">
        <v>38210</v>
      </c>
      <c r="B254" s="274" t="s">
        <v>695</v>
      </c>
      <c r="C254" s="276">
        <v>31867898</v>
      </c>
      <c r="D254" s="259">
        <v>0</v>
      </c>
      <c r="E254" s="281">
        <v>21221</v>
      </c>
      <c r="F254" s="276">
        <v>1531721</v>
      </c>
      <c r="G254" s="276">
        <v>877005</v>
      </c>
      <c r="H254" s="276">
        <v>1606544</v>
      </c>
      <c r="I254" s="259">
        <v>0</v>
      </c>
      <c r="J254" s="276">
        <v>9580887</v>
      </c>
      <c r="K254" s="276">
        <v>1952739</v>
      </c>
      <c r="L254" s="276">
        <v>-470418</v>
      </c>
      <c r="M254" s="276">
        <v>-133035</v>
      </c>
      <c r="N254" s="238">
        <f t="shared" si="12"/>
        <v>-603453</v>
      </c>
    </row>
    <row r="255" spans="1:14" ht="15.6" x14ac:dyDescent="0.3">
      <c r="A255" s="272">
        <v>38300</v>
      </c>
      <c r="B255" s="274" t="s">
        <v>696</v>
      </c>
      <c r="C255" s="276">
        <v>63900498</v>
      </c>
      <c r="D255" s="259">
        <v>0</v>
      </c>
      <c r="E255" s="281">
        <v>42553</v>
      </c>
      <c r="F255" s="276">
        <v>3071359</v>
      </c>
      <c r="G255" s="276">
        <v>805104</v>
      </c>
      <c r="H255" s="276">
        <v>3221390</v>
      </c>
      <c r="I255" s="259">
        <v>0</v>
      </c>
      <c r="J255" s="276">
        <v>19211290</v>
      </c>
      <c r="K255" s="276">
        <v>6494980</v>
      </c>
      <c r="L255" s="276">
        <v>-943266</v>
      </c>
      <c r="M255" s="276">
        <v>-1150480</v>
      </c>
      <c r="N255" s="238">
        <f t="shared" si="12"/>
        <v>-2093746</v>
      </c>
    </row>
    <row r="256" spans="1:14" ht="15.6" x14ac:dyDescent="0.3">
      <c r="A256" s="6">
        <v>38400</v>
      </c>
      <c r="B256" s="275" t="s">
        <v>697</v>
      </c>
      <c r="C256" s="239">
        <v>79491373</v>
      </c>
      <c r="D256" s="259">
        <v>0</v>
      </c>
      <c r="E256" s="282">
        <v>52935</v>
      </c>
      <c r="F256" s="239">
        <v>3820730</v>
      </c>
      <c r="G256" s="239">
        <v>927621</v>
      </c>
      <c r="H256" s="239">
        <v>4007367</v>
      </c>
      <c r="I256" s="259">
        <v>0</v>
      </c>
      <c r="J256" s="239">
        <v>23898591</v>
      </c>
      <c r="K256" s="239">
        <v>7664897</v>
      </c>
      <c r="L256" s="239">
        <v>-1173411</v>
      </c>
      <c r="M256" s="239">
        <v>-1331489</v>
      </c>
      <c r="N256" s="240">
        <f t="shared" si="12"/>
        <v>-2504900</v>
      </c>
    </row>
    <row r="257" spans="1:14" ht="15.6" x14ac:dyDescent="0.3">
      <c r="A257" s="6">
        <v>38402</v>
      </c>
      <c r="B257" s="275" t="s">
        <v>698</v>
      </c>
      <c r="C257" s="239">
        <v>6453879</v>
      </c>
      <c r="D257" s="259">
        <v>0</v>
      </c>
      <c r="E257" s="282">
        <v>4298</v>
      </c>
      <c r="F257" s="239">
        <v>310204</v>
      </c>
      <c r="G257" s="239">
        <v>3092360</v>
      </c>
      <c r="H257" s="239">
        <v>325357</v>
      </c>
      <c r="I257" s="259">
        <v>0</v>
      </c>
      <c r="J257" s="239">
        <v>1940319</v>
      </c>
      <c r="K257" s="239">
        <v>0</v>
      </c>
      <c r="L257" s="239">
        <v>-95269</v>
      </c>
      <c r="M257" s="239">
        <v>770193</v>
      </c>
      <c r="N257" s="240">
        <f t="shared" ref="N257:N311" si="13">SUM(L257:M257)</f>
        <v>674924</v>
      </c>
    </row>
    <row r="258" spans="1:14" ht="15.6" x14ac:dyDescent="0.3">
      <c r="A258" s="6">
        <v>38405</v>
      </c>
      <c r="B258" s="275" t="s">
        <v>105</v>
      </c>
      <c r="C258" s="239">
        <v>20209466</v>
      </c>
      <c r="D258" s="259">
        <v>0</v>
      </c>
      <c r="E258" s="282">
        <v>13458</v>
      </c>
      <c r="F258" s="239">
        <v>971362</v>
      </c>
      <c r="G258" s="239">
        <v>1414644</v>
      </c>
      <c r="H258" s="239">
        <v>1018812</v>
      </c>
      <c r="I258" s="259">
        <v>0</v>
      </c>
      <c r="J258" s="239">
        <v>6075851</v>
      </c>
      <c r="K258" s="239">
        <v>3060430</v>
      </c>
      <c r="L258" s="239">
        <v>-298322</v>
      </c>
      <c r="M258" s="239">
        <v>-347435</v>
      </c>
      <c r="N258" s="240">
        <f t="shared" si="13"/>
        <v>-645757</v>
      </c>
    </row>
    <row r="259" spans="1:14" ht="15.6" x14ac:dyDescent="0.3">
      <c r="A259" s="6">
        <v>38500</v>
      </c>
      <c r="B259" s="275" t="s">
        <v>699</v>
      </c>
      <c r="C259" s="240">
        <v>61551753</v>
      </c>
      <c r="D259" s="259">
        <v>0</v>
      </c>
      <c r="E259" s="283">
        <v>40989</v>
      </c>
      <c r="F259" s="240">
        <v>2958467</v>
      </c>
      <c r="G259" s="240">
        <v>0</v>
      </c>
      <c r="H259" s="240">
        <v>3102984</v>
      </c>
      <c r="I259" s="259">
        <v>0</v>
      </c>
      <c r="J259" s="240">
        <v>18505155</v>
      </c>
      <c r="K259" s="240">
        <v>6905272</v>
      </c>
      <c r="L259" s="240">
        <v>-908595</v>
      </c>
      <c r="M259" s="240">
        <v>-1569274</v>
      </c>
      <c r="N259" s="240">
        <f t="shared" si="13"/>
        <v>-2477869</v>
      </c>
    </row>
    <row r="260" spans="1:14" ht="15.6" x14ac:dyDescent="0.3">
      <c r="A260" s="6">
        <v>38600</v>
      </c>
      <c r="B260" s="275" t="s">
        <v>700</v>
      </c>
      <c r="C260" s="239">
        <v>80832601</v>
      </c>
      <c r="D260" s="259">
        <v>0</v>
      </c>
      <c r="E260" s="282">
        <v>53828</v>
      </c>
      <c r="F260" s="239">
        <v>3885195</v>
      </c>
      <c r="G260" s="239">
        <v>2358666</v>
      </c>
      <c r="H260" s="239">
        <v>4074981</v>
      </c>
      <c r="I260" s="259">
        <v>0</v>
      </c>
      <c r="J260" s="239">
        <v>24301823</v>
      </c>
      <c r="K260" s="239">
        <v>6545176</v>
      </c>
      <c r="L260" s="239">
        <v>-1193209</v>
      </c>
      <c r="M260" s="239">
        <v>-686846</v>
      </c>
      <c r="N260" s="240">
        <f t="shared" si="13"/>
        <v>-1880055</v>
      </c>
    </row>
    <row r="261" spans="1:14" ht="15.6" x14ac:dyDescent="0.3">
      <c r="A261" s="6">
        <v>38601</v>
      </c>
      <c r="B261" s="275" t="s">
        <v>701</v>
      </c>
      <c r="C261" s="239">
        <v>1147478</v>
      </c>
      <c r="D261" s="259">
        <v>0</v>
      </c>
      <c r="E261" s="282">
        <v>764</v>
      </c>
      <c r="F261" s="239">
        <v>55153</v>
      </c>
      <c r="G261" s="239">
        <v>120078</v>
      </c>
      <c r="H261" s="239">
        <v>57847</v>
      </c>
      <c r="I261" s="259">
        <v>0</v>
      </c>
      <c r="J261" s="239">
        <v>344982</v>
      </c>
      <c r="K261" s="239">
        <v>113205</v>
      </c>
      <c r="L261" s="239">
        <v>-16938</v>
      </c>
      <c r="M261" s="239">
        <v>-9787</v>
      </c>
      <c r="N261" s="240">
        <f t="shared" si="13"/>
        <v>-26725</v>
      </c>
    </row>
    <row r="262" spans="1:14" ht="15.6" x14ac:dyDescent="0.3">
      <c r="A262" s="272">
        <v>38602</v>
      </c>
      <c r="B262" s="274" t="s">
        <v>702</v>
      </c>
      <c r="C262" s="238">
        <v>6946589</v>
      </c>
      <c r="D262" s="259">
        <v>0</v>
      </c>
      <c r="E262" s="280">
        <v>4626</v>
      </c>
      <c r="F262" s="238">
        <v>333886</v>
      </c>
      <c r="G262" s="238">
        <v>1376778</v>
      </c>
      <c r="H262" s="238">
        <v>350196</v>
      </c>
      <c r="I262" s="259">
        <v>0</v>
      </c>
      <c r="J262" s="238">
        <v>2088449</v>
      </c>
      <c r="K262" s="238">
        <v>121580</v>
      </c>
      <c r="L262" s="238">
        <v>-102542</v>
      </c>
      <c r="M262" s="238">
        <v>379376</v>
      </c>
      <c r="N262" s="238">
        <f t="shared" si="13"/>
        <v>276834</v>
      </c>
    </row>
    <row r="263" spans="1:14" ht="15.6" x14ac:dyDescent="0.3">
      <c r="A263" s="272">
        <v>38605</v>
      </c>
      <c r="B263" s="274" t="s">
        <v>106</v>
      </c>
      <c r="C263" s="276">
        <v>20667678</v>
      </c>
      <c r="D263" s="259">
        <v>0</v>
      </c>
      <c r="E263" s="281">
        <v>13763</v>
      </c>
      <c r="F263" s="276">
        <v>993386</v>
      </c>
      <c r="G263" s="276">
        <v>0</v>
      </c>
      <c r="H263" s="276">
        <v>1041911</v>
      </c>
      <c r="I263" s="259">
        <v>0</v>
      </c>
      <c r="J263" s="276">
        <v>6213610</v>
      </c>
      <c r="K263" s="276">
        <v>2595917</v>
      </c>
      <c r="L263" s="276">
        <v>-305086</v>
      </c>
      <c r="M263" s="276">
        <v>-649614</v>
      </c>
      <c r="N263" s="238">
        <f t="shared" si="13"/>
        <v>-954700</v>
      </c>
    </row>
    <row r="264" spans="1:14" ht="15.6" x14ac:dyDescent="0.3">
      <c r="A264" s="272">
        <v>38610</v>
      </c>
      <c r="B264" s="274" t="s">
        <v>703</v>
      </c>
      <c r="C264" s="276">
        <v>17509058</v>
      </c>
      <c r="D264" s="259">
        <v>0</v>
      </c>
      <c r="E264" s="281">
        <v>11660</v>
      </c>
      <c r="F264" s="276">
        <v>841568</v>
      </c>
      <c r="G264" s="276">
        <v>365525</v>
      </c>
      <c r="H264" s="276">
        <v>882677</v>
      </c>
      <c r="I264" s="259">
        <v>0</v>
      </c>
      <c r="J264" s="276">
        <v>5263990</v>
      </c>
      <c r="K264" s="276">
        <v>236714</v>
      </c>
      <c r="L264" s="276">
        <v>-258460</v>
      </c>
      <c r="M264" s="276">
        <v>6071</v>
      </c>
      <c r="N264" s="238">
        <f t="shared" si="13"/>
        <v>-252389</v>
      </c>
    </row>
    <row r="265" spans="1:14" ht="15.6" x14ac:dyDescent="0.3">
      <c r="A265" s="272">
        <v>38620</v>
      </c>
      <c r="B265" s="274" t="s">
        <v>704</v>
      </c>
      <c r="C265" s="276">
        <v>12503983</v>
      </c>
      <c r="D265" s="259">
        <v>0</v>
      </c>
      <c r="E265" s="281">
        <v>8327</v>
      </c>
      <c r="F265" s="276">
        <v>601000</v>
      </c>
      <c r="G265" s="276">
        <v>0</v>
      </c>
      <c r="H265" s="276">
        <v>630358</v>
      </c>
      <c r="I265" s="259">
        <v>0</v>
      </c>
      <c r="J265" s="276">
        <v>3759245</v>
      </c>
      <c r="K265" s="276">
        <v>1959166</v>
      </c>
      <c r="L265" s="276">
        <v>-184577</v>
      </c>
      <c r="M265" s="276">
        <v>-456523</v>
      </c>
      <c r="N265" s="238">
        <f t="shared" si="13"/>
        <v>-641100</v>
      </c>
    </row>
    <row r="266" spans="1:14" ht="15.6" x14ac:dyDescent="0.3">
      <c r="A266" s="272">
        <v>38700</v>
      </c>
      <c r="B266" s="274" t="s">
        <v>705</v>
      </c>
      <c r="C266" s="276">
        <v>24653104</v>
      </c>
      <c r="D266" s="259">
        <v>0</v>
      </c>
      <c r="E266" s="281">
        <v>16417</v>
      </c>
      <c r="F266" s="276">
        <v>1184944</v>
      </c>
      <c r="G266" s="276">
        <v>670092</v>
      </c>
      <c r="H266" s="276">
        <v>1242827</v>
      </c>
      <c r="I266" s="259">
        <v>0</v>
      </c>
      <c r="J266" s="276">
        <v>7411804</v>
      </c>
      <c r="K266" s="276">
        <v>1500816</v>
      </c>
      <c r="L266" s="276">
        <v>-363916</v>
      </c>
      <c r="M266" s="276">
        <v>-116836</v>
      </c>
      <c r="N266" s="238">
        <f t="shared" si="13"/>
        <v>-480752</v>
      </c>
    </row>
    <row r="267" spans="1:14" ht="15.6" x14ac:dyDescent="0.3">
      <c r="A267" s="272">
        <v>38701</v>
      </c>
      <c r="B267" s="274" t="s">
        <v>861</v>
      </c>
      <c r="C267" s="276">
        <v>1538510</v>
      </c>
      <c r="D267" s="259">
        <v>0</v>
      </c>
      <c r="E267" s="281">
        <v>1025</v>
      </c>
      <c r="F267" s="276">
        <v>73948</v>
      </c>
      <c r="G267" s="276">
        <v>44480</v>
      </c>
      <c r="H267" s="276">
        <v>77560</v>
      </c>
      <c r="I267" s="259">
        <v>0</v>
      </c>
      <c r="J267" s="276">
        <v>462543</v>
      </c>
      <c r="K267" s="276">
        <v>71804</v>
      </c>
      <c r="L267" s="276">
        <v>-22711</v>
      </c>
      <c r="M267" s="276">
        <v>-13235</v>
      </c>
      <c r="N267" s="238">
        <f t="shared" si="13"/>
        <v>-35946</v>
      </c>
    </row>
    <row r="268" spans="1:14" ht="15.6" x14ac:dyDescent="0.3">
      <c r="A268" s="6">
        <v>38800</v>
      </c>
      <c r="B268" s="275" t="s">
        <v>706</v>
      </c>
      <c r="C268" s="239">
        <v>41509900</v>
      </c>
      <c r="D268" s="259">
        <v>0</v>
      </c>
      <c r="E268" s="282">
        <v>27642</v>
      </c>
      <c r="F268" s="239">
        <v>1995161</v>
      </c>
      <c r="G268" s="239">
        <v>493116</v>
      </c>
      <c r="H268" s="239">
        <v>2092622</v>
      </c>
      <c r="I268" s="259">
        <v>0</v>
      </c>
      <c r="J268" s="239">
        <v>12479695</v>
      </c>
      <c r="K268" s="239">
        <v>3000963</v>
      </c>
      <c r="L268" s="239">
        <v>-612748</v>
      </c>
      <c r="M268" s="239">
        <v>-491791</v>
      </c>
      <c r="N268" s="240">
        <f t="shared" si="13"/>
        <v>-1104539</v>
      </c>
    </row>
    <row r="269" spans="1:14" ht="15.6" x14ac:dyDescent="0.3">
      <c r="A269" s="6">
        <v>38801</v>
      </c>
      <c r="B269" s="275" t="s">
        <v>707</v>
      </c>
      <c r="C269" s="239">
        <v>3365116</v>
      </c>
      <c r="D269" s="259">
        <v>0</v>
      </c>
      <c r="E269" s="282">
        <v>2241</v>
      </c>
      <c r="F269" s="239">
        <v>161743</v>
      </c>
      <c r="G269" s="239">
        <v>628767</v>
      </c>
      <c r="H269" s="239">
        <v>169644</v>
      </c>
      <c r="I269" s="259">
        <v>0</v>
      </c>
      <c r="J269" s="239">
        <v>1011701</v>
      </c>
      <c r="K269" s="239">
        <v>558390</v>
      </c>
      <c r="L269" s="239">
        <v>-49674</v>
      </c>
      <c r="M269" s="239">
        <v>84081</v>
      </c>
      <c r="N269" s="240">
        <f t="shared" si="13"/>
        <v>34407</v>
      </c>
    </row>
    <row r="270" spans="1:14" ht="15.6" x14ac:dyDescent="0.3">
      <c r="A270" s="6">
        <v>38900</v>
      </c>
      <c r="B270" s="275" t="s">
        <v>708</v>
      </c>
      <c r="C270" s="239">
        <v>8852932</v>
      </c>
      <c r="D270" s="259">
        <v>0</v>
      </c>
      <c r="E270" s="282">
        <v>5895</v>
      </c>
      <c r="F270" s="239">
        <v>425514</v>
      </c>
      <c r="G270" s="239">
        <v>0</v>
      </c>
      <c r="H270" s="239">
        <v>446299</v>
      </c>
      <c r="I270" s="259">
        <v>0</v>
      </c>
      <c r="J270" s="239">
        <v>2661580</v>
      </c>
      <c r="K270" s="239">
        <v>747933</v>
      </c>
      <c r="L270" s="239">
        <v>-130682</v>
      </c>
      <c r="M270" s="239">
        <v>-188260</v>
      </c>
      <c r="N270" s="240">
        <f t="shared" si="13"/>
        <v>-318942</v>
      </c>
    </row>
    <row r="271" spans="1:14" ht="15.6" x14ac:dyDescent="0.3">
      <c r="A271" s="6">
        <v>39000</v>
      </c>
      <c r="B271" s="275" t="s">
        <v>709</v>
      </c>
      <c r="C271" s="240">
        <v>434277197</v>
      </c>
      <c r="D271" s="259">
        <v>0</v>
      </c>
      <c r="E271" s="283">
        <v>289194</v>
      </c>
      <c r="F271" s="240">
        <v>20873407</v>
      </c>
      <c r="G271" s="240">
        <v>13032231</v>
      </c>
      <c r="H271" s="240">
        <v>21893042</v>
      </c>
      <c r="I271" s="259">
        <v>0</v>
      </c>
      <c r="J271" s="240">
        <v>130562759</v>
      </c>
      <c r="K271" s="240">
        <v>26497564</v>
      </c>
      <c r="L271" s="240">
        <v>-6410577</v>
      </c>
      <c r="M271" s="240">
        <v>-2009713</v>
      </c>
      <c r="N271" s="240">
        <f t="shared" si="13"/>
        <v>-8420290</v>
      </c>
    </row>
    <row r="272" spans="1:14" ht="15.6" x14ac:dyDescent="0.3">
      <c r="A272" s="6">
        <v>39100</v>
      </c>
      <c r="B272" s="275" t="s">
        <v>710</v>
      </c>
      <c r="C272" s="239">
        <v>55327794</v>
      </c>
      <c r="D272" s="259">
        <v>0</v>
      </c>
      <c r="E272" s="282">
        <v>36844</v>
      </c>
      <c r="F272" s="239">
        <v>2659314</v>
      </c>
      <c r="G272" s="239">
        <v>0</v>
      </c>
      <c r="H272" s="239">
        <v>2789218</v>
      </c>
      <c r="I272" s="259">
        <v>0</v>
      </c>
      <c r="J272" s="239">
        <v>16633960</v>
      </c>
      <c r="K272" s="239">
        <v>12056646</v>
      </c>
      <c r="L272" s="239">
        <v>-816720</v>
      </c>
      <c r="M272" s="239">
        <v>-2740228</v>
      </c>
      <c r="N272" s="240">
        <f t="shared" si="13"/>
        <v>-3556948</v>
      </c>
    </row>
    <row r="273" spans="1:14" ht="15.6" x14ac:dyDescent="0.3">
      <c r="A273" s="6">
        <v>39101</v>
      </c>
      <c r="B273" s="275" t="s">
        <v>711</v>
      </c>
      <c r="C273" s="239">
        <v>6983666</v>
      </c>
      <c r="D273" s="259">
        <v>0</v>
      </c>
      <c r="E273" s="282">
        <v>4651</v>
      </c>
      <c r="F273" s="239">
        <v>335668</v>
      </c>
      <c r="G273" s="239">
        <v>1959261</v>
      </c>
      <c r="H273" s="239">
        <v>352065</v>
      </c>
      <c r="I273" s="259">
        <v>0</v>
      </c>
      <c r="J273" s="239">
        <v>2099596</v>
      </c>
      <c r="K273" s="239">
        <v>0</v>
      </c>
      <c r="L273" s="239">
        <v>-103089</v>
      </c>
      <c r="M273" s="239">
        <v>497042</v>
      </c>
      <c r="N273" s="240">
        <f t="shared" si="13"/>
        <v>393953</v>
      </c>
    </row>
    <row r="274" spans="1:14" ht="15.6" x14ac:dyDescent="0.3">
      <c r="A274" s="272">
        <v>39105</v>
      </c>
      <c r="B274" s="274" t="s">
        <v>107</v>
      </c>
      <c r="C274" s="238">
        <v>20658857</v>
      </c>
      <c r="D274" s="259">
        <v>0</v>
      </c>
      <c r="E274" s="280">
        <v>13757</v>
      </c>
      <c r="F274" s="238">
        <v>992962</v>
      </c>
      <c r="G274" s="238">
        <v>0</v>
      </c>
      <c r="H274" s="238">
        <v>1041467</v>
      </c>
      <c r="I274" s="259">
        <v>0</v>
      </c>
      <c r="J274" s="238">
        <v>6210958</v>
      </c>
      <c r="K274" s="238">
        <v>6966339</v>
      </c>
      <c r="L274" s="238">
        <v>-304955</v>
      </c>
      <c r="M274" s="238">
        <v>-1631724</v>
      </c>
      <c r="N274" s="238">
        <f t="shared" si="13"/>
        <v>-1936679</v>
      </c>
    </row>
    <row r="275" spans="1:14" ht="15.6" x14ac:dyDescent="0.3">
      <c r="A275" s="272">
        <v>39200</v>
      </c>
      <c r="B275" s="274" t="s">
        <v>862</v>
      </c>
      <c r="C275" s="276">
        <v>1855820544</v>
      </c>
      <c r="D275" s="259">
        <v>0</v>
      </c>
      <c r="E275" s="281">
        <v>1235829</v>
      </c>
      <c r="F275" s="276">
        <v>89199473</v>
      </c>
      <c r="G275" s="276">
        <v>82242138</v>
      </c>
      <c r="H275" s="276">
        <v>93556734</v>
      </c>
      <c r="I275" s="259">
        <v>0</v>
      </c>
      <c r="J275" s="276">
        <v>557940992</v>
      </c>
      <c r="K275" s="276">
        <v>54897137</v>
      </c>
      <c r="L275" s="276">
        <v>-27394668</v>
      </c>
      <c r="M275" s="276">
        <v>15011809</v>
      </c>
      <c r="N275" s="238">
        <f t="shared" si="13"/>
        <v>-12382859</v>
      </c>
    </row>
    <row r="276" spans="1:14" ht="15.6" x14ac:dyDescent="0.3">
      <c r="A276" s="272">
        <v>39201</v>
      </c>
      <c r="B276" s="274" t="s">
        <v>712</v>
      </c>
      <c r="C276" s="276">
        <v>5245041</v>
      </c>
      <c r="D276" s="259">
        <v>0</v>
      </c>
      <c r="E276" s="281">
        <v>3493</v>
      </c>
      <c r="F276" s="276">
        <v>252101</v>
      </c>
      <c r="G276" s="276">
        <v>91686</v>
      </c>
      <c r="H276" s="276">
        <v>264416</v>
      </c>
      <c r="I276" s="259">
        <v>0</v>
      </c>
      <c r="J276" s="276">
        <v>1576889</v>
      </c>
      <c r="K276" s="276">
        <v>738197</v>
      </c>
      <c r="L276" s="276">
        <v>-77425</v>
      </c>
      <c r="M276" s="276">
        <v>-120853</v>
      </c>
      <c r="N276" s="238">
        <f t="shared" si="13"/>
        <v>-198278</v>
      </c>
    </row>
    <row r="277" spans="1:14" ht="15.6" x14ac:dyDescent="0.3">
      <c r="A277" s="272">
        <v>39204</v>
      </c>
      <c r="B277" s="274" t="s">
        <v>713</v>
      </c>
      <c r="C277" s="276">
        <v>7663349</v>
      </c>
      <c r="D277" s="259">
        <v>0</v>
      </c>
      <c r="E277" s="281">
        <v>5103</v>
      </c>
      <c r="F277" s="276">
        <v>368337</v>
      </c>
      <c r="G277" s="276">
        <v>3583715</v>
      </c>
      <c r="H277" s="276">
        <v>386329</v>
      </c>
      <c r="I277" s="259">
        <v>0</v>
      </c>
      <c r="J277" s="276">
        <v>2303938</v>
      </c>
      <c r="K277" s="276">
        <v>0</v>
      </c>
      <c r="L277" s="276">
        <v>-113122</v>
      </c>
      <c r="M277" s="276">
        <v>896788</v>
      </c>
      <c r="N277" s="238">
        <f t="shared" si="13"/>
        <v>783666</v>
      </c>
    </row>
    <row r="278" spans="1:14" ht="15.6" x14ac:dyDescent="0.3">
      <c r="A278" s="272">
        <v>39205</v>
      </c>
      <c r="B278" s="274" t="s">
        <v>108</v>
      </c>
      <c r="C278" s="276">
        <v>150427580</v>
      </c>
      <c r="D278" s="259">
        <v>0</v>
      </c>
      <c r="E278" s="281">
        <v>100173</v>
      </c>
      <c r="F278" s="276">
        <v>7230258</v>
      </c>
      <c r="G278" s="276">
        <v>11311888</v>
      </c>
      <c r="H278" s="276">
        <v>7583445</v>
      </c>
      <c r="I278" s="259">
        <v>0</v>
      </c>
      <c r="J278" s="276">
        <v>45225123</v>
      </c>
      <c r="K278" s="276">
        <v>0</v>
      </c>
      <c r="L278" s="276">
        <v>-2220535</v>
      </c>
      <c r="M278" s="276">
        <v>2813848</v>
      </c>
      <c r="N278" s="238">
        <f t="shared" si="13"/>
        <v>593313</v>
      </c>
    </row>
    <row r="279" spans="1:14" ht="15.6" x14ac:dyDescent="0.3">
      <c r="A279" s="272">
        <v>39208</v>
      </c>
      <c r="B279" s="274" t="s">
        <v>863</v>
      </c>
      <c r="C279" s="276">
        <v>11054183</v>
      </c>
      <c r="D279" s="259">
        <v>0</v>
      </c>
      <c r="E279" s="281">
        <v>7361</v>
      </c>
      <c r="F279" s="276">
        <v>531316</v>
      </c>
      <c r="G279" s="276">
        <v>0</v>
      </c>
      <c r="H279" s="276">
        <v>557270</v>
      </c>
      <c r="I279" s="259">
        <v>0</v>
      </c>
      <c r="J279" s="276">
        <v>3323372</v>
      </c>
      <c r="K279" s="276">
        <v>536725</v>
      </c>
      <c r="L279" s="276">
        <v>-163176</v>
      </c>
      <c r="M279" s="276">
        <v>-116275</v>
      </c>
      <c r="N279" s="238">
        <f t="shared" si="13"/>
        <v>-279451</v>
      </c>
    </row>
    <row r="280" spans="1:14" ht="15.6" x14ac:dyDescent="0.3">
      <c r="A280" s="6">
        <v>39209</v>
      </c>
      <c r="B280" s="275" t="s">
        <v>714</v>
      </c>
      <c r="C280" s="239">
        <v>5613512</v>
      </c>
      <c r="D280" s="259">
        <v>0</v>
      </c>
      <c r="E280" s="282">
        <v>3738</v>
      </c>
      <c r="F280" s="239">
        <v>269812</v>
      </c>
      <c r="G280" s="239">
        <v>168324</v>
      </c>
      <c r="H280" s="239">
        <v>282992</v>
      </c>
      <c r="I280" s="259">
        <v>0</v>
      </c>
      <c r="J280" s="239">
        <v>1687668</v>
      </c>
      <c r="K280" s="239">
        <v>342009</v>
      </c>
      <c r="L280" s="239">
        <v>-82864</v>
      </c>
      <c r="M280" s="239">
        <v>-24198</v>
      </c>
      <c r="N280" s="240">
        <f t="shared" si="13"/>
        <v>-107062</v>
      </c>
    </row>
    <row r="281" spans="1:14" ht="15.6" x14ac:dyDescent="0.3">
      <c r="A281" s="6">
        <v>39220</v>
      </c>
      <c r="B281" s="275" t="s">
        <v>801</v>
      </c>
      <c r="C281" s="239">
        <v>1121807</v>
      </c>
      <c r="D281" s="259">
        <v>0</v>
      </c>
      <c r="E281" s="282">
        <v>747</v>
      </c>
      <c r="F281" s="239">
        <v>53919</v>
      </c>
      <c r="G281" s="239">
        <v>1280390</v>
      </c>
      <c r="H281" s="239">
        <v>56553</v>
      </c>
      <c r="I281" s="259">
        <v>0</v>
      </c>
      <c r="J281" s="239">
        <v>337264</v>
      </c>
      <c r="K281" s="239">
        <v>0</v>
      </c>
      <c r="L281" s="239">
        <v>-16560</v>
      </c>
      <c r="M281" s="239">
        <v>256077</v>
      </c>
      <c r="N281" s="240">
        <f t="shared" si="13"/>
        <v>239517</v>
      </c>
    </row>
    <row r="282" spans="1:14" ht="15.6" x14ac:dyDescent="0.3">
      <c r="A282" s="6">
        <v>39300</v>
      </c>
      <c r="B282" s="275" t="s">
        <v>715</v>
      </c>
      <c r="C282" s="239">
        <v>21873914</v>
      </c>
      <c r="D282" s="259">
        <v>0</v>
      </c>
      <c r="E282" s="282">
        <v>14566</v>
      </c>
      <c r="F282" s="239">
        <v>1051363</v>
      </c>
      <c r="G282" s="239">
        <v>0</v>
      </c>
      <c r="H282" s="239">
        <v>1102721</v>
      </c>
      <c r="I282" s="259">
        <v>0</v>
      </c>
      <c r="J282" s="239">
        <v>6576257</v>
      </c>
      <c r="K282" s="239">
        <v>4259203</v>
      </c>
      <c r="L282" s="239">
        <v>-322891</v>
      </c>
      <c r="M282" s="239">
        <v>-1105395</v>
      </c>
      <c r="N282" s="240">
        <f t="shared" si="13"/>
        <v>-1428286</v>
      </c>
    </row>
    <row r="283" spans="1:14" ht="15.6" x14ac:dyDescent="0.3">
      <c r="A283" s="6">
        <v>39301</v>
      </c>
      <c r="B283" s="275" t="s">
        <v>716</v>
      </c>
      <c r="C283" s="239">
        <v>907745</v>
      </c>
      <c r="D283" s="259">
        <v>0</v>
      </c>
      <c r="E283" s="282">
        <v>604</v>
      </c>
      <c r="F283" s="239">
        <v>43631</v>
      </c>
      <c r="G283" s="239">
        <v>186804</v>
      </c>
      <c r="H283" s="239">
        <v>45762</v>
      </c>
      <c r="I283" s="259">
        <v>0</v>
      </c>
      <c r="J283" s="239">
        <v>272908</v>
      </c>
      <c r="K283" s="239">
        <v>895814</v>
      </c>
      <c r="L283" s="239">
        <v>-13400</v>
      </c>
      <c r="M283" s="239">
        <v>-146233</v>
      </c>
      <c r="N283" s="240">
        <f t="shared" si="13"/>
        <v>-159633</v>
      </c>
    </row>
    <row r="284" spans="1:14" ht="15.6" x14ac:dyDescent="0.3">
      <c r="A284" s="6">
        <v>39400</v>
      </c>
      <c r="B284" s="275" t="s">
        <v>717</v>
      </c>
      <c r="C284" s="239">
        <v>14952901</v>
      </c>
      <c r="D284" s="259">
        <v>0</v>
      </c>
      <c r="E284" s="282">
        <v>9957</v>
      </c>
      <c r="F284" s="239">
        <v>718707</v>
      </c>
      <c r="G284" s="239">
        <v>0</v>
      </c>
      <c r="H284" s="239">
        <v>753815</v>
      </c>
      <c r="I284" s="259">
        <v>0</v>
      </c>
      <c r="J284" s="239">
        <v>4495497</v>
      </c>
      <c r="K284" s="239">
        <v>2949227</v>
      </c>
      <c r="L284" s="239">
        <v>-220727</v>
      </c>
      <c r="M284" s="239">
        <v>-659767</v>
      </c>
      <c r="N284" s="240">
        <f t="shared" si="13"/>
        <v>-880494</v>
      </c>
    </row>
    <row r="285" spans="1:14" ht="15.6" x14ac:dyDescent="0.3">
      <c r="A285" s="6">
        <v>39401</v>
      </c>
      <c r="B285" s="275" t="s">
        <v>718</v>
      </c>
      <c r="C285" s="239">
        <v>11794041</v>
      </c>
      <c r="D285" s="259">
        <v>0</v>
      </c>
      <c r="E285" s="282">
        <v>7854</v>
      </c>
      <c r="F285" s="239">
        <v>566877</v>
      </c>
      <c r="G285" s="239">
        <v>4491984</v>
      </c>
      <c r="H285" s="239">
        <v>594568</v>
      </c>
      <c r="I285" s="259">
        <v>0</v>
      </c>
      <c r="J285" s="239">
        <v>3545806</v>
      </c>
      <c r="K285" s="239">
        <v>0</v>
      </c>
      <c r="L285" s="239">
        <v>-174098</v>
      </c>
      <c r="M285" s="239">
        <v>1235092</v>
      </c>
      <c r="N285" s="240">
        <f t="shared" si="13"/>
        <v>1060994</v>
      </c>
    </row>
    <row r="286" spans="1:14" ht="15.6" x14ac:dyDescent="0.3">
      <c r="A286" s="272">
        <v>39500</v>
      </c>
      <c r="B286" s="274" t="s">
        <v>719</v>
      </c>
      <c r="C286" s="276">
        <v>57175779</v>
      </c>
      <c r="D286" s="259">
        <v>0</v>
      </c>
      <c r="E286" s="281">
        <v>38075</v>
      </c>
      <c r="F286" s="276">
        <v>2748137</v>
      </c>
      <c r="G286" s="276">
        <v>2440836</v>
      </c>
      <c r="H286" s="276">
        <v>2882380</v>
      </c>
      <c r="I286" s="259">
        <v>0</v>
      </c>
      <c r="J286" s="276">
        <v>17189545</v>
      </c>
      <c r="K286" s="276">
        <v>601548</v>
      </c>
      <c r="L286" s="276">
        <v>-843999</v>
      </c>
      <c r="M286" s="276">
        <v>542272</v>
      </c>
      <c r="N286" s="238">
        <f t="shared" si="13"/>
        <v>-301727</v>
      </c>
    </row>
    <row r="287" spans="1:14" ht="15.6" x14ac:dyDescent="0.3">
      <c r="A287" s="272">
        <v>39501</v>
      </c>
      <c r="B287" s="274" t="s">
        <v>864</v>
      </c>
      <c r="C287" s="276">
        <v>1519088</v>
      </c>
      <c r="D287" s="259">
        <v>0</v>
      </c>
      <c r="E287" s="281">
        <v>1012</v>
      </c>
      <c r="F287" s="276">
        <v>73015</v>
      </c>
      <c r="G287" s="276">
        <v>16827</v>
      </c>
      <c r="H287" s="276">
        <v>76581</v>
      </c>
      <c r="I287" s="259">
        <v>0</v>
      </c>
      <c r="J287" s="276">
        <v>456704</v>
      </c>
      <c r="K287" s="276">
        <v>334588</v>
      </c>
      <c r="L287" s="276">
        <v>-22424</v>
      </c>
      <c r="M287" s="276">
        <v>-65949</v>
      </c>
      <c r="N287" s="238">
        <f t="shared" si="13"/>
        <v>-88373</v>
      </c>
    </row>
    <row r="288" spans="1:14" ht="15.6" x14ac:dyDescent="0.3">
      <c r="A288" s="272">
        <v>39600</v>
      </c>
      <c r="B288" s="274" t="s">
        <v>720</v>
      </c>
      <c r="C288" s="276">
        <v>177681503</v>
      </c>
      <c r="D288" s="259">
        <v>0</v>
      </c>
      <c r="E288" s="281">
        <v>118322</v>
      </c>
      <c r="F288" s="276">
        <v>8540210</v>
      </c>
      <c r="G288" s="276">
        <v>5948562</v>
      </c>
      <c r="H288" s="276">
        <v>8957386</v>
      </c>
      <c r="I288" s="259">
        <v>0</v>
      </c>
      <c r="J288" s="276">
        <v>53418847</v>
      </c>
      <c r="K288" s="276">
        <v>7568320</v>
      </c>
      <c r="L288" s="276">
        <v>-2622843</v>
      </c>
      <c r="M288" s="276">
        <v>298870</v>
      </c>
      <c r="N288" s="238">
        <f t="shared" si="13"/>
        <v>-2323973</v>
      </c>
    </row>
    <row r="289" spans="1:14" ht="15.6" x14ac:dyDescent="0.3">
      <c r="A289" s="272">
        <v>39605</v>
      </c>
      <c r="B289" s="274" t="s">
        <v>109</v>
      </c>
      <c r="C289" s="276">
        <v>25793597</v>
      </c>
      <c r="D289" s="259">
        <v>0</v>
      </c>
      <c r="E289" s="281">
        <v>17176</v>
      </c>
      <c r="F289" s="276">
        <v>1239762</v>
      </c>
      <c r="G289" s="276">
        <v>1640572</v>
      </c>
      <c r="H289" s="276">
        <v>1300322</v>
      </c>
      <c r="I289" s="259">
        <v>0</v>
      </c>
      <c r="J289" s="276">
        <v>7754686</v>
      </c>
      <c r="K289" s="276">
        <v>1230151</v>
      </c>
      <c r="L289" s="276">
        <v>-380752</v>
      </c>
      <c r="M289" s="276">
        <v>126490</v>
      </c>
      <c r="N289" s="238">
        <f t="shared" si="13"/>
        <v>-254262</v>
      </c>
    </row>
    <row r="290" spans="1:14" ht="15.6" x14ac:dyDescent="0.3">
      <c r="A290" s="272">
        <v>39700</v>
      </c>
      <c r="B290" s="274" t="s">
        <v>721</v>
      </c>
      <c r="C290" s="276">
        <v>99075013</v>
      </c>
      <c r="D290" s="259">
        <v>0</v>
      </c>
      <c r="E290" s="281">
        <v>65976</v>
      </c>
      <c r="F290" s="276">
        <v>4762012</v>
      </c>
      <c r="G290" s="276">
        <v>1148190</v>
      </c>
      <c r="H290" s="276">
        <v>4994629</v>
      </c>
      <c r="I290" s="259">
        <v>0</v>
      </c>
      <c r="J290" s="276">
        <v>29786291</v>
      </c>
      <c r="K290" s="276">
        <v>9792591</v>
      </c>
      <c r="L290" s="276">
        <v>-1462494</v>
      </c>
      <c r="M290" s="276">
        <v>-1877288</v>
      </c>
      <c r="N290" s="238">
        <f t="shared" si="13"/>
        <v>-3339782</v>
      </c>
    </row>
    <row r="291" spans="1:14" ht="15.6" x14ac:dyDescent="0.3">
      <c r="A291" s="272">
        <v>39703</v>
      </c>
      <c r="B291" s="274" t="s">
        <v>722</v>
      </c>
      <c r="C291" s="276">
        <v>7290280</v>
      </c>
      <c r="D291" s="259">
        <v>0</v>
      </c>
      <c r="E291" s="281">
        <v>4855</v>
      </c>
      <c r="F291" s="276">
        <v>350405</v>
      </c>
      <c r="G291" s="276">
        <v>3535630</v>
      </c>
      <c r="H291" s="276">
        <v>367522</v>
      </c>
      <c r="I291" s="259">
        <v>0</v>
      </c>
      <c r="J291" s="276">
        <v>2191778</v>
      </c>
      <c r="K291" s="276">
        <v>0</v>
      </c>
      <c r="L291" s="276">
        <v>-107615</v>
      </c>
      <c r="M291" s="276">
        <v>887738</v>
      </c>
      <c r="N291" s="238">
        <f t="shared" si="13"/>
        <v>780123</v>
      </c>
    </row>
    <row r="292" spans="1:14" ht="15.6" x14ac:dyDescent="0.3">
      <c r="A292" s="6">
        <v>39705</v>
      </c>
      <c r="B292" s="275" t="s">
        <v>110</v>
      </c>
      <c r="C292" s="239">
        <v>24069237</v>
      </c>
      <c r="D292" s="259">
        <v>0</v>
      </c>
      <c r="E292" s="282">
        <v>16028</v>
      </c>
      <c r="F292" s="239">
        <v>1156881</v>
      </c>
      <c r="G292" s="239">
        <v>575308</v>
      </c>
      <c r="H292" s="239">
        <v>1213393</v>
      </c>
      <c r="I292" s="259">
        <v>0</v>
      </c>
      <c r="J292" s="239">
        <v>7236268</v>
      </c>
      <c r="K292" s="239">
        <v>1074365</v>
      </c>
      <c r="L292" s="239">
        <v>-355298</v>
      </c>
      <c r="M292" s="239">
        <v>-199182</v>
      </c>
      <c r="N292" s="240">
        <f t="shared" si="13"/>
        <v>-554480</v>
      </c>
    </row>
    <row r="293" spans="1:14" ht="15.6" x14ac:dyDescent="0.3">
      <c r="A293" s="6">
        <v>39800</v>
      </c>
      <c r="B293" s="275" t="s">
        <v>723</v>
      </c>
      <c r="C293" s="239">
        <v>110491491</v>
      </c>
      <c r="D293" s="259">
        <v>0</v>
      </c>
      <c r="E293" s="282">
        <v>73579</v>
      </c>
      <c r="F293" s="239">
        <v>5310741</v>
      </c>
      <c r="G293" s="239">
        <v>1310994</v>
      </c>
      <c r="H293" s="239">
        <v>5570163</v>
      </c>
      <c r="I293" s="259">
        <v>0</v>
      </c>
      <c r="J293" s="239">
        <v>33218585</v>
      </c>
      <c r="K293" s="239">
        <v>10830674</v>
      </c>
      <c r="L293" s="239">
        <v>-1631019</v>
      </c>
      <c r="M293" s="239">
        <v>-1777865</v>
      </c>
      <c r="N293" s="240">
        <f t="shared" si="13"/>
        <v>-3408884</v>
      </c>
    </row>
    <row r="294" spans="1:14" ht="15.6" x14ac:dyDescent="0.3">
      <c r="A294" s="6">
        <v>39805</v>
      </c>
      <c r="B294" s="275" t="s">
        <v>111</v>
      </c>
      <c r="C294" s="239">
        <v>13249934</v>
      </c>
      <c r="D294" s="259">
        <v>0</v>
      </c>
      <c r="E294" s="282">
        <v>8823</v>
      </c>
      <c r="F294" s="239">
        <v>636854</v>
      </c>
      <c r="G294" s="239">
        <v>541585</v>
      </c>
      <c r="H294" s="239">
        <v>667964</v>
      </c>
      <c r="I294" s="259">
        <v>0</v>
      </c>
      <c r="J294" s="239">
        <v>3983511</v>
      </c>
      <c r="K294" s="239">
        <v>367964</v>
      </c>
      <c r="L294" s="239">
        <v>-195589</v>
      </c>
      <c r="M294" s="239">
        <v>7216</v>
      </c>
      <c r="N294" s="240">
        <f t="shared" si="13"/>
        <v>-188373</v>
      </c>
    </row>
    <row r="295" spans="1:14" ht="15.6" x14ac:dyDescent="0.3">
      <c r="A295" s="6">
        <v>39900</v>
      </c>
      <c r="B295" s="275" t="s">
        <v>724</v>
      </c>
      <c r="C295" s="239">
        <v>56297677</v>
      </c>
      <c r="D295" s="259">
        <v>0</v>
      </c>
      <c r="E295" s="282">
        <v>37490</v>
      </c>
      <c r="F295" s="239">
        <v>2705931</v>
      </c>
      <c r="G295" s="239">
        <v>1853388</v>
      </c>
      <c r="H295" s="239">
        <v>2838112</v>
      </c>
      <c r="I295" s="259">
        <v>0</v>
      </c>
      <c r="J295" s="239">
        <v>16925549</v>
      </c>
      <c r="K295" s="239">
        <v>5072179</v>
      </c>
      <c r="L295" s="239">
        <v>-831037</v>
      </c>
      <c r="M295" s="239">
        <v>-493017</v>
      </c>
      <c r="N295" s="240">
        <f t="shared" si="13"/>
        <v>-1324054</v>
      </c>
    </row>
    <row r="296" spans="1:14" ht="15.6" x14ac:dyDescent="0.3">
      <c r="A296" s="6">
        <v>40000</v>
      </c>
      <c r="B296" s="275" t="s">
        <v>725</v>
      </c>
      <c r="C296" s="240">
        <v>85748589</v>
      </c>
      <c r="D296" s="259">
        <v>0</v>
      </c>
      <c r="E296" s="283">
        <v>57102</v>
      </c>
      <c r="F296" s="240">
        <v>4121481</v>
      </c>
      <c r="G296" s="240">
        <v>16643155</v>
      </c>
      <c r="H296" s="240">
        <v>4322809</v>
      </c>
      <c r="I296" s="259">
        <v>0</v>
      </c>
      <c r="J296" s="240">
        <v>25779784</v>
      </c>
      <c r="K296" s="240">
        <v>16356427</v>
      </c>
      <c r="L296" s="240">
        <v>-1265777</v>
      </c>
      <c r="M296" s="240">
        <v>-1238009</v>
      </c>
      <c r="N296" s="240">
        <f t="shared" si="13"/>
        <v>-2503786</v>
      </c>
    </row>
    <row r="297" spans="1:14" ht="15.6" x14ac:dyDescent="0.3">
      <c r="A297" s="6">
        <v>51000</v>
      </c>
      <c r="B297" s="275" t="s">
        <v>865</v>
      </c>
      <c r="C297" s="239">
        <v>784838102</v>
      </c>
      <c r="D297" s="259">
        <v>0</v>
      </c>
      <c r="E297" s="282">
        <v>522640</v>
      </c>
      <c r="F297" s="239">
        <v>37723015</v>
      </c>
      <c r="G297" s="239">
        <v>0</v>
      </c>
      <c r="H297" s="239">
        <v>39565727</v>
      </c>
      <c r="I297" s="259">
        <v>0</v>
      </c>
      <c r="J297" s="239">
        <v>235956731</v>
      </c>
      <c r="K297" s="239">
        <v>79367290</v>
      </c>
      <c r="L297" s="239">
        <v>-11585376</v>
      </c>
      <c r="M297" s="239">
        <v>-21976926</v>
      </c>
      <c r="N297" s="240">
        <f t="shared" si="13"/>
        <v>-33562302</v>
      </c>
    </row>
    <row r="298" spans="1:14" ht="15.6" x14ac:dyDescent="0.3">
      <c r="A298" s="272">
        <v>51000.2</v>
      </c>
      <c r="B298" s="274" t="s">
        <v>866</v>
      </c>
      <c r="C298" s="276">
        <v>826868</v>
      </c>
      <c r="D298" s="259">
        <v>0</v>
      </c>
      <c r="E298" s="281">
        <v>551</v>
      </c>
      <c r="F298" s="276">
        <v>39743</v>
      </c>
      <c r="G298" s="276">
        <v>507519</v>
      </c>
      <c r="H298" s="276">
        <v>41685</v>
      </c>
      <c r="I298" s="259">
        <v>0</v>
      </c>
      <c r="J298" s="276">
        <v>248593</v>
      </c>
      <c r="K298" s="276">
        <v>0</v>
      </c>
      <c r="L298" s="276">
        <v>-12206</v>
      </c>
      <c r="M298" s="276">
        <v>112779</v>
      </c>
      <c r="N298" s="238">
        <f t="shared" si="13"/>
        <v>100573</v>
      </c>
    </row>
    <row r="299" spans="1:14" ht="15.6" x14ac:dyDescent="0.3">
      <c r="A299" s="272">
        <v>51000.3</v>
      </c>
      <c r="B299" s="274" t="s">
        <v>867</v>
      </c>
      <c r="C299" s="238">
        <v>21004451</v>
      </c>
      <c r="D299" s="259">
        <v>0</v>
      </c>
      <c r="E299" s="280">
        <v>13987</v>
      </c>
      <c r="F299" s="238">
        <v>1009573</v>
      </c>
      <c r="G299" s="238">
        <v>1946211</v>
      </c>
      <c r="H299" s="238">
        <v>1058889</v>
      </c>
      <c r="I299" s="259">
        <v>0</v>
      </c>
      <c r="J299" s="238">
        <v>6314859</v>
      </c>
      <c r="K299" s="238">
        <v>0</v>
      </c>
      <c r="L299" s="238">
        <v>-310057</v>
      </c>
      <c r="M299" s="238">
        <v>479509</v>
      </c>
      <c r="N299" s="238">
        <f t="shared" si="13"/>
        <v>169452</v>
      </c>
    </row>
    <row r="300" spans="1:14" ht="15.6" x14ac:dyDescent="0.3">
      <c r="A300" s="272">
        <v>60000</v>
      </c>
      <c r="B300" s="274" t="s">
        <v>868</v>
      </c>
      <c r="C300" s="276">
        <v>4165591</v>
      </c>
      <c r="D300" s="259">
        <v>0</v>
      </c>
      <c r="E300" s="281">
        <v>2774</v>
      </c>
      <c r="F300" s="276">
        <v>200218</v>
      </c>
      <c r="G300" s="276">
        <v>903375</v>
      </c>
      <c r="H300" s="276">
        <v>209998</v>
      </c>
      <c r="I300" s="259">
        <v>0</v>
      </c>
      <c r="J300" s="276">
        <v>1252359</v>
      </c>
      <c r="K300" s="276">
        <v>685847</v>
      </c>
      <c r="L300" s="276">
        <v>-61490</v>
      </c>
      <c r="M300" s="276">
        <v>-40661</v>
      </c>
      <c r="N300" s="238">
        <f t="shared" si="13"/>
        <v>-102151</v>
      </c>
    </row>
    <row r="301" spans="1:14" ht="15.6" x14ac:dyDescent="0.3">
      <c r="A301" s="272">
        <v>90901</v>
      </c>
      <c r="B301" s="274" t="s">
        <v>726</v>
      </c>
      <c r="C301" s="276">
        <v>26680105</v>
      </c>
      <c r="D301" s="259">
        <v>0</v>
      </c>
      <c r="E301" s="281">
        <v>17767</v>
      </c>
      <c r="F301" s="276">
        <v>1282371</v>
      </c>
      <c r="G301" s="276">
        <v>4366778</v>
      </c>
      <c r="H301" s="276">
        <v>1345013</v>
      </c>
      <c r="I301" s="259">
        <v>0</v>
      </c>
      <c r="J301" s="276">
        <v>8021209</v>
      </c>
      <c r="K301" s="276">
        <v>942860</v>
      </c>
      <c r="L301" s="276">
        <v>-393838</v>
      </c>
      <c r="M301" s="276">
        <v>931144</v>
      </c>
      <c r="N301" s="238">
        <f t="shared" si="13"/>
        <v>537306</v>
      </c>
    </row>
    <row r="302" spans="1:14" ht="15.6" x14ac:dyDescent="0.3">
      <c r="A302" s="272">
        <v>91041</v>
      </c>
      <c r="B302" s="274" t="s">
        <v>727</v>
      </c>
      <c r="C302" s="276">
        <v>5160614</v>
      </c>
      <c r="D302" s="259">
        <v>0</v>
      </c>
      <c r="E302" s="281">
        <v>3437</v>
      </c>
      <c r="F302" s="276">
        <v>248043</v>
      </c>
      <c r="G302" s="276">
        <v>851586</v>
      </c>
      <c r="H302" s="276">
        <v>260160</v>
      </c>
      <c r="I302" s="259">
        <v>0</v>
      </c>
      <c r="J302" s="276">
        <v>1551507</v>
      </c>
      <c r="K302" s="276">
        <v>0</v>
      </c>
      <c r="L302" s="276">
        <v>-76178</v>
      </c>
      <c r="M302" s="276">
        <v>233109</v>
      </c>
      <c r="N302" s="238">
        <f t="shared" si="13"/>
        <v>156931</v>
      </c>
    </row>
    <row r="303" spans="1:14" s="193" customFormat="1" ht="15.6" x14ac:dyDescent="0.3">
      <c r="A303" s="272">
        <v>91111</v>
      </c>
      <c r="B303" s="274" t="s">
        <v>728</v>
      </c>
      <c r="C303" s="276">
        <v>2441391</v>
      </c>
      <c r="D303" s="259">
        <v>0</v>
      </c>
      <c r="E303" s="281">
        <v>1626</v>
      </c>
      <c r="F303" s="276">
        <v>117345</v>
      </c>
      <c r="G303" s="276">
        <v>316173</v>
      </c>
      <c r="H303" s="276">
        <v>123077</v>
      </c>
      <c r="I303" s="259">
        <v>0</v>
      </c>
      <c r="J303" s="276">
        <v>733989</v>
      </c>
      <c r="K303" s="276">
        <v>212311</v>
      </c>
      <c r="L303" s="276">
        <v>-36039</v>
      </c>
      <c r="M303" s="276">
        <v>54502</v>
      </c>
      <c r="N303" s="238">
        <f t="shared" si="13"/>
        <v>18463</v>
      </c>
    </row>
    <row r="304" spans="1:14" s="193" customFormat="1" ht="15.6" x14ac:dyDescent="0.3">
      <c r="A304" s="6">
        <v>91151</v>
      </c>
      <c r="B304" s="275" t="s">
        <v>729</v>
      </c>
      <c r="C304" s="239">
        <v>7174024</v>
      </c>
      <c r="D304" s="259">
        <v>0</v>
      </c>
      <c r="E304" s="282">
        <v>4777</v>
      </c>
      <c r="F304" s="239">
        <v>344817</v>
      </c>
      <c r="G304" s="239">
        <v>870252</v>
      </c>
      <c r="H304" s="239">
        <v>361661</v>
      </c>
      <c r="I304" s="259">
        <v>0</v>
      </c>
      <c r="J304" s="239">
        <v>2156826</v>
      </c>
      <c r="K304" s="239">
        <v>402232</v>
      </c>
      <c r="L304" s="239">
        <v>-105899</v>
      </c>
      <c r="M304" s="239">
        <v>153722</v>
      </c>
      <c r="N304" s="240">
        <f t="shared" si="13"/>
        <v>47823</v>
      </c>
    </row>
    <row r="305" spans="1:14" s="193" customFormat="1" ht="15.6" x14ac:dyDescent="0.3">
      <c r="A305" s="6">
        <v>98101</v>
      </c>
      <c r="B305" s="275" t="s">
        <v>730</v>
      </c>
      <c r="C305" s="239">
        <v>32129166</v>
      </c>
      <c r="D305" s="259">
        <v>0</v>
      </c>
      <c r="E305" s="282">
        <v>21395</v>
      </c>
      <c r="F305" s="239">
        <v>1544279</v>
      </c>
      <c r="G305" s="239">
        <v>4024576</v>
      </c>
      <c r="H305" s="239">
        <v>1619715</v>
      </c>
      <c r="I305" s="259">
        <v>0</v>
      </c>
      <c r="J305" s="239">
        <v>9659435</v>
      </c>
      <c r="K305" s="239">
        <v>1966440</v>
      </c>
      <c r="L305" s="239">
        <v>-474274</v>
      </c>
      <c r="M305" s="239">
        <v>647433</v>
      </c>
      <c r="N305" s="240">
        <f t="shared" si="13"/>
        <v>173159</v>
      </c>
    </row>
    <row r="306" spans="1:14" s="193" customFormat="1" ht="15.6" x14ac:dyDescent="0.3">
      <c r="A306" s="6">
        <v>98103</v>
      </c>
      <c r="B306" s="275" t="s">
        <v>869</v>
      </c>
      <c r="C306" s="239">
        <v>5784690</v>
      </c>
      <c r="D306" s="259">
        <v>0</v>
      </c>
      <c r="E306" s="282">
        <v>3852</v>
      </c>
      <c r="F306" s="239">
        <v>278039</v>
      </c>
      <c r="G306" s="239">
        <v>301399</v>
      </c>
      <c r="H306" s="239">
        <v>291621</v>
      </c>
      <c r="I306" s="259">
        <v>0</v>
      </c>
      <c r="J306" s="239">
        <v>1739131</v>
      </c>
      <c r="K306" s="239">
        <v>375768</v>
      </c>
      <c r="L306" s="239">
        <v>-85391</v>
      </c>
      <c r="M306" s="239">
        <v>-16199</v>
      </c>
      <c r="N306" s="240">
        <f t="shared" si="13"/>
        <v>-101590</v>
      </c>
    </row>
    <row r="307" spans="1:14" s="193" customFormat="1" ht="15.6" x14ac:dyDescent="0.3">
      <c r="A307" s="6">
        <v>98111</v>
      </c>
      <c r="B307" s="275" t="s">
        <v>731</v>
      </c>
      <c r="C307" s="240">
        <v>11995749</v>
      </c>
      <c r="D307" s="259">
        <v>0</v>
      </c>
      <c r="E307" s="283">
        <v>7988</v>
      </c>
      <c r="F307" s="240">
        <v>576572</v>
      </c>
      <c r="G307" s="240">
        <v>754184</v>
      </c>
      <c r="H307" s="240">
        <v>604737</v>
      </c>
      <c r="I307" s="259">
        <v>0</v>
      </c>
      <c r="J307" s="240">
        <v>3606448</v>
      </c>
      <c r="K307" s="240">
        <v>65116</v>
      </c>
      <c r="L307" s="240">
        <v>-177075</v>
      </c>
      <c r="M307" s="240">
        <v>184294</v>
      </c>
      <c r="N307" s="240">
        <f t="shared" si="13"/>
        <v>7219</v>
      </c>
    </row>
    <row r="308" spans="1:14" ht="15.6" x14ac:dyDescent="0.3">
      <c r="A308" s="273">
        <v>98131</v>
      </c>
      <c r="B308" s="275" t="s">
        <v>732</v>
      </c>
      <c r="C308" s="277">
        <v>2588269</v>
      </c>
      <c r="D308" s="259">
        <v>0</v>
      </c>
      <c r="E308" s="277">
        <v>1724</v>
      </c>
      <c r="F308" s="279">
        <v>124404</v>
      </c>
      <c r="G308" s="277">
        <v>125700</v>
      </c>
      <c r="H308" s="277">
        <v>130481</v>
      </c>
      <c r="I308" s="259">
        <v>0</v>
      </c>
      <c r="J308" s="277">
        <v>778147</v>
      </c>
      <c r="K308" s="286">
        <v>520045</v>
      </c>
      <c r="L308" s="277">
        <v>-38207</v>
      </c>
      <c r="M308" s="279">
        <v>-121245</v>
      </c>
      <c r="N308" s="240">
        <f t="shared" si="13"/>
        <v>-159452</v>
      </c>
    </row>
    <row r="309" spans="1:14" ht="15.6" x14ac:dyDescent="0.3">
      <c r="A309" s="273">
        <v>99401</v>
      </c>
      <c r="B309" s="275" t="s">
        <v>733</v>
      </c>
      <c r="C309" s="277">
        <v>9514836</v>
      </c>
      <c r="D309" s="259">
        <v>0</v>
      </c>
      <c r="E309" s="277">
        <v>6336</v>
      </c>
      <c r="F309" s="279">
        <v>457328</v>
      </c>
      <c r="G309" s="277">
        <v>801968</v>
      </c>
      <c r="H309" s="277">
        <v>479668</v>
      </c>
      <c r="I309" s="259">
        <v>0</v>
      </c>
      <c r="J309" s="277">
        <v>2860577</v>
      </c>
      <c r="K309" s="286">
        <v>1067224</v>
      </c>
      <c r="L309" s="277">
        <v>-140453</v>
      </c>
      <c r="M309" s="279">
        <v>-17655</v>
      </c>
      <c r="N309" s="240">
        <f t="shared" si="13"/>
        <v>-158108</v>
      </c>
    </row>
    <row r="310" spans="1:14" ht="15.6" x14ac:dyDescent="0.3">
      <c r="A310" s="272">
        <v>99521</v>
      </c>
      <c r="B310" s="274" t="s">
        <v>734</v>
      </c>
      <c r="C310" s="276">
        <v>5716124</v>
      </c>
      <c r="D310" s="259">
        <v>0</v>
      </c>
      <c r="E310" s="281">
        <v>3806</v>
      </c>
      <c r="F310" s="276">
        <v>274744</v>
      </c>
      <c r="G310" s="276">
        <v>1250569</v>
      </c>
      <c r="H310" s="276">
        <v>288165</v>
      </c>
      <c r="I310" s="259">
        <v>0</v>
      </c>
      <c r="J310" s="276">
        <v>1718517</v>
      </c>
      <c r="K310" s="276">
        <v>0</v>
      </c>
      <c r="L310" s="276">
        <v>-84378</v>
      </c>
      <c r="M310" s="276">
        <v>323235</v>
      </c>
      <c r="N310" s="240">
        <f t="shared" si="13"/>
        <v>238857</v>
      </c>
    </row>
    <row r="311" spans="1:14" ht="15.6" x14ac:dyDescent="0.3">
      <c r="A311" s="272">
        <v>99831</v>
      </c>
      <c r="B311" s="274" t="s">
        <v>735</v>
      </c>
      <c r="C311" s="278">
        <v>636639</v>
      </c>
      <c r="D311" s="259">
        <v>0</v>
      </c>
      <c r="E311" s="284">
        <v>424</v>
      </c>
      <c r="F311" s="278">
        <v>30600</v>
      </c>
      <c r="G311" s="278">
        <v>206510</v>
      </c>
      <c r="H311" s="278">
        <v>32095</v>
      </c>
      <c r="I311" s="259">
        <v>0</v>
      </c>
      <c r="J311" s="278">
        <v>191402</v>
      </c>
      <c r="K311" s="278">
        <v>153268</v>
      </c>
      <c r="L311" s="278">
        <v>-9398</v>
      </c>
      <c r="M311" s="278">
        <v>21188</v>
      </c>
      <c r="N311" s="240">
        <f t="shared" si="13"/>
        <v>11790</v>
      </c>
    </row>
    <row r="312" spans="1:14" ht="13.8" thickBot="1" x14ac:dyDescent="0.3">
      <c r="C312" s="237">
        <f>SUM(C4:C311)</f>
        <v>31639499499</v>
      </c>
      <c r="D312" s="237">
        <f t="shared" ref="D312:N312" si="14">SUM(D4:D311)</f>
        <v>0</v>
      </c>
      <c r="E312" s="237">
        <f t="shared" si="14"/>
        <v>21069394</v>
      </c>
      <c r="F312" s="237">
        <f t="shared" si="14"/>
        <v>1520743317</v>
      </c>
      <c r="G312" s="237">
        <f t="shared" si="14"/>
        <v>1653733682</v>
      </c>
      <c r="H312" s="237">
        <f t="shared" si="14"/>
        <v>1595029353</v>
      </c>
      <c r="I312" s="237">
        <f t="shared" si="14"/>
        <v>0</v>
      </c>
      <c r="J312" s="237">
        <f t="shared" si="14"/>
        <v>9512220240</v>
      </c>
      <c r="K312" s="237">
        <f t="shared" si="14"/>
        <v>1653733820</v>
      </c>
      <c r="L312" s="237">
        <f t="shared" si="14"/>
        <v>-467046016</v>
      </c>
      <c r="M312" s="237">
        <f t="shared" si="14"/>
        <v>103</v>
      </c>
      <c r="N312" s="237">
        <f t="shared" si="14"/>
        <v>-467045913</v>
      </c>
    </row>
    <row r="313" spans="1:14" ht="13.8" thickTop="1" x14ac:dyDescent="0.25"/>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3"/>
  <sheetViews>
    <sheetView workbookViewId="0">
      <selection activeCell="A312" sqref="A312:XFD314"/>
    </sheetView>
  </sheetViews>
  <sheetFormatPr defaultRowHeight="13.2" x14ac:dyDescent="0.25"/>
  <cols>
    <col min="1" max="1" width="15.33203125" customWidth="1"/>
    <col min="2" max="2" width="55.5546875" style="150" bestFit="1" customWidth="1"/>
    <col min="3" max="7" width="19.33203125" customWidth="1"/>
    <col min="8" max="8" width="9.109375" customWidth="1"/>
  </cols>
  <sheetData>
    <row r="1" spans="1:8" x14ac:dyDescent="0.25">
      <c r="A1" s="18">
        <v>1</v>
      </c>
      <c r="B1" s="228">
        <v>2</v>
      </c>
      <c r="C1" s="18">
        <v>3</v>
      </c>
      <c r="D1" s="18">
        <v>4</v>
      </c>
      <c r="E1" s="18">
        <v>5</v>
      </c>
      <c r="F1" s="18">
        <v>6</v>
      </c>
      <c r="G1" s="18">
        <v>7</v>
      </c>
    </row>
    <row r="2" spans="1:8" ht="14.4" x14ac:dyDescent="0.3">
      <c r="C2" s="56" t="s">
        <v>736</v>
      </c>
      <c r="D2" s="56" t="s">
        <v>737</v>
      </c>
      <c r="E2" s="56" t="s">
        <v>738</v>
      </c>
      <c r="F2" s="56" t="s">
        <v>739</v>
      </c>
      <c r="G2" s="56" t="s">
        <v>759</v>
      </c>
    </row>
    <row r="3" spans="1:8" ht="43.2" x14ac:dyDescent="0.3">
      <c r="A3" s="56" t="s">
        <v>164</v>
      </c>
      <c r="B3" s="56" t="s">
        <v>165</v>
      </c>
      <c r="C3" s="56" t="s">
        <v>132</v>
      </c>
      <c r="D3" s="56" t="s">
        <v>132</v>
      </c>
      <c r="E3" s="56" t="s">
        <v>132</v>
      </c>
      <c r="F3" s="56" t="s">
        <v>132</v>
      </c>
      <c r="G3" s="56" t="s">
        <v>132</v>
      </c>
    </row>
    <row r="4" spans="1:8" ht="15.6" x14ac:dyDescent="0.3">
      <c r="A4" s="241">
        <v>10200</v>
      </c>
      <c r="B4" s="260" t="s">
        <v>246</v>
      </c>
      <c r="C4" s="263">
        <v>-2788505</v>
      </c>
      <c r="D4" s="264">
        <v>-2788505</v>
      </c>
      <c r="E4" s="264">
        <v>-2785641</v>
      </c>
      <c r="F4" s="264">
        <v>-905061</v>
      </c>
      <c r="G4" s="264">
        <v>308494</v>
      </c>
      <c r="H4" s="264">
        <v>0</v>
      </c>
    </row>
    <row r="5" spans="1:8" ht="15.6" x14ac:dyDescent="0.3">
      <c r="A5" s="241">
        <v>10400</v>
      </c>
      <c r="B5" s="260" t="s">
        <v>247</v>
      </c>
      <c r="C5" s="263">
        <v>-8034664</v>
      </c>
      <c r="D5" s="264">
        <v>-8034664</v>
      </c>
      <c r="E5" s="264">
        <v>-8026302</v>
      </c>
      <c r="F5" s="264">
        <v>-2739607</v>
      </c>
      <c r="G5" s="264">
        <v>837029</v>
      </c>
      <c r="H5" s="264">
        <v>0</v>
      </c>
    </row>
    <row r="6" spans="1:8" ht="15.6" x14ac:dyDescent="0.3">
      <c r="A6" s="241">
        <v>10500</v>
      </c>
      <c r="B6" s="260" t="s">
        <v>248</v>
      </c>
      <c r="C6" s="263">
        <v>-1674636</v>
      </c>
      <c r="D6" s="264">
        <v>-1674636</v>
      </c>
      <c r="E6" s="264">
        <v>-1672633</v>
      </c>
      <c r="F6" s="264">
        <v>-767012</v>
      </c>
      <c r="G6" s="264">
        <v>59045</v>
      </c>
      <c r="H6" s="264">
        <v>0</v>
      </c>
    </row>
    <row r="7" spans="1:8" ht="15.6" x14ac:dyDescent="0.3">
      <c r="A7" s="241">
        <v>10700</v>
      </c>
      <c r="B7" s="260" t="s">
        <v>249</v>
      </c>
      <c r="C7" s="263">
        <v>-8406042</v>
      </c>
      <c r="D7" s="264">
        <v>-8406042</v>
      </c>
      <c r="E7" s="264">
        <v>-8392771</v>
      </c>
      <c r="F7" s="264">
        <v>-905771</v>
      </c>
      <c r="G7" s="264">
        <v>3064696</v>
      </c>
      <c r="H7" s="264">
        <v>0</v>
      </c>
    </row>
    <row r="8" spans="1:8" ht="15.6" x14ac:dyDescent="0.3">
      <c r="A8" s="241">
        <v>10800</v>
      </c>
      <c r="B8" s="260" t="s">
        <v>250</v>
      </c>
      <c r="C8" s="263">
        <v>-41778380</v>
      </c>
      <c r="D8" s="264">
        <v>-41778380</v>
      </c>
      <c r="E8" s="264">
        <v>-41723863</v>
      </c>
      <c r="F8" s="264">
        <v>-11162708</v>
      </c>
      <c r="G8" s="264">
        <v>5403224</v>
      </c>
      <c r="H8" s="264">
        <v>0</v>
      </c>
    </row>
    <row r="9" spans="1:8" ht="15.6" x14ac:dyDescent="0.3">
      <c r="A9" s="241">
        <v>10850</v>
      </c>
      <c r="B9" s="260" t="s">
        <v>251</v>
      </c>
      <c r="C9" s="263">
        <v>-175833</v>
      </c>
      <c r="D9" s="264">
        <v>-175833</v>
      </c>
      <c r="E9" s="264">
        <v>-175379</v>
      </c>
      <c r="F9" s="264">
        <v>90452</v>
      </c>
      <c r="G9" s="264">
        <v>28108</v>
      </c>
      <c r="H9" s="264">
        <v>0</v>
      </c>
    </row>
    <row r="10" spans="1:8" ht="15.6" x14ac:dyDescent="0.3">
      <c r="A10" s="241">
        <v>10900</v>
      </c>
      <c r="B10" s="260" t="s">
        <v>252</v>
      </c>
      <c r="C10" s="263">
        <v>-5557813</v>
      </c>
      <c r="D10" s="264">
        <v>-5557813</v>
      </c>
      <c r="E10" s="264">
        <v>-5553754</v>
      </c>
      <c r="F10" s="264">
        <v>-2429285</v>
      </c>
      <c r="G10" s="264">
        <v>537397</v>
      </c>
      <c r="H10" s="264">
        <v>0</v>
      </c>
    </row>
    <row r="11" spans="1:8" ht="15.6" x14ac:dyDescent="0.3">
      <c r="A11" s="241">
        <v>10910</v>
      </c>
      <c r="B11" s="260" t="s">
        <v>253</v>
      </c>
      <c r="C11" s="263">
        <v>-489174</v>
      </c>
      <c r="D11" s="264">
        <v>-489174</v>
      </c>
      <c r="E11" s="264">
        <v>-488291</v>
      </c>
      <c r="F11" s="264">
        <v>40005</v>
      </c>
      <c r="G11" s="264">
        <v>246473</v>
      </c>
      <c r="H11" s="264">
        <v>0</v>
      </c>
    </row>
    <row r="12" spans="1:8" ht="15.6" x14ac:dyDescent="0.3">
      <c r="A12" s="241">
        <v>10930</v>
      </c>
      <c r="B12" s="260" t="s">
        <v>254</v>
      </c>
      <c r="C12" s="263">
        <v>2476745</v>
      </c>
      <c r="D12" s="264">
        <v>2476745</v>
      </c>
      <c r="E12" s="264">
        <v>2489377</v>
      </c>
      <c r="F12" s="264">
        <v>9599368</v>
      </c>
      <c r="G12" s="264">
        <v>14709154</v>
      </c>
      <c r="H12" s="264">
        <v>0</v>
      </c>
    </row>
    <row r="13" spans="1:8" ht="15.6" x14ac:dyDescent="0.3">
      <c r="A13" s="241">
        <v>10940</v>
      </c>
      <c r="B13" s="260" t="s">
        <v>255</v>
      </c>
      <c r="C13" s="263">
        <v>-1687739</v>
      </c>
      <c r="D13" s="264">
        <v>-1687739</v>
      </c>
      <c r="E13" s="264">
        <v>-1686004</v>
      </c>
      <c r="F13" s="264">
        <v>-646505</v>
      </c>
      <c r="G13" s="264">
        <v>-79053</v>
      </c>
      <c r="H13" s="264">
        <v>0</v>
      </c>
    </row>
    <row r="14" spans="1:8" ht="15.6" x14ac:dyDescent="0.3">
      <c r="A14" s="241">
        <v>10950</v>
      </c>
      <c r="B14" s="260" t="s">
        <v>256</v>
      </c>
      <c r="C14" s="263">
        <v>-2125549</v>
      </c>
      <c r="D14" s="264">
        <v>-2125549</v>
      </c>
      <c r="E14" s="264">
        <v>-2123166</v>
      </c>
      <c r="F14" s="264">
        <v>-153064</v>
      </c>
      <c r="G14" s="264">
        <v>654529</v>
      </c>
      <c r="H14" s="264">
        <v>0</v>
      </c>
    </row>
    <row r="15" spans="1:8" ht="15.6" x14ac:dyDescent="0.3">
      <c r="A15" s="241">
        <v>11050</v>
      </c>
      <c r="B15" s="260" t="s">
        <v>554</v>
      </c>
      <c r="C15" s="263">
        <v>868338</v>
      </c>
      <c r="D15" s="264">
        <v>868338</v>
      </c>
      <c r="E15" s="264">
        <v>868936</v>
      </c>
      <c r="F15" s="264">
        <v>1314456</v>
      </c>
      <c r="G15" s="264">
        <v>44022</v>
      </c>
      <c r="H15" s="264">
        <v>0</v>
      </c>
    </row>
    <row r="16" spans="1:8" ht="15.6" x14ac:dyDescent="0.3">
      <c r="A16" s="241">
        <v>11300</v>
      </c>
      <c r="B16" s="260" t="s">
        <v>257</v>
      </c>
      <c r="C16" s="263">
        <v>-13735015</v>
      </c>
      <c r="D16" s="264">
        <v>-13735015</v>
      </c>
      <c r="E16" s="264">
        <v>-13722375</v>
      </c>
      <c r="F16" s="264">
        <v>-3223778</v>
      </c>
      <c r="G16" s="264">
        <v>1748499</v>
      </c>
      <c r="H16" s="264">
        <v>0</v>
      </c>
    </row>
    <row r="17" spans="1:8" ht="15.6" x14ac:dyDescent="0.3">
      <c r="A17" s="241">
        <v>11310</v>
      </c>
      <c r="B17" s="260" t="s">
        <v>258</v>
      </c>
      <c r="C17" s="263">
        <v>-998217</v>
      </c>
      <c r="D17" s="264">
        <v>-998217</v>
      </c>
      <c r="E17" s="264">
        <v>-996767</v>
      </c>
      <c r="F17" s="264">
        <v>-83741</v>
      </c>
      <c r="G17" s="264">
        <v>184559</v>
      </c>
      <c r="H17" s="264">
        <v>0</v>
      </c>
    </row>
    <row r="18" spans="1:8" ht="15.6" x14ac:dyDescent="0.3">
      <c r="A18" s="241">
        <v>11600</v>
      </c>
      <c r="B18" s="260" t="s">
        <v>259</v>
      </c>
      <c r="C18" s="263">
        <v>-4294374</v>
      </c>
      <c r="D18" s="264">
        <v>-4294374</v>
      </c>
      <c r="E18" s="264">
        <v>-4288063</v>
      </c>
      <c r="F18" s="264">
        <v>-430347</v>
      </c>
      <c r="G18" s="264">
        <v>1874146</v>
      </c>
      <c r="H18" s="264">
        <v>0</v>
      </c>
    </row>
    <row r="19" spans="1:8" ht="15.6" x14ac:dyDescent="0.3">
      <c r="A19" s="241">
        <v>11900</v>
      </c>
      <c r="B19" s="260" t="s">
        <v>260</v>
      </c>
      <c r="C19" s="263">
        <v>-560591</v>
      </c>
      <c r="D19" s="264">
        <v>-560591</v>
      </c>
      <c r="E19" s="264">
        <v>-559907</v>
      </c>
      <c r="F19" s="264">
        <v>20976</v>
      </c>
      <c r="G19" s="264">
        <v>307952</v>
      </c>
      <c r="H19" s="264">
        <v>0</v>
      </c>
    </row>
    <row r="20" spans="1:8" ht="15.6" x14ac:dyDescent="0.3">
      <c r="A20" s="241">
        <v>12100</v>
      </c>
      <c r="B20" s="260" t="s">
        <v>261</v>
      </c>
      <c r="C20" s="263">
        <v>-820755</v>
      </c>
      <c r="D20" s="264">
        <v>-820755</v>
      </c>
      <c r="E20" s="264">
        <v>-820061</v>
      </c>
      <c r="F20" s="264">
        <v>-308709</v>
      </c>
      <c r="G20" s="264">
        <v>86212</v>
      </c>
      <c r="H20" s="264">
        <v>0</v>
      </c>
    </row>
    <row r="21" spans="1:8" ht="15.6" x14ac:dyDescent="0.3">
      <c r="A21" s="241">
        <v>12150</v>
      </c>
      <c r="B21" s="260" t="s">
        <v>262</v>
      </c>
      <c r="C21" s="263">
        <v>-96021</v>
      </c>
      <c r="D21" s="264">
        <v>-96021</v>
      </c>
      <c r="E21" s="264">
        <v>-95895</v>
      </c>
      <c r="F21" s="264">
        <v>-1104</v>
      </c>
      <c r="G21" s="264">
        <v>29902</v>
      </c>
      <c r="H21" s="264">
        <v>0</v>
      </c>
    </row>
    <row r="22" spans="1:8" ht="15.6" x14ac:dyDescent="0.3">
      <c r="A22" s="241">
        <v>12160</v>
      </c>
      <c r="B22" s="260" t="s">
        <v>263</v>
      </c>
      <c r="C22" s="263">
        <v>-4776464</v>
      </c>
      <c r="D22" s="264">
        <v>-4776464</v>
      </c>
      <c r="E22" s="264">
        <v>-4771564</v>
      </c>
      <c r="F22" s="264">
        <v>-1209682</v>
      </c>
      <c r="G22" s="264">
        <v>119956</v>
      </c>
      <c r="H22" s="264">
        <v>0</v>
      </c>
    </row>
    <row r="23" spans="1:8" ht="15.6" x14ac:dyDescent="0.3">
      <c r="A23" s="241">
        <v>12220</v>
      </c>
      <c r="B23" s="260" t="s">
        <v>264</v>
      </c>
      <c r="C23" s="263">
        <v>-110204354</v>
      </c>
      <c r="D23" s="264">
        <v>-110204354</v>
      </c>
      <c r="E23" s="264">
        <v>-110077292</v>
      </c>
      <c r="F23" s="264">
        <v>-28134552</v>
      </c>
      <c r="G23" s="264">
        <v>13438877</v>
      </c>
      <c r="H23" s="264">
        <v>0</v>
      </c>
    </row>
    <row r="24" spans="1:8" ht="15.6" x14ac:dyDescent="0.3">
      <c r="A24" s="241">
        <v>12510</v>
      </c>
      <c r="B24" s="260" t="s">
        <v>265</v>
      </c>
      <c r="C24" s="263">
        <v>-15730602</v>
      </c>
      <c r="D24" s="264">
        <v>-15730602</v>
      </c>
      <c r="E24" s="264">
        <v>-15718958</v>
      </c>
      <c r="F24" s="264">
        <v>-7818476</v>
      </c>
      <c r="G24" s="264">
        <v>515009</v>
      </c>
      <c r="H24" s="264">
        <v>0</v>
      </c>
    </row>
    <row r="25" spans="1:8" ht="15.6" x14ac:dyDescent="0.3">
      <c r="A25" s="241">
        <v>12600</v>
      </c>
      <c r="B25" s="260" t="s">
        <v>266</v>
      </c>
      <c r="C25" s="263">
        <v>-1235130</v>
      </c>
      <c r="D25" s="264">
        <v>-1235130</v>
      </c>
      <c r="E25" s="264">
        <v>-1229872</v>
      </c>
      <c r="F25" s="264">
        <v>2291656</v>
      </c>
      <c r="G25" s="264">
        <v>735353</v>
      </c>
      <c r="H25" s="264">
        <v>0</v>
      </c>
    </row>
    <row r="26" spans="1:8" ht="15.6" x14ac:dyDescent="0.3">
      <c r="A26" s="241">
        <v>12700</v>
      </c>
      <c r="B26" s="260" t="s">
        <v>267</v>
      </c>
      <c r="C26" s="263">
        <v>-2608269</v>
      </c>
      <c r="D26" s="264">
        <v>-2608269</v>
      </c>
      <c r="E26" s="264">
        <v>-2605260</v>
      </c>
      <c r="F26" s="264">
        <v>-434694</v>
      </c>
      <c r="G26" s="264">
        <v>276733</v>
      </c>
      <c r="H26" s="264">
        <v>0</v>
      </c>
    </row>
    <row r="27" spans="1:8" ht="15.6" x14ac:dyDescent="0.3">
      <c r="A27" s="241">
        <v>13500</v>
      </c>
      <c r="B27" s="260" t="s">
        <v>268</v>
      </c>
      <c r="C27" s="263">
        <v>-9497823</v>
      </c>
      <c r="D27" s="264">
        <v>-9497823</v>
      </c>
      <c r="E27" s="264">
        <v>-9486315</v>
      </c>
      <c r="F27" s="264">
        <v>-3671221</v>
      </c>
      <c r="G27" s="264">
        <v>298843</v>
      </c>
      <c r="H27" s="264">
        <v>0</v>
      </c>
    </row>
    <row r="28" spans="1:8" ht="15.6" x14ac:dyDescent="0.3">
      <c r="A28" s="241">
        <v>13700</v>
      </c>
      <c r="B28" s="260" t="s">
        <v>269</v>
      </c>
      <c r="C28" s="263">
        <v>-1338751</v>
      </c>
      <c r="D28" s="264">
        <v>-1338751</v>
      </c>
      <c r="E28" s="264">
        <v>-1337508</v>
      </c>
      <c r="F28" s="264">
        <v>-321507</v>
      </c>
      <c r="G28" s="264">
        <v>52320</v>
      </c>
      <c r="H28" s="264">
        <v>0</v>
      </c>
    </row>
    <row r="29" spans="1:8" ht="15.6" x14ac:dyDescent="0.3">
      <c r="A29" s="241">
        <v>14300</v>
      </c>
      <c r="B29" s="260" t="s">
        <v>270</v>
      </c>
      <c r="C29" s="263">
        <v>-3192396</v>
      </c>
      <c r="D29" s="264">
        <v>-3192396</v>
      </c>
      <c r="E29" s="264">
        <v>-3188324</v>
      </c>
      <c r="F29" s="264">
        <v>-1714997</v>
      </c>
      <c r="G29" s="264">
        <v>-32660</v>
      </c>
      <c r="H29" s="264">
        <v>0</v>
      </c>
    </row>
    <row r="30" spans="1:8" ht="15.6" x14ac:dyDescent="0.3">
      <c r="A30" s="242">
        <v>14300.2</v>
      </c>
      <c r="B30" s="260" t="s">
        <v>271</v>
      </c>
      <c r="C30" s="263">
        <v>-302623</v>
      </c>
      <c r="D30" s="264">
        <v>-302623</v>
      </c>
      <c r="E30" s="264">
        <v>-302183</v>
      </c>
      <c r="F30" s="264">
        <v>-277440</v>
      </c>
      <c r="G30" s="264">
        <v>63361</v>
      </c>
      <c r="H30" s="264">
        <v>0</v>
      </c>
    </row>
    <row r="31" spans="1:8" ht="15.6" x14ac:dyDescent="0.3">
      <c r="A31" s="241">
        <v>18400</v>
      </c>
      <c r="B31" s="260" t="s">
        <v>272</v>
      </c>
      <c r="C31" s="263">
        <v>-13352799</v>
      </c>
      <c r="D31" s="264">
        <v>-13352799</v>
      </c>
      <c r="E31" s="264">
        <v>-13338166</v>
      </c>
      <c r="F31" s="264">
        <v>-3975424</v>
      </c>
      <c r="G31" s="264">
        <v>1128177</v>
      </c>
      <c r="H31" s="264">
        <v>0</v>
      </c>
    </row>
    <row r="32" spans="1:8" ht="15.6" x14ac:dyDescent="0.3">
      <c r="A32" s="241">
        <v>18600</v>
      </c>
      <c r="B32" s="260" t="s">
        <v>273</v>
      </c>
      <c r="C32" s="263">
        <v>-85462</v>
      </c>
      <c r="D32" s="264">
        <v>-85462</v>
      </c>
      <c r="E32" s="264">
        <v>-85421</v>
      </c>
      <c r="F32" s="264">
        <v>-18180</v>
      </c>
      <c r="G32" s="264">
        <v>2788</v>
      </c>
      <c r="H32" s="264">
        <v>0</v>
      </c>
    </row>
    <row r="33" spans="1:8" ht="15.6" x14ac:dyDescent="0.3">
      <c r="A33" s="241">
        <v>18640</v>
      </c>
      <c r="B33" s="260" t="s">
        <v>555</v>
      </c>
      <c r="C33" s="263">
        <v>6174</v>
      </c>
      <c r="D33" s="264">
        <v>6174</v>
      </c>
      <c r="E33" s="264">
        <v>6179</v>
      </c>
      <c r="F33" s="264">
        <v>9356</v>
      </c>
      <c r="G33" s="264">
        <v>3899</v>
      </c>
      <c r="H33" s="264">
        <v>0</v>
      </c>
    </row>
    <row r="34" spans="1:8" ht="15.6" x14ac:dyDescent="0.3">
      <c r="A34" s="241">
        <v>18690</v>
      </c>
      <c r="B34" s="260" t="s">
        <v>274</v>
      </c>
      <c r="C34" s="263">
        <v>-29536</v>
      </c>
      <c r="D34" s="264">
        <v>-29536</v>
      </c>
      <c r="E34" s="264">
        <v>-29536</v>
      </c>
      <c r="F34" s="264">
        <v>0</v>
      </c>
      <c r="G34" s="264">
        <v>0</v>
      </c>
      <c r="H34" s="264">
        <v>0</v>
      </c>
    </row>
    <row r="35" spans="1:8" ht="15.6" x14ac:dyDescent="0.3">
      <c r="A35" s="241">
        <v>18740</v>
      </c>
      <c r="B35" s="260" t="s">
        <v>275</v>
      </c>
      <c r="C35" s="263">
        <v>-14762</v>
      </c>
      <c r="D35" s="264">
        <v>-14762</v>
      </c>
      <c r="E35" s="264">
        <v>-14742</v>
      </c>
      <c r="F35" s="264">
        <v>-5935</v>
      </c>
      <c r="G35" s="264">
        <v>1499</v>
      </c>
      <c r="H35" s="264">
        <v>0</v>
      </c>
    </row>
    <row r="36" spans="1:8" ht="15.6" x14ac:dyDescent="0.3">
      <c r="A36" s="241">
        <v>18780</v>
      </c>
      <c r="B36" s="260" t="s">
        <v>276</v>
      </c>
      <c r="C36" s="263">
        <v>-9544</v>
      </c>
      <c r="D36" s="264">
        <v>-9544</v>
      </c>
      <c r="E36" s="264">
        <v>-9489</v>
      </c>
      <c r="F36" s="264">
        <v>31665</v>
      </c>
      <c r="G36" s="264">
        <v>9470</v>
      </c>
      <c r="H36" s="264">
        <v>0</v>
      </c>
    </row>
    <row r="37" spans="1:8" ht="15.6" x14ac:dyDescent="0.3">
      <c r="A37" s="241">
        <v>19005</v>
      </c>
      <c r="B37" s="260" t="s">
        <v>277</v>
      </c>
      <c r="C37" s="263">
        <v>-1672453</v>
      </c>
      <c r="D37" s="264">
        <v>-1672453</v>
      </c>
      <c r="E37" s="264">
        <v>-1670360</v>
      </c>
      <c r="F37" s="264">
        <v>-306546</v>
      </c>
      <c r="G37" s="264">
        <v>243601</v>
      </c>
      <c r="H37" s="264">
        <v>0</v>
      </c>
    </row>
    <row r="38" spans="1:8" ht="15.6" x14ac:dyDescent="0.3">
      <c r="A38" s="241">
        <v>19100</v>
      </c>
      <c r="B38" s="260" t="s">
        <v>278</v>
      </c>
      <c r="C38" s="263">
        <v>-149688363</v>
      </c>
      <c r="D38" s="264">
        <v>-149688362</v>
      </c>
      <c r="E38" s="264">
        <v>-149498340</v>
      </c>
      <c r="F38" s="264">
        <v>-35976186</v>
      </c>
      <c r="G38" s="264">
        <v>26422464</v>
      </c>
      <c r="H38" s="264">
        <v>0</v>
      </c>
    </row>
    <row r="39" spans="1:8" ht="15.6" x14ac:dyDescent="0.3">
      <c r="A39" s="241">
        <v>20100</v>
      </c>
      <c r="B39" s="260" t="s">
        <v>279</v>
      </c>
      <c r="C39" s="263">
        <v>-34166924</v>
      </c>
      <c r="D39" s="264">
        <v>-34166924</v>
      </c>
      <c r="E39" s="264">
        <v>-34135271</v>
      </c>
      <c r="F39" s="264">
        <v>-2362427</v>
      </c>
      <c r="G39" s="264">
        <v>5205083</v>
      </c>
      <c r="H39" s="264">
        <v>0</v>
      </c>
    </row>
    <row r="40" spans="1:8" ht="15.6" x14ac:dyDescent="0.3">
      <c r="A40" s="241">
        <v>20200</v>
      </c>
      <c r="B40" s="260" t="s">
        <v>280</v>
      </c>
      <c r="C40" s="263">
        <v>-3473550</v>
      </c>
      <c r="D40" s="264">
        <v>-3473550</v>
      </c>
      <c r="E40" s="264">
        <v>-3468814</v>
      </c>
      <c r="F40" s="264">
        <v>309268</v>
      </c>
      <c r="G40" s="264">
        <v>1141940</v>
      </c>
      <c r="H40" s="264">
        <v>0</v>
      </c>
    </row>
    <row r="41" spans="1:8" ht="15.6" x14ac:dyDescent="0.3">
      <c r="A41" s="241">
        <v>20300</v>
      </c>
      <c r="B41" s="260" t="s">
        <v>281</v>
      </c>
      <c r="C41" s="263">
        <v>-86180777</v>
      </c>
      <c r="D41" s="264">
        <v>-86180777</v>
      </c>
      <c r="E41" s="264">
        <v>-86106560</v>
      </c>
      <c r="F41" s="264">
        <v>-6718368</v>
      </c>
      <c r="G41" s="264">
        <v>7691093</v>
      </c>
      <c r="H41" s="264">
        <v>0</v>
      </c>
    </row>
    <row r="42" spans="1:8" ht="15.6" x14ac:dyDescent="0.3">
      <c r="A42" s="241">
        <v>20400</v>
      </c>
      <c r="B42" s="260" t="s">
        <v>282</v>
      </c>
      <c r="C42" s="263">
        <v>-4394576</v>
      </c>
      <c r="D42" s="264">
        <v>-4394576</v>
      </c>
      <c r="E42" s="264">
        <v>-4391146</v>
      </c>
      <c r="F42" s="264">
        <v>-611689</v>
      </c>
      <c r="G42" s="264">
        <v>327477</v>
      </c>
      <c r="H42" s="264">
        <v>0</v>
      </c>
    </row>
    <row r="43" spans="1:8" ht="15.6" x14ac:dyDescent="0.3">
      <c r="A43" s="241">
        <v>20600</v>
      </c>
      <c r="B43" s="260" t="s">
        <v>283</v>
      </c>
      <c r="C43" s="263">
        <v>-8082153</v>
      </c>
      <c r="D43" s="264">
        <v>-8082153</v>
      </c>
      <c r="E43" s="264">
        <v>-8073257</v>
      </c>
      <c r="F43" s="264">
        <v>262867</v>
      </c>
      <c r="G43" s="264">
        <v>1336026</v>
      </c>
      <c r="H43" s="264">
        <v>0</v>
      </c>
    </row>
    <row r="44" spans="1:8" ht="15.6" x14ac:dyDescent="0.3">
      <c r="A44" s="241">
        <v>20700</v>
      </c>
      <c r="B44" s="260" t="s">
        <v>284</v>
      </c>
      <c r="C44" s="263">
        <v>-20063566</v>
      </c>
      <c r="D44" s="264">
        <v>-20063566</v>
      </c>
      <c r="E44" s="264">
        <v>-20045727</v>
      </c>
      <c r="F44" s="264">
        <v>-1252342</v>
      </c>
      <c r="G44" s="264">
        <v>2247551</v>
      </c>
      <c r="H44" s="264">
        <v>0</v>
      </c>
    </row>
    <row r="45" spans="1:8" ht="15.6" x14ac:dyDescent="0.3">
      <c r="A45" s="241">
        <v>20800</v>
      </c>
      <c r="B45" s="260" t="s">
        <v>285</v>
      </c>
      <c r="C45" s="263">
        <v>-16627788</v>
      </c>
      <c r="D45" s="264">
        <v>-16627788</v>
      </c>
      <c r="E45" s="264">
        <v>-16614234</v>
      </c>
      <c r="F45" s="264">
        <v>-2664162</v>
      </c>
      <c r="G45" s="264">
        <v>1038731</v>
      </c>
      <c r="H45" s="264">
        <v>0</v>
      </c>
    </row>
    <row r="46" spans="1:8" ht="15.6" x14ac:dyDescent="0.3">
      <c r="A46" s="241">
        <v>20900</v>
      </c>
      <c r="B46" s="260" t="s">
        <v>286</v>
      </c>
      <c r="C46" s="263">
        <v>-30665777</v>
      </c>
      <c r="D46" s="264">
        <v>-30665777</v>
      </c>
      <c r="E46" s="264">
        <v>-30635179</v>
      </c>
      <c r="F46" s="264">
        <v>651484</v>
      </c>
      <c r="G46" s="264">
        <v>6900180</v>
      </c>
      <c r="H46" s="264">
        <v>0</v>
      </c>
    </row>
    <row r="47" spans="1:8" ht="15.6" x14ac:dyDescent="0.3">
      <c r="A47" s="241">
        <v>21200</v>
      </c>
      <c r="B47" s="260" t="s">
        <v>287</v>
      </c>
      <c r="C47" s="263">
        <v>-11126003</v>
      </c>
      <c r="D47" s="264">
        <v>-11126003</v>
      </c>
      <c r="E47" s="264">
        <v>-11116694</v>
      </c>
      <c r="F47" s="264">
        <v>-802078</v>
      </c>
      <c r="G47" s="264">
        <v>1250068</v>
      </c>
      <c r="H47" s="264">
        <v>0</v>
      </c>
    </row>
    <row r="48" spans="1:8" ht="15.6" x14ac:dyDescent="0.3">
      <c r="A48" s="241">
        <v>21300</v>
      </c>
      <c r="B48" s="260" t="s">
        <v>288</v>
      </c>
      <c r="C48" s="263">
        <v>-123900191</v>
      </c>
      <c r="D48" s="264">
        <v>-123900191</v>
      </c>
      <c r="E48" s="264">
        <v>-123781889</v>
      </c>
      <c r="F48" s="264">
        <v>-4448804</v>
      </c>
      <c r="G48" s="264">
        <v>13952089</v>
      </c>
      <c r="H48" s="264">
        <v>0</v>
      </c>
    </row>
    <row r="49" spans="1:8" ht="15.6" x14ac:dyDescent="0.3">
      <c r="A49" s="241">
        <v>21520</v>
      </c>
      <c r="B49" s="260" t="s">
        <v>47</v>
      </c>
      <c r="C49" s="263">
        <v>-233125751</v>
      </c>
      <c r="D49" s="264">
        <v>-233125751</v>
      </c>
      <c r="E49" s="264">
        <v>-232915279</v>
      </c>
      <c r="F49" s="264">
        <v>-12165891</v>
      </c>
      <c r="G49" s="264">
        <v>29453757</v>
      </c>
      <c r="H49" s="264">
        <v>0</v>
      </c>
    </row>
    <row r="50" spans="1:8" ht="15.6" x14ac:dyDescent="0.3">
      <c r="A50" s="241">
        <v>21525</v>
      </c>
      <c r="B50" s="260" t="s">
        <v>811</v>
      </c>
      <c r="C50" s="263">
        <v>-5963297</v>
      </c>
      <c r="D50" s="264">
        <v>-5963297</v>
      </c>
      <c r="E50" s="264">
        <v>-5958433</v>
      </c>
      <c r="F50" s="264">
        <v>-1727184</v>
      </c>
      <c r="G50" s="264">
        <v>591852</v>
      </c>
      <c r="H50" s="264">
        <v>0</v>
      </c>
    </row>
    <row r="51" spans="1:8" ht="15.9" customHeight="1" x14ac:dyDescent="0.3">
      <c r="A51" s="242">
        <v>21525.200000000001</v>
      </c>
      <c r="B51" s="260" t="s">
        <v>740</v>
      </c>
      <c r="C51" s="263">
        <v>-36017</v>
      </c>
      <c r="D51" s="264">
        <v>-36017</v>
      </c>
      <c r="E51" s="264">
        <v>-35561</v>
      </c>
      <c r="F51" s="264">
        <v>148043</v>
      </c>
      <c r="G51" s="264">
        <v>19479</v>
      </c>
      <c r="H51" s="264">
        <v>0</v>
      </c>
    </row>
    <row r="52" spans="1:8" ht="15.6" x14ac:dyDescent="0.3">
      <c r="A52" s="241">
        <v>21550</v>
      </c>
      <c r="B52" s="260" t="s">
        <v>289</v>
      </c>
      <c r="C52" s="263">
        <v>-106783368</v>
      </c>
      <c r="D52" s="264">
        <v>-106783368</v>
      </c>
      <c r="E52" s="264">
        <v>-106654735</v>
      </c>
      <c r="F52" s="264">
        <v>-6646583</v>
      </c>
      <c r="G52" s="264">
        <v>35093277</v>
      </c>
      <c r="H52" s="264">
        <v>0</v>
      </c>
    </row>
    <row r="53" spans="1:8" ht="15.6" x14ac:dyDescent="0.3">
      <c r="A53" s="241">
        <v>21570</v>
      </c>
      <c r="B53" s="260" t="s">
        <v>290</v>
      </c>
      <c r="C53" s="263">
        <v>-360489</v>
      </c>
      <c r="D53" s="264">
        <v>-360489</v>
      </c>
      <c r="E53" s="264">
        <v>-359933</v>
      </c>
      <c r="F53" s="264">
        <v>2866</v>
      </c>
      <c r="G53" s="264">
        <v>198166</v>
      </c>
      <c r="H53" s="264">
        <v>0</v>
      </c>
    </row>
    <row r="54" spans="1:8" ht="15.6" x14ac:dyDescent="0.3">
      <c r="A54" s="241">
        <v>21800</v>
      </c>
      <c r="B54" s="260" t="s">
        <v>291</v>
      </c>
      <c r="C54" s="263">
        <v>-18023904</v>
      </c>
      <c r="D54" s="264">
        <v>-18023904</v>
      </c>
      <c r="E54" s="264">
        <v>-18006268</v>
      </c>
      <c r="F54" s="264">
        <v>-136014</v>
      </c>
      <c r="G54" s="264">
        <v>2794260</v>
      </c>
      <c r="H54" s="264">
        <v>0</v>
      </c>
    </row>
    <row r="55" spans="1:8" ht="15.6" x14ac:dyDescent="0.3">
      <c r="A55" s="241">
        <v>21900</v>
      </c>
      <c r="B55" s="260" t="s">
        <v>292</v>
      </c>
      <c r="C55" s="263">
        <v>-11699503</v>
      </c>
      <c r="D55" s="264">
        <v>-11699503</v>
      </c>
      <c r="E55" s="264">
        <v>-11690409</v>
      </c>
      <c r="F55" s="264">
        <v>-2465432</v>
      </c>
      <c r="G55" s="264">
        <v>-201467</v>
      </c>
      <c r="H55" s="264">
        <v>0</v>
      </c>
    </row>
    <row r="56" spans="1:8" ht="15.6" x14ac:dyDescent="0.3">
      <c r="A56" s="241">
        <v>22000</v>
      </c>
      <c r="B56" s="260" t="s">
        <v>293</v>
      </c>
      <c r="C56" s="263">
        <v>-11733484</v>
      </c>
      <c r="D56" s="264">
        <v>-11733484</v>
      </c>
      <c r="E56" s="264">
        <v>-11724835</v>
      </c>
      <c r="F56" s="264">
        <v>-4907764</v>
      </c>
      <c r="G56" s="264">
        <v>-1232790</v>
      </c>
      <c r="H56" s="264">
        <v>0</v>
      </c>
    </row>
    <row r="57" spans="1:8" ht="15.6" x14ac:dyDescent="0.3">
      <c r="A57" s="241">
        <v>23000</v>
      </c>
      <c r="B57" s="260" t="s">
        <v>294</v>
      </c>
      <c r="C57" s="263">
        <v>-7962254</v>
      </c>
      <c r="D57" s="264">
        <v>-7962254</v>
      </c>
      <c r="E57" s="264">
        <v>-7954686</v>
      </c>
      <c r="F57" s="264">
        <v>-1081297</v>
      </c>
      <c r="G57" s="264">
        <v>450414</v>
      </c>
      <c r="H57" s="264">
        <v>0</v>
      </c>
    </row>
    <row r="58" spans="1:8" ht="15.6" x14ac:dyDescent="0.3">
      <c r="A58" s="241">
        <v>23100</v>
      </c>
      <c r="B58" s="260" t="s">
        <v>295</v>
      </c>
      <c r="C58" s="263">
        <v>-41949373</v>
      </c>
      <c r="D58" s="264">
        <v>-41949373</v>
      </c>
      <c r="E58" s="264">
        <v>-41902452</v>
      </c>
      <c r="F58" s="264">
        <v>381462</v>
      </c>
      <c r="G58" s="264">
        <v>9840630</v>
      </c>
      <c r="H58" s="264">
        <v>0</v>
      </c>
    </row>
    <row r="59" spans="1:8" ht="15.6" x14ac:dyDescent="0.3">
      <c r="A59" s="241">
        <v>23200</v>
      </c>
      <c r="B59" s="260" t="s">
        <v>296</v>
      </c>
      <c r="C59" s="263">
        <v>-21854631</v>
      </c>
      <c r="D59" s="264">
        <v>-21854631</v>
      </c>
      <c r="E59" s="264">
        <v>-21829641</v>
      </c>
      <c r="F59" s="264">
        <v>2416934</v>
      </c>
      <c r="G59" s="264">
        <v>7742816</v>
      </c>
      <c r="H59" s="264">
        <v>0</v>
      </c>
    </row>
    <row r="60" spans="1:8" ht="15.6" x14ac:dyDescent="0.3">
      <c r="A60" s="241">
        <v>30000</v>
      </c>
      <c r="B60" s="260" t="s">
        <v>297</v>
      </c>
      <c r="C60" s="263">
        <v>-3040809</v>
      </c>
      <c r="D60" s="264">
        <v>-3040809</v>
      </c>
      <c r="E60" s="264">
        <v>-3038418</v>
      </c>
      <c r="F60" s="264">
        <v>-1454855</v>
      </c>
      <c r="G60" s="264">
        <v>-315204</v>
      </c>
      <c r="H60" s="264">
        <v>0</v>
      </c>
    </row>
    <row r="61" spans="1:8" ht="15.6" x14ac:dyDescent="0.3">
      <c r="A61" s="241">
        <v>30100</v>
      </c>
      <c r="B61" s="260" t="s">
        <v>298</v>
      </c>
      <c r="C61" s="263">
        <v>-25293032</v>
      </c>
      <c r="D61" s="264">
        <v>-25293032</v>
      </c>
      <c r="E61" s="264">
        <v>-25270613</v>
      </c>
      <c r="F61" s="264">
        <v>-9410877</v>
      </c>
      <c r="G61" s="264">
        <v>633379</v>
      </c>
      <c r="H61" s="264">
        <v>0</v>
      </c>
    </row>
    <row r="62" spans="1:8" ht="15.6" x14ac:dyDescent="0.3">
      <c r="A62" s="241">
        <v>30102</v>
      </c>
      <c r="B62" s="260" t="s">
        <v>299</v>
      </c>
      <c r="C62" s="263">
        <v>-429382</v>
      </c>
      <c r="D62" s="264">
        <v>-429382</v>
      </c>
      <c r="E62" s="264">
        <v>-428930</v>
      </c>
      <c r="F62" s="264">
        <v>-102826</v>
      </c>
      <c r="G62" s="264">
        <v>38578</v>
      </c>
      <c r="H62" s="264">
        <v>0</v>
      </c>
    </row>
    <row r="63" spans="1:8" ht="15.6" x14ac:dyDescent="0.3">
      <c r="A63" s="241">
        <v>30103</v>
      </c>
      <c r="B63" s="260" t="s">
        <v>300</v>
      </c>
      <c r="C63" s="263">
        <v>-396285</v>
      </c>
      <c r="D63" s="264">
        <v>-396285</v>
      </c>
      <c r="E63" s="264">
        <v>-395697</v>
      </c>
      <c r="F63" s="264">
        <v>-183849</v>
      </c>
      <c r="G63" s="264">
        <v>81314</v>
      </c>
      <c r="H63" s="264">
        <v>0</v>
      </c>
    </row>
    <row r="64" spans="1:8" ht="15.6" x14ac:dyDescent="0.3">
      <c r="A64" s="241">
        <v>30104</v>
      </c>
      <c r="B64" s="260" t="s">
        <v>301</v>
      </c>
      <c r="C64" s="263">
        <v>-312306</v>
      </c>
      <c r="D64" s="264">
        <v>-312306</v>
      </c>
      <c r="E64" s="264">
        <v>-311970</v>
      </c>
      <c r="F64" s="264">
        <v>-141002</v>
      </c>
      <c r="G64" s="264">
        <v>-60537</v>
      </c>
      <c r="H64" s="264">
        <v>0</v>
      </c>
    </row>
    <row r="65" spans="1:8" ht="15.6" x14ac:dyDescent="0.3">
      <c r="A65" s="241">
        <v>30105</v>
      </c>
      <c r="B65" s="260" t="s">
        <v>302</v>
      </c>
      <c r="C65" s="263">
        <v>-1976935</v>
      </c>
      <c r="D65" s="264">
        <v>-1976935</v>
      </c>
      <c r="E65" s="264">
        <v>-1974644</v>
      </c>
      <c r="F65" s="264">
        <v>-388302</v>
      </c>
      <c r="G65" s="264">
        <v>57899</v>
      </c>
      <c r="H65" s="264">
        <v>0</v>
      </c>
    </row>
    <row r="66" spans="1:8" ht="15.6" x14ac:dyDescent="0.3">
      <c r="A66" s="241">
        <v>30200</v>
      </c>
      <c r="B66" s="260" t="s">
        <v>303</v>
      </c>
      <c r="C66" s="263">
        <v>-5168016</v>
      </c>
      <c r="D66" s="264">
        <v>-5168016</v>
      </c>
      <c r="E66" s="264">
        <v>-5162826</v>
      </c>
      <c r="F66" s="264">
        <v>-2002361</v>
      </c>
      <c r="G66" s="264">
        <v>195917</v>
      </c>
      <c r="H66" s="264">
        <v>0</v>
      </c>
    </row>
    <row r="67" spans="1:8" ht="15.6" x14ac:dyDescent="0.3">
      <c r="A67" s="241">
        <v>30300</v>
      </c>
      <c r="B67" s="260" t="s">
        <v>304</v>
      </c>
      <c r="C67" s="263">
        <v>-1904793</v>
      </c>
      <c r="D67" s="264">
        <v>-1904793</v>
      </c>
      <c r="E67" s="264">
        <v>-1903117</v>
      </c>
      <c r="F67" s="264">
        <v>-557510</v>
      </c>
      <c r="G67" s="264">
        <v>150353</v>
      </c>
      <c r="H67" s="264">
        <v>0</v>
      </c>
    </row>
    <row r="68" spans="1:8" ht="15.6" x14ac:dyDescent="0.3">
      <c r="A68" s="241">
        <v>30400</v>
      </c>
      <c r="B68" s="260" t="s">
        <v>305</v>
      </c>
      <c r="C68" s="263">
        <v>-3495814</v>
      </c>
      <c r="D68" s="264">
        <v>-3495814</v>
      </c>
      <c r="E68" s="264">
        <v>-3492749</v>
      </c>
      <c r="F68" s="264">
        <v>-1268845</v>
      </c>
      <c r="G68" s="264">
        <v>91073</v>
      </c>
      <c r="H68" s="264">
        <v>0</v>
      </c>
    </row>
    <row r="69" spans="1:8" ht="15.6" x14ac:dyDescent="0.3">
      <c r="A69" s="241">
        <v>30405</v>
      </c>
      <c r="B69" s="260" t="s">
        <v>306</v>
      </c>
      <c r="C69" s="263">
        <v>-2839207</v>
      </c>
      <c r="D69" s="264">
        <v>-2839207</v>
      </c>
      <c r="E69" s="264">
        <v>-2837366</v>
      </c>
      <c r="F69" s="264">
        <v>-1096409</v>
      </c>
      <c r="G69" s="264">
        <v>-369023</v>
      </c>
      <c r="H69" s="264">
        <v>0</v>
      </c>
    </row>
    <row r="70" spans="1:8" ht="15.6" x14ac:dyDescent="0.3">
      <c r="A70" s="241">
        <v>30500</v>
      </c>
      <c r="B70" s="260" t="s">
        <v>307</v>
      </c>
      <c r="C70" s="263">
        <v>-3609758</v>
      </c>
      <c r="D70" s="264">
        <v>-3609758</v>
      </c>
      <c r="E70" s="264">
        <v>-3606440</v>
      </c>
      <c r="F70" s="264">
        <v>-1347158</v>
      </c>
      <c r="G70" s="264">
        <v>109790</v>
      </c>
      <c r="H70" s="264">
        <v>0</v>
      </c>
    </row>
    <row r="71" spans="1:8" ht="15.6" x14ac:dyDescent="0.3">
      <c r="A71" s="241">
        <v>30600</v>
      </c>
      <c r="B71" s="260" t="s">
        <v>308</v>
      </c>
      <c r="C71" s="263">
        <v>-3043675</v>
      </c>
      <c r="D71" s="264">
        <v>-3043675</v>
      </c>
      <c r="E71" s="264">
        <v>-3041257</v>
      </c>
      <c r="F71" s="264">
        <v>-1404559</v>
      </c>
      <c r="G71" s="264">
        <v>-166656</v>
      </c>
      <c r="H71" s="264">
        <v>0</v>
      </c>
    </row>
    <row r="72" spans="1:8" ht="15.6" x14ac:dyDescent="0.3">
      <c r="A72" s="241">
        <v>30601</v>
      </c>
      <c r="B72" s="260" t="s">
        <v>309</v>
      </c>
      <c r="C72" s="263">
        <v>-126028</v>
      </c>
      <c r="D72" s="264">
        <v>-126028</v>
      </c>
      <c r="E72" s="264">
        <v>-126005</v>
      </c>
      <c r="F72" s="264">
        <v>-81811</v>
      </c>
      <c r="G72" s="264">
        <v>-102087</v>
      </c>
      <c r="H72" s="264">
        <v>0</v>
      </c>
    </row>
    <row r="73" spans="1:8" ht="15.6" x14ac:dyDescent="0.3">
      <c r="A73" s="241">
        <v>30700</v>
      </c>
      <c r="B73" s="260" t="s">
        <v>310</v>
      </c>
      <c r="C73" s="263">
        <v>-7333006</v>
      </c>
      <c r="D73" s="264">
        <v>-7333006</v>
      </c>
      <c r="E73" s="264">
        <v>-7326491</v>
      </c>
      <c r="F73" s="264">
        <v>-2941981</v>
      </c>
      <c r="G73" s="264">
        <v>-38094</v>
      </c>
      <c r="H73" s="264">
        <v>0</v>
      </c>
    </row>
    <row r="74" spans="1:8" ht="15.6" x14ac:dyDescent="0.3">
      <c r="A74" s="241">
        <v>30705</v>
      </c>
      <c r="B74" s="260" t="s">
        <v>311</v>
      </c>
      <c r="C74" s="263">
        <v>-1522339</v>
      </c>
      <c r="D74" s="264">
        <v>-1522339</v>
      </c>
      <c r="E74" s="264">
        <v>-1521097</v>
      </c>
      <c r="F74" s="264">
        <v>-326158</v>
      </c>
      <c r="G74" s="264">
        <v>80916</v>
      </c>
      <c r="H74" s="264">
        <v>0</v>
      </c>
    </row>
    <row r="75" spans="1:8" ht="15.6" x14ac:dyDescent="0.3">
      <c r="A75" s="241">
        <v>30800</v>
      </c>
      <c r="B75" s="260" t="s">
        <v>312</v>
      </c>
      <c r="C75" s="263">
        <v>-3333373</v>
      </c>
      <c r="D75" s="264">
        <v>-3333373</v>
      </c>
      <c r="E75" s="264">
        <v>-3331198</v>
      </c>
      <c r="F75" s="264">
        <v>-1563534</v>
      </c>
      <c r="G75" s="264">
        <v>17551</v>
      </c>
      <c r="H75" s="264">
        <v>0</v>
      </c>
    </row>
    <row r="76" spans="1:8" ht="15.6" x14ac:dyDescent="0.3">
      <c r="A76" s="241">
        <v>30900</v>
      </c>
      <c r="B76" s="260" t="s">
        <v>313</v>
      </c>
      <c r="C76" s="263">
        <v>-4863454</v>
      </c>
      <c r="D76" s="264">
        <v>-4863454</v>
      </c>
      <c r="E76" s="264">
        <v>-4859351</v>
      </c>
      <c r="F76" s="264">
        <v>-1698276</v>
      </c>
      <c r="G76" s="264">
        <v>-106891</v>
      </c>
      <c r="H76" s="264">
        <v>0</v>
      </c>
    </row>
    <row r="77" spans="1:8" ht="15.6" x14ac:dyDescent="0.3">
      <c r="A77" s="241">
        <v>30905</v>
      </c>
      <c r="B77" s="260" t="s">
        <v>314</v>
      </c>
      <c r="C77" s="263">
        <v>-1027833</v>
      </c>
      <c r="D77" s="264">
        <v>-1027833</v>
      </c>
      <c r="E77" s="264">
        <v>-1027025</v>
      </c>
      <c r="F77" s="264">
        <v>-122381</v>
      </c>
      <c r="G77" s="264">
        <v>78488</v>
      </c>
      <c r="H77" s="264">
        <v>0</v>
      </c>
    </row>
    <row r="78" spans="1:8" ht="15.6" x14ac:dyDescent="0.3">
      <c r="A78" s="241">
        <v>31000</v>
      </c>
      <c r="B78" s="260" t="s">
        <v>315</v>
      </c>
      <c r="C78" s="263">
        <v>-12474922</v>
      </c>
      <c r="D78" s="264">
        <v>-12474922</v>
      </c>
      <c r="E78" s="264">
        <v>-12462094</v>
      </c>
      <c r="F78" s="264">
        <v>-4265514</v>
      </c>
      <c r="G78" s="264">
        <v>481832</v>
      </c>
      <c r="H78" s="264">
        <v>0</v>
      </c>
    </row>
    <row r="79" spans="1:8" ht="15.6" x14ac:dyDescent="0.3">
      <c r="A79" s="241">
        <v>31005</v>
      </c>
      <c r="B79" s="260" t="s">
        <v>316</v>
      </c>
      <c r="C79" s="263">
        <v>-1362107</v>
      </c>
      <c r="D79" s="264">
        <v>-1362107</v>
      </c>
      <c r="E79" s="264">
        <v>-1360948</v>
      </c>
      <c r="F79" s="264">
        <v>-307033</v>
      </c>
      <c r="G79" s="264">
        <v>90647</v>
      </c>
      <c r="H79" s="264">
        <v>0</v>
      </c>
    </row>
    <row r="80" spans="1:8" ht="15.6" x14ac:dyDescent="0.3">
      <c r="A80" s="241">
        <v>31100</v>
      </c>
      <c r="B80" s="260" t="s">
        <v>317</v>
      </c>
      <c r="C80" s="263">
        <v>-26154601</v>
      </c>
      <c r="D80" s="264">
        <v>-26154601</v>
      </c>
      <c r="E80" s="264">
        <v>-26127804</v>
      </c>
      <c r="F80" s="264">
        <v>-8463816</v>
      </c>
      <c r="G80" s="264">
        <v>1091128</v>
      </c>
      <c r="H80" s="264">
        <v>0</v>
      </c>
    </row>
    <row r="81" spans="1:8" ht="15.6" x14ac:dyDescent="0.3">
      <c r="A81" s="241">
        <v>31101</v>
      </c>
      <c r="B81" s="260" t="s">
        <v>318</v>
      </c>
      <c r="C81" s="263">
        <v>-208985</v>
      </c>
      <c r="D81" s="264">
        <v>-208985</v>
      </c>
      <c r="E81" s="264">
        <v>-208825</v>
      </c>
      <c r="F81" s="264">
        <v>-108579</v>
      </c>
      <c r="G81" s="264">
        <v>-39370</v>
      </c>
      <c r="H81" s="264">
        <v>0</v>
      </c>
    </row>
    <row r="82" spans="1:8" ht="15.6" x14ac:dyDescent="0.3">
      <c r="A82" s="241">
        <v>31102</v>
      </c>
      <c r="B82" s="260" t="s">
        <v>319</v>
      </c>
      <c r="C82" s="263">
        <v>-375288</v>
      </c>
      <c r="D82" s="264">
        <v>-375288</v>
      </c>
      <c r="E82" s="264">
        <v>-374782</v>
      </c>
      <c r="F82" s="264">
        <v>-50006</v>
      </c>
      <c r="G82" s="264">
        <v>101390</v>
      </c>
      <c r="H82" s="264">
        <v>0</v>
      </c>
    </row>
    <row r="83" spans="1:8" ht="15.6" x14ac:dyDescent="0.3">
      <c r="A83" s="241">
        <v>31105</v>
      </c>
      <c r="B83" s="260" t="s">
        <v>320</v>
      </c>
      <c r="C83" s="263">
        <v>-4351331</v>
      </c>
      <c r="D83" s="264">
        <v>-4351331</v>
      </c>
      <c r="E83" s="264">
        <v>-4347238</v>
      </c>
      <c r="F83" s="264">
        <v>-651295</v>
      </c>
      <c r="G83" s="264">
        <v>143902</v>
      </c>
      <c r="H83" s="264">
        <v>0</v>
      </c>
    </row>
    <row r="84" spans="1:8" ht="15.6" x14ac:dyDescent="0.3">
      <c r="A84" s="241">
        <v>31110</v>
      </c>
      <c r="B84" s="260" t="s">
        <v>321</v>
      </c>
      <c r="C84" s="263">
        <v>-5708641</v>
      </c>
      <c r="D84" s="264">
        <v>-5708641</v>
      </c>
      <c r="E84" s="264">
        <v>-5702130</v>
      </c>
      <c r="F84" s="264">
        <v>-1233228</v>
      </c>
      <c r="G84" s="264">
        <v>862303</v>
      </c>
      <c r="H84" s="264">
        <v>0</v>
      </c>
    </row>
    <row r="85" spans="1:8" ht="15.6" x14ac:dyDescent="0.3">
      <c r="A85" s="241">
        <v>31200</v>
      </c>
      <c r="B85" s="260" t="s">
        <v>322</v>
      </c>
      <c r="C85" s="263">
        <v>-14101779</v>
      </c>
      <c r="D85" s="264">
        <v>-14101779</v>
      </c>
      <c r="E85" s="264">
        <v>-14090397</v>
      </c>
      <c r="F85" s="264">
        <v>-5272101</v>
      </c>
      <c r="G85" s="264">
        <v>51941</v>
      </c>
      <c r="H85" s="264">
        <v>0</v>
      </c>
    </row>
    <row r="86" spans="1:8" ht="15.6" x14ac:dyDescent="0.3">
      <c r="A86" s="241">
        <v>31205</v>
      </c>
      <c r="B86" s="260" t="s">
        <v>323</v>
      </c>
      <c r="C86" s="263">
        <v>-1853491</v>
      </c>
      <c r="D86" s="264">
        <v>-1853491</v>
      </c>
      <c r="E86" s="264">
        <v>-1852206</v>
      </c>
      <c r="F86" s="264">
        <v>-514968</v>
      </c>
      <c r="G86" s="264">
        <v>-61695</v>
      </c>
      <c r="H86" s="264">
        <v>0</v>
      </c>
    </row>
    <row r="87" spans="1:8" ht="15.6" x14ac:dyDescent="0.3">
      <c r="A87" s="241">
        <v>31300</v>
      </c>
      <c r="B87" s="260" t="s">
        <v>324</v>
      </c>
      <c r="C87" s="263">
        <v>-30028132</v>
      </c>
      <c r="D87" s="264">
        <v>-30028132</v>
      </c>
      <c r="E87" s="264">
        <v>-29995024</v>
      </c>
      <c r="F87" s="264">
        <v>-10237676</v>
      </c>
      <c r="G87" s="264">
        <v>2101909</v>
      </c>
      <c r="H87" s="264">
        <v>0</v>
      </c>
    </row>
    <row r="88" spans="1:8" ht="15.6" x14ac:dyDescent="0.3">
      <c r="A88" s="241">
        <v>31301</v>
      </c>
      <c r="B88" s="260" t="s">
        <v>325</v>
      </c>
      <c r="C88" s="263">
        <v>-482413</v>
      </c>
      <c r="D88" s="264">
        <v>-482413</v>
      </c>
      <c r="E88" s="264">
        <v>-481702</v>
      </c>
      <c r="F88" s="264">
        <v>-343355</v>
      </c>
      <c r="G88" s="264">
        <v>-47580</v>
      </c>
      <c r="H88" s="264">
        <v>0</v>
      </c>
    </row>
    <row r="89" spans="1:8" ht="15.6" x14ac:dyDescent="0.3">
      <c r="A89" s="241">
        <v>31320</v>
      </c>
      <c r="B89" s="260" t="s">
        <v>326</v>
      </c>
      <c r="C89" s="263">
        <v>-6140043</v>
      </c>
      <c r="D89" s="264">
        <v>-6140043</v>
      </c>
      <c r="E89" s="264">
        <v>-6134215</v>
      </c>
      <c r="F89" s="264">
        <v>-2096516</v>
      </c>
      <c r="G89" s="264">
        <v>509861</v>
      </c>
      <c r="H89" s="264">
        <v>0</v>
      </c>
    </row>
    <row r="90" spans="1:8" ht="15.6" x14ac:dyDescent="0.3">
      <c r="A90" s="241">
        <v>31400</v>
      </c>
      <c r="B90" s="260" t="s">
        <v>327</v>
      </c>
      <c r="C90" s="263">
        <v>-13012232</v>
      </c>
      <c r="D90" s="264">
        <v>-13012232</v>
      </c>
      <c r="E90" s="264">
        <v>-13000374</v>
      </c>
      <c r="F90" s="264">
        <v>-5075821</v>
      </c>
      <c r="G90" s="264">
        <v>-252617</v>
      </c>
      <c r="H90" s="264">
        <v>0</v>
      </c>
    </row>
    <row r="91" spans="1:8" ht="15.6" x14ac:dyDescent="0.3">
      <c r="A91" s="241">
        <v>31405</v>
      </c>
      <c r="B91" s="260" t="s">
        <v>328</v>
      </c>
      <c r="C91" s="263">
        <v>-2657091</v>
      </c>
      <c r="D91" s="264">
        <v>-2657091</v>
      </c>
      <c r="E91" s="264">
        <v>-2654780</v>
      </c>
      <c r="F91" s="264">
        <v>-636182</v>
      </c>
      <c r="G91" s="264">
        <v>-80857</v>
      </c>
      <c r="H91" s="264">
        <v>0</v>
      </c>
    </row>
    <row r="92" spans="1:8" ht="15.6" x14ac:dyDescent="0.3">
      <c r="A92" s="241">
        <v>31500</v>
      </c>
      <c r="B92" s="260" t="s">
        <v>329</v>
      </c>
      <c r="C92" s="263">
        <v>-1873577</v>
      </c>
      <c r="D92" s="264">
        <v>-1873577</v>
      </c>
      <c r="E92" s="264">
        <v>-1871655</v>
      </c>
      <c r="F92" s="264">
        <v>-492599</v>
      </c>
      <c r="G92" s="264">
        <v>262221</v>
      </c>
      <c r="H92" s="264">
        <v>0</v>
      </c>
    </row>
    <row r="93" spans="1:8" ht="15.6" x14ac:dyDescent="0.3">
      <c r="A93" s="241">
        <v>31600</v>
      </c>
      <c r="B93" s="260" t="s">
        <v>330</v>
      </c>
      <c r="C93" s="263">
        <v>-9037380</v>
      </c>
      <c r="D93" s="264">
        <v>-9037380</v>
      </c>
      <c r="E93" s="264">
        <v>-9028718</v>
      </c>
      <c r="F93" s="264">
        <v>-3001227</v>
      </c>
      <c r="G93" s="264">
        <v>487063</v>
      </c>
      <c r="H93" s="264">
        <v>0</v>
      </c>
    </row>
    <row r="94" spans="1:8" ht="15.6" x14ac:dyDescent="0.3">
      <c r="A94" s="241">
        <v>31605</v>
      </c>
      <c r="B94" s="260" t="s">
        <v>331</v>
      </c>
      <c r="C94" s="263">
        <v>-1165185</v>
      </c>
      <c r="D94" s="264">
        <v>-1165185</v>
      </c>
      <c r="E94" s="264">
        <v>-1163961</v>
      </c>
      <c r="F94" s="264">
        <v>-333064</v>
      </c>
      <c r="G94" s="264">
        <v>83285</v>
      </c>
      <c r="H94" s="264">
        <v>0</v>
      </c>
    </row>
    <row r="95" spans="1:8" ht="15.6" x14ac:dyDescent="0.3">
      <c r="A95" s="241">
        <v>31700</v>
      </c>
      <c r="B95" s="260" t="s">
        <v>332</v>
      </c>
      <c r="C95" s="263">
        <v>-2529978</v>
      </c>
      <c r="D95" s="264">
        <v>-2529978</v>
      </c>
      <c r="E95" s="264">
        <v>-2527420</v>
      </c>
      <c r="F95" s="264">
        <v>-938554</v>
      </c>
      <c r="G95" s="264">
        <v>-132678</v>
      </c>
      <c r="H95" s="264">
        <v>0</v>
      </c>
    </row>
    <row r="96" spans="1:8" ht="15.6" x14ac:dyDescent="0.3">
      <c r="A96" s="241">
        <v>31800</v>
      </c>
      <c r="B96" s="260" t="s">
        <v>333</v>
      </c>
      <c r="C96" s="263">
        <v>-17930177</v>
      </c>
      <c r="D96" s="264">
        <v>-17930177</v>
      </c>
      <c r="E96" s="264">
        <v>-17915199</v>
      </c>
      <c r="F96" s="264">
        <v>-6990777</v>
      </c>
      <c r="G96" s="264">
        <v>176503</v>
      </c>
      <c r="H96" s="264">
        <v>0</v>
      </c>
    </row>
    <row r="97" spans="1:8" ht="15.6" x14ac:dyDescent="0.3">
      <c r="A97" s="241">
        <v>31805</v>
      </c>
      <c r="B97" s="260" t="s">
        <v>334</v>
      </c>
      <c r="C97" s="263">
        <v>-2848625</v>
      </c>
      <c r="D97" s="264">
        <v>-2848625</v>
      </c>
      <c r="E97" s="264">
        <v>-2845538</v>
      </c>
      <c r="F97" s="264">
        <v>-431131</v>
      </c>
      <c r="G97" s="264">
        <v>370136</v>
      </c>
      <c r="H97" s="264">
        <v>0</v>
      </c>
    </row>
    <row r="98" spans="1:8" ht="15.6" x14ac:dyDescent="0.3">
      <c r="A98" s="241">
        <v>31810</v>
      </c>
      <c r="B98" s="260" t="s">
        <v>335</v>
      </c>
      <c r="C98" s="263">
        <v>-4253308</v>
      </c>
      <c r="D98" s="264">
        <v>-4253308</v>
      </c>
      <c r="E98" s="264">
        <v>-4249436</v>
      </c>
      <c r="F98" s="264">
        <v>-1870492</v>
      </c>
      <c r="G98" s="264">
        <v>-376967</v>
      </c>
      <c r="H98" s="264">
        <v>0</v>
      </c>
    </row>
    <row r="99" spans="1:8" ht="15.6" x14ac:dyDescent="0.3">
      <c r="A99" s="241">
        <v>31820</v>
      </c>
      <c r="B99" s="260" t="s">
        <v>336</v>
      </c>
      <c r="C99" s="263">
        <v>-3972686</v>
      </c>
      <c r="D99" s="264">
        <v>-3972686</v>
      </c>
      <c r="E99" s="264">
        <v>-3969342</v>
      </c>
      <c r="F99" s="264">
        <v>-1379535</v>
      </c>
      <c r="G99" s="264">
        <v>-167842</v>
      </c>
      <c r="H99" s="264">
        <v>0</v>
      </c>
    </row>
    <row r="100" spans="1:8" ht="15.6" x14ac:dyDescent="0.3">
      <c r="A100" s="241">
        <v>31900</v>
      </c>
      <c r="B100" s="260" t="s">
        <v>337</v>
      </c>
      <c r="C100" s="263">
        <v>-9036249</v>
      </c>
      <c r="D100" s="264">
        <v>-9036249</v>
      </c>
      <c r="E100" s="264">
        <v>-9026431</v>
      </c>
      <c r="F100" s="264">
        <v>-2996135</v>
      </c>
      <c r="G100" s="264">
        <v>658694</v>
      </c>
      <c r="H100" s="264">
        <v>0</v>
      </c>
    </row>
    <row r="101" spans="1:8" ht="15.6" x14ac:dyDescent="0.3">
      <c r="A101" s="241">
        <v>32000</v>
      </c>
      <c r="B101" s="260" t="s">
        <v>338</v>
      </c>
      <c r="C101" s="263">
        <v>-3686067</v>
      </c>
      <c r="D101" s="264">
        <v>-3686067</v>
      </c>
      <c r="E101" s="264">
        <v>-3682170</v>
      </c>
      <c r="F101" s="264">
        <v>-1274465</v>
      </c>
      <c r="G101" s="264">
        <v>203131</v>
      </c>
      <c r="H101" s="264">
        <v>0</v>
      </c>
    </row>
    <row r="102" spans="1:8" ht="15.6" x14ac:dyDescent="0.3">
      <c r="A102" s="241">
        <v>32005</v>
      </c>
      <c r="B102" s="260" t="s">
        <v>339</v>
      </c>
      <c r="C102" s="263">
        <v>-925081</v>
      </c>
      <c r="D102" s="264">
        <v>-925081</v>
      </c>
      <c r="E102" s="264">
        <v>-924285</v>
      </c>
      <c r="F102" s="264">
        <v>-263890</v>
      </c>
      <c r="G102" s="264">
        <v>-72495</v>
      </c>
      <c r="H102" s="264">
        <v>0</v>
      </c>
    </row>
    <row r="103" spans="1:8" ht="15.6" x14ac:dyDescent="0.3">
      <c r="A103" s="241">
        <v>32100</v>
      </c>
      <c r="B103" s="260" t="s">
        <v>340</v>
      </c>
      <c r="C103" s="263">
        <v>-2618203</v>
      </c>
      <c r="D103" s="264">
        <v>-2618203</v>
      </c>
      <c r="E103" s="264">
        <v>-2616019</v>
      </c>
      <c r="F103" s="264">
        <v>-835643</v>
      </c>
      <c r="G103" s="264">
        <v>42831</v>
      </c>
      <c r="H103" s="264">
        <v>0</v>
      </c>
    </row>
    <row r="104" spans="1:8" ht="15.6" x14ac:dyDescent="0.3">
      <c r="A104" s="241">
        <v>32200</v>
      </c>
      <c r="B104" s="260" t="s">
        <v>341</v>
      </c>
      <c r="C104" s="263">
        <v>-1421377</v>
      </c>
      <c r="D104" s="264">
        <v>-1421377</v>
      </c>
      <c r="E104" s="264">
        <v>-1419892</v>
      </c>
      <c r="F104" s="264">
        <v>-379091</v>
      </c>
      <c r="G104" s="264">
        <v>64448</v>
      </c>
      <c r="H104" s="264">
        <v>0</v>
      </c>
    </row>
    <row r="105" spans="1:8" ht="15.6" x14ac:dyDescent="0.3">
      <c r="A105" s="241">
        <v>32300</v>
      </c>
      <c r="B105" s="260" t="s">
        <v>342</v>
      </c>
      <c r="C105" s="263">
        <v>-18548112</v>
      </c>
      <c r="D105" s="264">
        <v>-18548112</v>
      </c>
      <c r="E105" s="264">
        <v>-18532851</v>
      </c>
      <c r="F105" s="264">
        <v>-8337066</v>
      </c>
      <c r="G105" s="264">
        <v>-1364065</v>
      </c>
      <c r="H105" s="264">
        <v>0</v>
      </c>
    </row>
    <row r="106" spans="1:8" ht="15.6" x14ac:dyDescent="0.3">
      <c r="A106" s="241">
        <v>32305</v>
      </c>
      <c r="B106" s="260" t="s">
        <v>343</v>
      </c>
      <c r="C106" s="263">
        <v>-1766626</v>
      </c>
      <c r="D106" s="264">
        <v>-1766626</v>
      </c>
      <c r="E106" s="264">
        <v>-1764979</v>
      </c>
      <c r="F106" s="264">
        <v>-494574</v>
      </c>
      <c r="G106" s="264">
        <v>297051</v>
      </c>
      <c r="H106" s="264">
        <v>0</v>
      </c>
    </row>
    <row r="107" spans="1:8" ht="15.6" x14ac:dyDescent="0.3">
      <c r="A107" s="241">
        <v>32400</v>
      </c>
      <c r="B107" s="260" t="s">
        <v>344</v>
      </c>
      <c r="C107" s="263">
        <v>-6526181</v>
      </c>
      <c r="D107" s="264">
        <v>-6526181</v>
      </c>
      <c r="E107" s="264">
        <v>-6520799</v>
      </c>
      <c r="F107" s="264">
        <v>-2953957</v>
      </c>
      <c r="G107" s="264">
        <v>-289348</v>
      </c>
      <c r="H107" s="264">
        <v>0</v>
      </c>
    </row>
    <row r="108" spans="1:8" ht="15.6" x14ac:dyDescent="0.3">
      <c r="A108" s="241">
        <v>32405</v>
      </c>
      <c r="B108" s="260" t="s">
        <v>345</v>
      </c>
      <c r="C108" s="263">
        <v>-1443617</v>
      </c>
      <c r="D108" s="264">
        <v>-1443617</v>
      </c>
      <c r="E108" s="264">
        <v>-1442151</v>
      </c>
      <c r="F108" s="264">
        <v>-357707</v>
      </c>
      <c r="G108" s="264">
        <v>101587</v>
      </c>
      <c r="H108" s="264">
        <v>0</v>
      </c>
    </row>
    <row r="109" spans="1:8" ht="15.6" x14ac:dyDescent="0.3">
      <c r="A109" s="241">
        <v>32410</v>
      </c>
      <c r="B109" s="260" t="s">
        <v>346</v>
      </c>
      <c r="C109" s="263">
        <v>-2510835</v>
      </c>
      <c r="D109" s="264">
        <v>-2510835</v>
      </c>
      <c r="E109" s="264">
        <v>-2508634</v>
      </c>
      <c r="F109" s="264">
        <v>-893621</v>
      </c>
      <c r="G109" s="264">
        <v>185296</v>
      </c>
      <c r="H109" s="264">
        <v>0</v>
      </c>
    </row>
    <row r="110" spans="1:8" ht="15.6" x14ac:dyDescent="0.3">
      <c r="A110" s="241">
        <v>32500</v>
      </c>
      <c r="B110" s="260" t="s">
        <v>347</v>
      </c>
      <c r="C110" s="263">
        <v>-14126028</v>
      </c>
      <c r="D110" s="264">
        <v>-14126028</v>
      </c>
      <c r="E110" s="264">
        <v>-14113073</v>
      </c>
      <c r="F110" s="264">
        <v>-4140994</v>
      </c>
      <c r="G110" s="264">
        <v>1491121</v>
      </c>
      <c r="H110" s="264">
        <v>0</v>
      </c>
    </row>
    <row r="111" spans="1:8" ht="15.6" x14ac:dyDescent="0.3">
      <c r="A111" s="241">
        <v>32505</v>
      </c>
      <c r="B111" s="260" t="s">
        <v>348</v>
      </c>
      <c r="C111" s="263">
        <v>-2031494</v>
      </c>
      <c r="D111" s="264">
        <v>-2031494</v>
      </c>
      <c r="E111" s="264">
        <v>-2029618</v>
      </c>
      <c r="F111" s="264">
        <v>-389017</v>
      </c>
      <c r="G111" s="264">
        <v>-205361</v>
      </c>
      <c r="H111" s="264">
        <v>0</v>
      </c>
    </row>
    <row r="112" spans="1:8" ht="15.6" x14ac:dyDescent="0.3">
      <c r="A112" s="241">
        <v>32600</v>
      </c>
      <c r="B112" s="260" t="s">
        <v>349</v>
      </c>
      <c r="C112" s="263">
        <v>-49749642</v>
      </c>
      <c r="D112" s="264">
        <v>-49749642</v>
      </c>
      <c r="E112" s="264">
        <v>-49702384</v>
      </c>
      <c r="F112" s="264">
        <v>-14024169</v>
      </c>
      <c r="G112" s="264">
        <v>5784843</v>
      </c>
      <c r="H112" s="264">
        <v>0</v>
      </c>
    </row>
    <row r="113" spans="1:8" ht="15.6" x14ac:dyDescent="0.3">
      <c r="A113" s="241">
        <v>32605</v>
      </c>
      <c r="B113" s="260" t="s">
        <v>350</v>
      </c>
      <c r="C113" s="263">
        <v>-7002938</v>
      </c>
      <c r="D113" s="264">
        <v>-7002938</v>
      </c>
      <c r="E113" s="264">
        <v>-6996289</v>
      </c>
      <c r="F113" s="264">
        <v>-1057297</v>
      </c>
      <c r="G113" s="264">
        <v>619219</v>
      </c>
      <c r="H113" s="264">
        <v>0</v>
      </c>
    </row>
    <row r="114" spans="1:8" ht="15.6" x14ac:dyDescent="0.3">
      <c r="A114" s="241">
        <v>32700</v>
      </c>
      <c r="B114" s="260" t="s">
        <v>351</v>
      </c>
      <c r="C114" s="263">
        <v>-3947157</v>
      </c>
      <c r="D114" s="264">
        <v>-3947157</v>
      </c>
      <c r="E114" s="264">
        <v>-3942948</v>
      </c>
      <c r="F114" s="264">
        <v>-1394122</v>
      </c>
      <c r="G114" s="264">
        <v>249463</v>
      </c>
      <c r="H114" s="264">
        <v>0</v>
      </c>
    </row>
    <row r="115" spans="1:8" ht="15.6" x14ac:dyDescent="0.3">
      <c r="A115" s="241">
        <v>32800</v>
      </c>
      <c r="B115" s="260" t="s">
        <v>352</v>
      </c>
      <c r="C115" s="263">
        <v>-4667220</v>
      </c>
      <c r="D115" s="264">
        <v>-4667220</v>
      </c>
      <c r="E115" s="264">
        <v>-4661176</v>
      </c>
      <c r="F115" s="264">
        <v>-768650</v>
      </c>
      <c r="G115" s="264">
        <v>809941</v>
      </c>
      <c r="H115" s="264">
        <v>0</v>
      </c>
    </row>
    <row r="116" spans="1:8" ht="15.6" x14ac:dyDescent="0.3">
      <c r="A116" s="241">
        <v>32900</v>
      </c>
      <c r="B116" s="260" t="s">
        <v>353</v>
      </c>
      <c r="C116" s="263">
        <v>-18292968</v>
      </c>
      <c r="D116" s="264">
        <v>-18292968</v>
      </c>
      <c r="E116" s="264">
        <v>-18275976</v>
      </c>
      <c r="F116" s="264">
        <v>-7338604</v>
      </c>
      <c r="G116" s="264">
        <v>-262427</v>
      </c>
      <c r="H116" s="264">
        <v>0</v>
      </c>
    </row>
    <row r="117" spans="1:8" ht="15.6" x14ac:dyDescent="0.3">
      <c r="A117" s="241">
        <v>32901</v>
      </c>
      <c r="B117" s="260" t="s">
        <v>354</v>
      </c>
      <c r="C117" s="263">
        <v>-920306</v>
      </c>
      <c r="D117" s="264">
        <v>-920306</v>
      </c>
      <c r="E117" s="264">
        <v>-919926</v>
      </c>
      <c r="F117" s="264">
        <v>-338122</v>
      </c>
      <c r="G117" s="264">
        <v>-193679</v>
      </c>
      <c r="H117" s="264">
        <v>0</v>
      </c>
    </row>
    <row r="118" spans="1:8" ht="15.6" x14ac:dyDescent="0.3">
      <c r="A118" s="241">
        <v>32905</v>
      </c>
      <c r="B118" s="260" t="s">
        <v>355</v>
      </c>
      <c r="C118" s="263">
        <v>-2850370</v>
      </c>
      <c r="D118" s="264">
        <v>-2850370</v>
      </c>
      <c r="E118" s="264">
        <v>-2848112</v>
      </c>
      <c r="F118" s="264">
        <v>-875555</v>
      </c>
      <c r="G118" s="264">
        <v>-205098</v>
      </c>
      <c r="H118" s="264">
        <v>0</v>
      </c>
    </row>
    <row r="119" spans="1:8" ht="15.6" x14ac:dyDescent="0.3">
      <c r="A119" s="241">
        <v>32910</v>
      </c>
      <c r="B119" s="260" t="s">
        <v>356</v>
      </c>
      <c r="C119" s="263">
        <v>-3007339</v>
      </c>
      <c r="D119" s="264">
        <v>-3007339</v>
      </c>
      <c r="E119" s="264">
        <v>-3004030</v>
      </c>
      <c r="F119" s="264">
        <v>-934186</v>
      </c>
      <c r="G119" s="264">
        <v>466480</v>
      </c>
      <c r="H119" s="264">
        <v>0</v>
      </c>
    </row>
    <row r="120" spans="1:8" ht="15.6" x14ac:dyDescent="0.3">
      <c r="A120" s="241">
        <v>32920</v>
      </c>
      <c r="B120" s="260" t="s">
        <v>357</v>
      </c>
      <c r="C120" s="263">
        <v>-2435601</v>
      </c>
      <c r="D120" s="264">
        <v>-2435601</v>
      </c>
      <c r="E120" s="264">
        <v>-2432847</v>
      </c>
      <c r="F120" s="264">
        <v>-835609</v>
      </c>
      <c r="G120" s="264">
        <v>71079</v>
      </c>
      <c r="H120" s="264">
        <v>0</v>
      </c>
    </row>
    <row r="121" spans="1:8" ht="15.6" x14ac:dyDescent="0.3">
      <c r="A121" s="241">
        <v>33000</v>
      </c>
      <c r="B121" s="260" t="s">
        <v>358</v>
      </c>
      <c r="C121" s="263">
        <v>-7060869</v>
      </c>
      <c r="D121" s="264">
        <v>-7060869</v>
      </c>
      <c r="E121" s="264">
        <v>-7054283</v>
      </c>
      <c r="F121" s="264">
        <v>-2396825</v>
      </c>
      <c r="G121" s="264">
        <v>214284</v>
      </c>
      <c r="H121" s="264">
        <v>0</v>
      </c>
    </row>
    <row r="122" spans="1:8" ht="15.6" x14ac:dyDescent="0.3">
      <c r="A122" s="241">
        <v>33001</v>
      </c>
      <c r="B122" s="260" t="s">
        <v>359</v>
      </c>
      <c r="C122" s="263">
        <v>-218633</v>
      </c>
      <c r="D122" s="264">
        <v>-218633</v>
      </c>
      <c r="E122" s="264">
        <v>-218482</v>
      </c>
      <c r="F122" s="264">
        <v>-148830</v>
      </c>
      <c r="G122" s="264">
        <v>-64017</v>
      </c>
      <c r="H122" s="264">
        <v>0</v>
      </c>
    </row>
    <row r="123" spans="1:8" ht="15.6" x14ac:dyDescent="0.3">
      <c r="A123" s="241">
        <v>33027</v>
      </c>
      <c r="B123" s="260" t="s">
        <v>360</v>
      </c>
      <c r="C123" s="263">
        <v>-433860</v>
      </c>
      <c r="D123" s="264">
        <v>-433860</v>
      </c>
      <c r="E123" s="264">
        <v>-432957</v>
      </c>
      <c r="F123" s="264">
        <v>-3837</v>
      </c>
      <c r="G123" s="264">
        <v>220535</v>
      </c>
      <c r="H123" s="264">
        <v>0</v>
      </c>
    </row>
    <row r="124" spans="1:8" ht="15.6" x14ac:dyDescent="0.3">
      <c r="A124" s="241">
        <v>33100</v>
      </c>
      <c r="B124" s="260" t="s">
        <v>361</v>
      </c>
      <c r="C124" s="263">
        <v>-10748268</v>
      </c>
      <c r="D124" s="264">
        <v>-10748268</v>
      </c>
      <c r="E124" s="264">
        <v>-10739376</v>
      </c>
      <c r="F124" s="264">
        <v>-4444390</v>
      </c>
      <c r="G124" s="264">
        <v>-162514</v>
      </c>
      <c r="H124" s="264">
        <v>0</v>
      </c>
    </row>
    <row r="125" spans="1:8" ht="15.6" x14ac:dyDescent="0.3">
      <c r="A125" s="241">
        <v>33105</v>
      </c>
      <c r="B125" s="260" t="s">
        <v>362</v>
      </c>
      <c r="C125" s="263">
        <v>-1236284</v>
      </c>
      <c r="D125" s="264">
        <v>-1236284</v>
      </c>
      <c r="E125" s="264">
        <v>-1235316</v>
      </c>
      <c r="F125" s="264">
        <v>-415597</v>
      </c>
      <c r="G125" s="264">
        <v>-79611</v>
      </c>
      <c r="H125" s="264">
        <v>0</v>
      </c>
    </row>
    <row r="126" spans="1:8" ht="15.6" x14ac:dyDescent="0.3">
      <c r="A126" s="241">
        <v>33200</v>
      </c>
      <c r="B126" s="260" t="s">
        <v>363</v>
      </c>
      <c r="C126" s="263">
        <v>-43119711</v>
      </c>
      <c r="D126" s="264">
        <v>-43119711</v>
      </c>
      <c r="E126" s="264">
        <v>-43077855</v>
      </c>
      <c r="F126" s="264">
        <v>-14611515</v>
      </c>
      <c r="G126" s="264">
        <v>4644233</v>
      </c>
      <c r="H126" s="264">
        <v>0</v>
      </c>
    </row>
    <row r="127" spans="1:8" ht="15.6" x14ac:dyDescent="0.3">
      <c r="A127" s="241">
        <v>33202</v>
      </c>
      <c r="B127" s="260" t="s">
        <v>364</v>
      </c>
      <c r="C127" s="263">
        <v>-252336</v>
      </c>
      <c r="D127" s="264">
        <v>-252336</v>
      </c>
      <c r="E127" s="264">
        <v>-251635</v>
      </c>
      <c r="F127" s="264">
        <v>-53593</v>
      </c>
      <c r="G127" s="264">
        <v>21167</v>
      </c>
      <c r="H127" s="264">
        <v>0</v>
      </c>
    </row>
    <row r="128" spans="1:8" ht="15.6" x14ac:dyDescent="0.3">
      <c r="A128" s="241">
        <v>33203</v>
      </c>
      <c r="B128" s="260" t="s">
        <v>365</v>
      </c>
      <c r="C128" s="263">
        <v>-358152</v>
      </c>
      <c r="D128" s="264">
        <v>-358152</v>
      </c>
      <c r="E128" s="264">
        <v>-357802</v>
      </c>
      <c r="F128" s="264">
        <v>-147186</v>
      </c>
      <c r="G128" s="264">
        <v>39961</v>
      </c>
      <c r="H128" s="264">
        <v>0</v>
      </c>
    </row>
    <row r="129" spans="1:8" ht="15.6" x14ac:dyDescent="0.3">
      <c r="A129" s="241">
        <v>33204</v>
      </c>
      <c r="B129" s="260" t="s">
        <v>366</v>
      </c>
      <c r="C129" s="263">
        <v>-1312301</v>
      </c>
      <c r="D129" s="264">
        <v>-1312301</v>
      </c>
      <c r="E129" s="264">
        <v>-1311086</v>
      </c>
      <c r="F129" s="264">
        <v>-650743</v>
      </c>
      <c r="G129" s="264">
        <v>198647</v>
      </c>
      <c r="H129" s="264">
        <v>0</v>
      </c>
    </row>
    <row r="130" spans="1:8" ht="15.6" x14ac:dyDescent="0.3">
      <c r="A130" s="241">
        <v>33205</v>
      </c>
      <c r="B130" s="260" t="s">
        <v>367</v>
      </c>
      <c r="C130" s="263">
        <v>-3703443</v>
      </c>
      <c r="D130" s="264">
        <v>-3703443</v>
      </c>
      <c r="E130" s="264">
        <v>-3700298</v>
      </c>
      <c r="F130" s="264">
        <v>-1079061</v>
      </c>
      <c r="G130" s="264">
        <v>-95863</v>
      </c>
      <c r="H130" s="264">
        <v>0</v>
      </c>
    </row>
    <row r="131" spans="1:8" ht="15.6" x14ac:dyDescent="0.3">
      <c r="A131" s="241">
        <v>33206</v>
      </c>
      <c r="B131" s="260" t="s">
        <v>368</v>
      </c>
      <c r="C131" s="263">
        <v>-236012</v>
      </c>
      <c r="D131" s="264">
        <v>-236012</v>
      </c>
      <c r="E131" s="264">
        <v>-235704</v>
      </c>
      <c r="F131" s="264">
        <v>-73940</v>
      </c>
      <c r="G131" s="264">
        <v>-19067</v>
      </c>
      <c r="H131" s="264">
        <v>0</v>
      </c>
    </row>
    <row r="132" spans="1:8" ht="15.6" x14ac:dyDescent="0.3">
      <c r="A132" s="241">
        <v>33207</v>
      </c>
      <c r="B132" s="260" t="s">
        <v>369</v>
      </c>
      <c r="C132" s="263">
        <v>125928</v>
      </c>
      <c r="D132" s="264">
        <v>125928</v>
      </c>
      <c r="E132" s="264">
        <v>127037</v>
      </c>
      <c r="F132" s="264">
        <v>232037</v>
      </c>
      <c r="G132" s="264">
        <v>409748</v>
      </c>
      <c r="H132" s="264">
        <v>0</v>
      </c>
    </row>
    <row r="133" spans="1:8" ht="15.6" x14ac:dyDescent="0.3">
      <c r="A133" s="241">
        <v>33208</v>
      </c>
      <c r="B133" s="260" t="s">
        <v>370</v>
      </c>
      <c r="C133" s="263">
        <v>-223659</v>
      </c>
      <c r="D133" s="264">
        <v>-223659</v>
      </c>
      <c r="E133" s="264">
        <v>-223659</v>
      </c>
      <c r="F133" s="264">
        <v>-201200</v>
      </c>
      <c r="G133" s="264">
        <v>0</v>
      </c>
      <c r="H133" s="264">
        <v>0</v>
      </c>
    </row>
    <row r="134" spans="1:8" ht="15.6" x14ac:dyDescent="0.3">
      <c r="A134" s="241">
        <v>33209</v>
      </c>
      <c r="B134" s="260" t="s">
        <v>371</v>
      </c>
      <c r="C134" s="263">
        <v>-57715</v>
      </c>
      <c r="D134" s="264">
        <v>-57715</v>
      </c>
      <c r="E134" s="264">
        <v>-57390</v>
      </c>
      <c r="F134" s="264">
        <v>146568</v>
      </c>
      <c r="G134" s="264">
        <v>168396</v>
      </c>
      <c r="H134" s="264">
        <v>0</v>
      </c>
    </row>
    <row r="135" spans="1:8" ht="15.6" x14ac:dyDescent="0.3">
      <c r="A135" s="241">
        <v>33300</v>
      </c>
      <c r="B135" s="260" t="s">
        <v>372</v>
      </c>
      <c r="C135" s="263">
        <v>-6112805</v>
      </c>
      <c r="D135" s="264">
        <v>-6112805</v>
      </c>
      <c r="E135" s="264">
        <v>-6106738</v>
      </c>
      <c r="F135" s="264">
        <v>-2039062</v>
      </c>
      <c r="G135" s="264">
        <v>241483</v>
      </c>
      <c r="H135" s="264">
        <v>0</v>
      </c>
    </row>
    <row r="136" spans="1:8" ht="15.6" x14ac:dyDescent="0.3">
      <c r="A136" s="241">
        <v>33305</v>
      </c>
      <c r="B136" s="260" t="s">
        <v>373</v>
      </c>
      <c r="C136" s="263">
        <v>-1735643</v>
      </c>
      <c r="D136" s="264">
        <v>-1735643</v>
      </c>
      <c r="E136" s="264">
        <v>-1734265</v>
      </c>
      <c r="F136" s="264">
        <v>-601216</v>
      </c>
      <c r="G136" s="264">
        <v>-59521</v>
      </c>
      <c r="H136" s="264">
        <v>0</v>
      </c>
    </row>
    <row r="137" spans="1:8" ht="15.6" x14ac:dyDescent="0.3">
      <c r="A137" s="241">
        <v>33400</v>
      </c>
      <c r="B137" s="260" t="s">
        <v>374</v>
      </c>
      <c r="C137" s="263">
        <v>-53310386</v>
      </c>
      <c r="D137" s="264">
        <v>-53310386</v>
      </c>
      <c r="E137" s="264">
        <v>-53255540</v>
      </c>
      <c r="F137" s="264">
        <v>-18493296</v>
      </c>
      <c r="G137" s="264">
        <v>2761997</v>
      </c>
      <c r="H137" s="264">
        <v>0</v>
      </c>
    </row>
    <row r="138" spans="1:8" ht="15.6" x14ac:dyDescent="0.3">
      <c r="A138" s="241">
        <v>33402</v>
      </c>
      <c r="B138" s="260" t="s">
        <v>375</v>
      </c>
      <c r="C138" s="263">
        <v>-400758</v>
      </c>
      <c r="D138" s="264">
        <v>-400758</v>
      </c>
      <c r="E138" s="264">
        <v>-400304</v>
      </c>
      <c r="F138" s="264">
        <v>-135853</v>
      </c>
      <c r="G138" s="264">
        <v>-22018</v>
      </c>
      <c r="H138" s="264">
        <v>0</v>
      </c>
    </row>
    <row r="139" spans="1:8" ht="15.6" x14ac:dyDescent="0.3">
      <c r="A139" s="241">
        <v>33405</v>
      </c>
      <c r="B139" s="260" t="s">
        <v>376</v>
      </c>
      <c r="C139" s="263">
        <v>-6348309</v>
      </c>
      <c r="D139" s="264">
        <v>-6348309</v>
      </c>
      <c r="E139" s="264">
        <v>-6343607</v>
      </c>
      <c r="F139" s="264">
        <v>-1974766</v>
      </c>
      <c r="G139" s="264">
        <v>92566</v>
      </c>
      <c r="H139" s="264">
        <v>0</v>
      </c>
    </row>
    <row r="140" spans="1:8" ht="15.6" x14ac:dyDescent="0.3">
      <c r="A140" s="241">
        <v>33500</v>
      </c>
      <c r="B140" s="260" t="s">
        <v>377</v>
      </c>
      <c r="C140" s="263">
        <v>-10185592</v>
      </c>
      <c r="D140" s="264">
        <v>-10185592</v>
      </c>
      <c r="E140" s="264">
        <v>-10177269</v>
      </c>
      <c r="F140" s="264">
        <v>-3942318</v>
      </c>
      <c r="G140" s="264">
        <v>154158</v>
      </c>
      <c r="H140" s="264">
        <v>0</v>
      </c>
    </row>
    <row r="141" spans="1:8" ht="15.6" x14ac:dyDescent="0.3">
      <c r="A141" s="241">
        <v>33501</v>
      </c>
      <c r="B141" s="260" t="s">
        <v>378</v>
      </c>
      <c r="C141" s="263">
        <v>-160071</v>
      </c>
      <c r="D141" s="264">
        <v>-160071</v>
      </c>
      <c r="E141" s="264">
        <v>-159861</v>
      </c>
      <c r="F141" s="264">
        <v>-76664</v>
      </c>
      <c r="G141" s="264">
        <v>32882</v>
      </c>
      <c r="H141" s="264">
        <v>0</v>
      </c>
    </row>
    <row r="142" spans="1:8" ht="15.6" x14ac:dyDescent="0.3">
      <c r="A142" s="241">
        <v>33600</v>
      </c>
      <c r="B142" s="260" t="s">
        <v>379</v>
      </c>
      <c r="C142" s="263">
        <v>-27453750</v>
      </c>
      <c r="D142" s="264">
        <v>-27453750</v>
      </c>
      <c r="E142" s="264">
        <v>-27424073</v>
      </c>
      <c r="F142" s="264">
        <v>-9184235</v>
      </c>
      <c r="G142" s="264">
        <v>1309868</v>
      </c>
      <c r="H142" s="264">
        <v>0</v>
      </c>
    </row>
    <row r="143" spans="1:8" ht="15.6" x14ac:dyDescent="0.3">
      <c r="A143" s="241">
        <v>33605</v>
      </c>
      <c r="B143" s="260" t="s">
        <v>380</v>
      </c>
      <c r="C143" s="263">
        <v>-4274154</v>
      </c>
      <c r="D143" s="264">
        <v>-4274154</v>
      </c>
      <c r="E143" s="264">
        <v>-4270746</v>
      </c>
      <c r="F143" s="264">
        <v>-1481069</v>
      </c>
      <c r="G143" s="264">
        <v>-127004</v>
      </c>
      <c r="H143" s="264">
        <v>0</v>
      </c>
    </row>
    <row r="144" spans="1:8" ht="15.6" x14ac:dyDescent="0.3">
      <c r="A144" s="241">
        <v>33700</v>
      </c>
      <c r="B144" s="260" t="s">
        <v>381</v>
      </c>
      <c r="C144" s="263">
        <v>-2159972</v>
      </c>
      <c r="D144" s="264">
        <v>-2159972</v>
      </c>
      <c r="E144" s="264">
        <v>-2158037</v>
      </c>
      <c r="F144" s="264">
        <v>-744346</v>
      </c>
      <c r="G144" s="264">
        <v>59099</v>
      </c>
      <c r="H144" s="264">
        <v>0</v>
      </c>
    </row>
    <row r="145" spans="1:8" ht="15.6" x14ac:dyDescent="0.3">
      <c r="A145" s="241">
        <v>33800</v>
      </c>
      <c r="B145" s="260" t="s">
        <v>382</v>
      </c>
      <c r="C145" s="263">
        <v>-1659358</v>
      </c>
      <c r="D145" s="264">
        <v>-1659358</v>
      </c>
      <c r="E145" s="264">
        <v>-1657908</v>
      </c>
      <c r="F145" s="264">
        <v>-726658</v>
      </c>
      <c r="G145" s="264">
        <v>-13395</v>
      </c>
      <c r="H145" s="264">
        <v>0</v>
      </c>
    </row>
    <row r="146" spans="1:8" ht="15.6" x14ac:dyDescent="0.3">
      <c r="A146" s="241">
        <v>33900</v>
      </c>
      <c r="B146" s="260" t="s">
        <v>383</v>
      </c>
      <c r="C146" s="263">
        <v>-9106916</v>
      </c>
      <c r="D146" s="264">
        <v>-9106916</v>
      </c>
      <c r="E146" s="264">
        <v>-9099702</v>
      </c>
      <c r="F146" s="264">
        <v>-3777264</v>
      </c>
      <c r="G146" s="264">
        <v>-424323</v>
      </c>
      <c r="H146" s="264">
        <v>0</v>
      </c>
    </row>
    <row r="147" spans="1:8" ht="15.6" x14ac:dyDescent="0.3">
      <c r="A147" s="241">
        <v>34000</v>
      </c>
      <c r="B147" s="260" t="s">
        <v>384</v>
      </c>
      <c r="C147" s="263">
        <v>-3779989</v>
      </c>
      <c r="D147" s="264">
        <v>-3779989</v>
      </c>
      <c r="E147" s="264">
        <v>-3776675</v>
      </c>
      <c r="F147" s="264">
        <v>-1635126</v>
      </c>
      <c r="G147" s="264">
        <v>-190961</v>
      </c>
      <c r="H147" s="264">
        <v>0</v>
      </c>
    </row>
    <row r="148" spans="1:8" ht="15.6" x14ac:dyDescent="0.3">
      <c r="A148" s="241">
        <v>34100</v>
      </c>
      <c r="B148" s="260" t="s">
        <v>385</v>
      </c>
      <c r="C148" s="263">
        <v>-82811747</v>
      </c>
      <c r="D148" s="264">
        <v>-82811747</v>
      </c>
      <c r="E148" s="264">
        <v>-82734337</v>
      </c>
      <c r="F148" s="264">
        <v>-29247813</v>
      </c>
      <c r="G148" s="264">
        <v>4430333</v>
      </c>
      <c r="H148" s="264">
        <v>0</v>
      </c>
    </row>
    <row r="149" spans="1:8" ht="15.6" x14ac:dyDescent="0.3">
      <c r="A149" s="241">
        <v>34105</v>
      </c>
      <c r="B149" s="260" t="s">
        <v>386</v>
      </c>
      <c r="C149" s="263">
        <v>-7636068</v>
      </c>
      <c r="D149" s="264">
        <v>-7636068</v>
      </c>
      <c r="E149" s="264">
        <v>-7630213</v>
      </c>
      <c r="F149" s="264">
        <v>-2778639</v>
      </c>
      <c r="G149" s="264">
        <v>-331149</v>
      </c>
      <c r="H149" s="264">
        <v>0</v>
      </c>
    </row>
    <row r="150" spans="1:8" ht="15.6" x14ac:dyDescent="0.3">
      <c r="A150" s="241">
        <v>34200</v>
      </c>
      <c r="B150" s="260" t="s">
        <v>387</v>
      </c>
      <c r="C150" s="263">
        <v>-3564491</v>
      </c>
      <c r="D150" s="264">
        <v>-3564491</v>
      </c>
      <c r="E150" s="264">
        <v>-3561838</v>
      </c>
      <c r="F150" s="264">
        <v>-672679</v>
      </c>
      <c r="G150" s="264">
        <v>533604</v>
      </c>
      <c r="H150" s="264">
        <v>0</v>
      </c>
    </row>
    <row r="151" spans="1:8" ht="15.6" x14ac:dyDescent="0.3">
      <c r="A151" s="241">
        <v>34205</v>
      </c>
      <c r="B151" s="260" t="s">
        <v>388</v>
      </c>
      <c r="C151" s="263">
        <v>-1451854</v>
      </c>
      <c r="D151" s="264">
        <v>-1451854</v>
      </c>
      <c r="E151" s="264">
        <v>-1450779</v>
      </c>
      <c r="F151" s="264">
        <v>-446882</v>
      </c>
      <c r="G151" s="264">
        <v>-50616</v>
      </c>
      <c r="H151" s="264">
        <v>0</v>
      </c>
    </row>
    <row r="152" spans="1:8" ht="15.6" x14ac:dyDescent="0.3">
      <c r="A152" s="241">
        <v>34220</v>
      </c>
      <c r="B152" s="260" t="s">
        <v>389</v>
      </c>
      <c r="C152" s="263">
        <v>-2551761</v>
      </c>
      <c r="D152" s="264">
        <v>-2551761</v>
      </c>
      <c r="E152" s="264">
        <v>-2548841</v>
      </c>
      <c r="F152" s="264">
        <v>-917876</v>
      </c>
      <c r="G152" s="264">
        <v>-76693</v>
      </c>
      <c r="H152" s="264">
        <v>0</v>
      </c>
    </row>
    <row r="153" spans="1:8" ht="15.6" x14ac:dyDescent="0.3">
      <c r="A153" s="241">
        <v>34230</v>
      </c>
      <c r="B153" s="260" t="s">
        <v>390</v>
      </c>
      <c r="C153" s="263">
        <v>-1775579</v>
      </c>
      <c r="D153" s="264">
        <v>-1775579</v>
      </c>
      <c r="E153" s="264">
        <v>-1774619</v>
      </c>
      <c r="F153" s="264">
        <v>-941441</v>
      </c>
      <c r="G153" s="264">
        <v>-278942</v>
      </c>
      <c r="H153" s="264">
        <v>0</v>
      </c>
    </row>
    <row r="154" spans="1:8" ht="15.6" x14ac:dyDescent="0.3">
      <c r="A154" s="241">
        <v>34300</v>
      </c>
      <c r="B154" s="260" t="s">
        <v>391</v>
      </c>
      <c r="C154" s="263">
        <v>-18688298</v>
      </c>
      <c r="D154" s="264">
        <v>-18688298</v>
      </c>
      <c r="E154" s="264">
        <v>-18669381</v>
      </c>
      <c r="F154" s="264">
        <v>-6881839</v>
      </c>
      <c r="G154" s="264">
        <v>712218</v>
      </c>
      <c r="H154" s="264">
        <v>0</v>
      </c>
    </row>
    <row r="155" spans="1:8" ht="15.6" x14ac:dyDescent="0.3">
      <c r="A155" s="241">
        <v>34400</v>
      </c>
      <c r="B155" s="260" t="s">
        <v>392</v>
      </c>
      <c r="C155" s="263">
        <v>-8631585</v>
      </c>
      <c r="D155" s="264">
        <v>-8631585</v>
      </c>
      <c r="E155" s="264">
        <v>-8624072</v>
      </c>
      <c r="F155" s="264">
        <v>-2864627</v>
      </c>
      <c r="G155" s="264">
        <v>565186</v>
      </c>
      <c r="H155" s="264">
        <v>0</v>
      </c>
    </row>
    <row r="156" spans="1:8" ht="15.6" x14ac:dyDescent="0.3">
      <c r="A156" s="241">
        <v>34405</v>
      </c>
      <c r="B156" s="260" t="s">
        <v>393</v>
      </c>
      <c r="C156" s="263">
        <v>-1907146</v>
      </c>
      <c r="D156" s="264">
        <v>-1907146</v>
      </c>
      <c r="E156" s="264">
        <v>-1905654</v>
      </c>
      <c r="F156" s="264">
        <v>-396180</v>
      </c>
      <c r="G156" s="264">
        <v>118536</v>
      </c>
      <c r="H156" s="264">
        <v>0</v>
      </c>
    </row>
    <row r="157" spans="1:8" ht="15.6" x14ac:dyDescent="0.3">
      <c r="A157" s="241">
        <v>34500</v>
      </c>
      <c r="B157" s="260" t="s">
        <v>394</v>
      </c>
      <c r="C157" s="263">
        <v>-13618068</v>
      </c>
      <c r="D157" s="264">
        <v>-13618068</v>
      </c>
      <c r="E157" s="264">
        <v>-13604286</v>
      </c>
      <c r="F157" s="264">
        <v>-3953902</v>
      </c>
      <c r="G157" s="264">
        <v>1041405</v>
      </c>
      <c r="H157" s="264">
        <v>0</v>
      </c>
    </row>
    <row r="158" spans="1:8" ht="15.6" x14ac:dyDescent="0.3">
      <c r="A158" s="241">
        <v>34501</v>
      </c>
      <c r="B158" s="260" t="s">
        <v>395</v>
      </c>
      <c r="C158" s="263">
        <v>-120739</v>
      </c>
      <c r="D158" s="264">
        <v>-120739</v>
      </c>
      <c r="E158" s="264">
        <v>-120553</v>
      </c>
      <c r="F158" s="264">
        <v>-16325</v>
      </c>
      <c r="G158" s="264">
        <v>4628</v>
      </c>
      <c r="H158" s="264">
        <v>0</v>
      </c>
    </row>
    <row r="159" spans="1:8" ht="15.6" x14ac:dyDescent="0.3">
      <c r="A159" s="241">
        <v>34505</v>
      </c>
      <c r="B159" s="260" t="s">
        <v>396</v>
      </c>
      <c r="C159" s="263">
        <v>-1671389</v>
      </c>
      <c r="D159" s="264">
        <v>-1671389</v>
      </c>
      <c r="E159" s="264">
        <v>-1669719</v>
      </c>
      <c r="F159" s="264">
        <v>-224703</v>
      </c>
      <c r="G159" s="264">
        <v>4461</v>
      </c>
      <c r="H159" s="264">
        <v>0</v>
      </c>
    </row>
    <row r="160" spans="1:8" ht="15.6" x14ac:dyDescent="0.3">
      <c r="A160" s="241">
        <v>34600</v>
      </c>
      <c r="B160" s="260" t="s">
        <v>397</v>
      </c>
      <c r="C160" s="263">
        <v>-3513402</v>
      </c>
      <c r="D160" s="264">
        <v>-3513402</v>
      </c>
      <c r="E160" s="264">
        <v>-3510418</v>
      </c>
      <c r="F160" s="264">
        <v>-1332104</v>
      </c>
      <c r="G160" s="264">
        <v>-105911</v>
      </c>
      <c r="H160" s="264">
        <v>0</v>
      </c>
    </row>
    <row r="161" spans="1:8" ht="15.6" x14ac:dyDescent="0.3">
      <c r="A161" s="241">
        <v>34605</v>
      </c>
      <c r="B161" s="260" t="s">
        <v>398</v>
      </c>
      <c r="C161" s="263">
        <v>-997948</v>
      </c>
      <c r="D161" s="264">
        <v>-997948</v>
      </c>
      <c r="E161" s="264">
        <v>-997378</v>
      </c>
      <c r="F161" s="264">
        <v>-425523</v>
      </c>
      <c r="G161" s="264">
        <v>-115552</v>
      </c>
      <c r="H161" s="264">
        <v>0</v>
      </c>
    </row>
    <row r="162" spans="1:8" ht="15.6" x14ac:dyDescent="0.3">
      <c r="A162" s="241">
        <v>34700</v>
      </c>
      <c r="B162" s="260" t="s">
        <v>399</v>
      </c>
      <c r="C162" s="263">
        <v>-9069081</v>
      </c>
      <c r="D162" s="264">
        <v>-9069081</v>
      </c>
      <c r="E162" s="264">
        <v>-9060056</v>
      </c>
      <c r="F162" s="264">
        <v>-2601317</v>
      </c>
      <c r="G162" s="264">
        <v>603353</v>
      </c>
      <c r="H162" s="264">
        <v>0</v>
      </c>
    </row>
    <row r="163" spans="1:8" ht="15.6" x14ac:dyDescent="0.3">
      <c r="A163" s="241">
        <v>34800</v>
      </c>
      <c r="B163" s="260" t="s">
        <v>400</v>
      </c>
      <c r="C163" s="263">
        <v>-853229</v>
      </c>
      <c r="D163" s="264">
        <v>-853229</v>
      </c>
      <c r="E163" s="264">
        <v>-852271</v>
      </c>
      <c r="F163" s="264">
        <v>-363000</v>
      </c>
      <c r="G163" s="264">
        <v>-52679</v>
      </c>
      <c r="H163" s="264">
        <v>0</v>
      </c>
    </row>
    <row r="164" spans="1:8" ht="15.6" x14ac:dyDescent="0.3">
      <c r="A164" s="241">
        <v>34900</v>
      </c>
      <c r="B164" s="260" t="s">
        <v>401</v>
      </c>
      <c r="C164" s="263">
        <v>-20239365</v>
      </c>
      <c r="D164" s="264">
        <v>-20239365</v>
      </c>
      <c r="E164" s="264">
        <v>-20220255</v>
      </c>
      <c r="F164" s="264">
        <v>-7383729</v>
      </c>
      <c r="G164" s="264">
        <v>576493</v>
      </c>
      <c r="H164" s="264">
        <v>0</v>
      </c>
    </row>
    <row r="165" spans="1:8" ht="15.6" x14ac:dyDescent="0.3">
      <c r="A165" s="241">
        <v>34901</v>
      </c>
      <c r="B165" s="260" t="s">
        <v>402</v>
      </c>
      <c r="C165" s="263">
        <v>-498871</v>
      </c>
      <c r="D165" s="264">
        <v>-498871</v>
      </c>
      <c r="E165" s="264">
        <v>-498362</v>
      </c>
      <c r="F165" s="264">
        <v>-183265</v>
      </c>
      <c r="G165" s="264">
        <v>42984</v>
      </c>
      <c r="H165" s="264">
        <v>0</v>
      </c>
    </row>
    <row r="166" spans="1:8" ht="15.6" x14ac:dyDescent="0.3">
      <c r="A166" s="241">
        <v>34903</v>
      </c>
      <c r="B166" s="260" t="s">
        <v>403</v>
      </c>
      <c r="C166" s="263">
        <v>-45062</v>
      </c>
      <c r="D166" s="264">
        <v>-45062</v>
      </c>
      <c r="E166" s="264">
        <v>-45043</v>
      </c>
      <c r="F166" s="264">
        <v>-33382</v>
      </c>
      <c r="G166" s="264">
        <v>-14568</v>
      </c>
      <c r="H166" s="264">
        <v>0</v>
      </c>
    </row>
    <row r="167" spans="1:8" ht="15.6" x14ac:dyDescent="0.3">
      <c r="A167" s="241">
        <v>34905</v>
      </c>
      <c r="B167" s="260" t="s">
        <v>404</v>
      </c>
      <c r="C167" s="263">
        <v>-2184631</v>
      </c>
      <c r="D167" s="264">
        <v>-2184631</v>
      </c>
      <c r="E167" s="264">
        <v>-2182835</v>
      </c>
      <c r="F167" s="264">
        <v>-460768</v>
      </c>
      <c r="G167" s="264">
        <v>116649</v>
      </c>
      <c r="H167" s="264">
        <v>0</v>
      </c>
    </row>
    <row r="168" spans="1:8" ht="15.6" x14ac:dyDescent="0.3">
      <c r="A168" s="241">
        <v>34910</v>
      </c>
      <c r="B168" s="260" t="s">
        <v>405</v>
      </c>
      <c r="C168" s="263">
        <v>-6393816</v>
      </c>
      <c r="D168" s="264">
        <v>-6393816</v>
      </c>
      <c r="E168" s="264">
        <v>-6387779</v>
      </c>
      <c r="F168" s="264">
        <v>-2178498</v>
      </c>
      <c r="G168" s="264">
        <v>113698</v>
      </c>
      <c r="H168" s="264">
        <v>0</v>
      </c>
    </row>
    <row r="169" spans="1:8" ht="15.6" x14ac:dyDescent="0.3">
      <c r="A169" s="241">
        <v>35000</v>
      </c>
      <c r="B169" s="260" t="s">
        <v>406</v>
      </c>
      <c r="C169" s="263">
        <v>-3821399</v>
      </c>
      <c r="D169" s="264">
        <v>-3821399</v>
      </c>
      <c r="E169" s="264">
        <v>-3817312</v>
      </c>
      <c r="F169" s="264">
        <v>-1186681</v>
      </c>
      <c r="G169" s="264">
        <v>393239</v>
      </c>
      <c r="H169" s="264">
        <v>0</v>
      </c>
    </row>
    <row r="170" spans="1:8" ht="15.6" x14ac:dyDescent="0.3">
      <c r="A170" s="241">
        <v>35005</v>
      </c>
      <c r="B170" s="260" t="s">
        <v>407</v>
      </c>
      <c r="C170" s="263">
        <v>-1967599</v>
      </c>
      <c r="D170" s="264">
        <v>-1967599</v>
      </c>
      <c r="E170" s="264">
        <v>-1965820</v>
      </c>
      <c r="F170" s="264">
        <v>-440923</v>
      </c>
      <c r="G170" s="264">
        <v>47284</v>
      </c>
      <c r="H170" s="264">
        <v>0</v>
      </c>
    </row>
    <row r="171" spans="1:8" ht="15.6" x14ac:dyDescent="0.3">
      <c r="A171" s="241">
        <v>35100</v>
      </c>
      <c r="B171" s="260" t="s">
        <v>408</v>
      </c>
      <c r="C171" s="263">
        <v>-32588644</v>
      </c>
      <c r="D171" s="264">
        <v>-32588644</v>
      </c>
      <c r="E171" s="264">
        <v>-32552005</v>
      </c>
      <c r="F171" s="264">
        <v>-9867374</v>
      </c>
      <c r="G171" s="264">
        <v>2905379</v>
      </c>
      <c r="H171" s="264">
        <v>0</v>
      </c>
    </row>
    <row r="172" spans="1:8" ht="15.6" x14ac:dyDescent="0.3">
      <c r="A172" s="241">
        <v>35105</v>
      </c>
      <c r="B172" s="260" t="s">
        <v>409</v>
      </c>
      <c r="C172" s="263">
        <v>-3442881</v>
      </c>
      <c r="D172" s="264">
        <v>-3442881</v>
      </c>
      <c r="E172" s="264">
        <v>-3439806</v>
      </c>
      <c r="F172" s="264">
        <v>-603318</v>
      </c>
      <c r="G172" s="264">
        <v>275380</v>
      </c>
      <c r="H172" s="264">
        <v>0</v>
      </c>
    </row>
    <row r="173" spans="1:8" ht="15.6" x14ac:dyDescent="0.3">
      <c r="A173" s="241">
        <v>35106</v>
      </c>
      <c r="B173" s="260" t="s">
        <v>410</v>
      </c>
      <c r="C173" s="263">
        <v>-893637</v>
      </c>
      <c r="D173" s="264">
        <v>-893637</v>
      </c>
      <c r="E173" s="264">
        <v>-892872</v>
      </c>
      <c r="F173" s="264">
        <v>-343501</v>
      </c>
      <c r="G173" s="264">
        <v>-26130</v>
      </c>
      <c r="H173" s="264">
        <v>0</v>
      </c>
    </row>
    <row r="174" spans="1:8" ht="15.6" x14ac:dyDescent="0.3">
      <c r="A174" s="241">
        <v>35200</v>
      </c>
      <c r="B174" s="260" t="s">
        <v>411</v>
      </c>
      <c r="C174" s="263">
        <v>-1553827</v>
      </c>
      <c r="D174" s="264">
        <v>-1553827</v>
      </c>
      <c r="E174" s="264">
        <v>-1552391</v>
      </c>
      <c r="F174" s="264">
        <v>-582855</v>
      </c>
      <c r="G174" s="264">
        <v>-23043</v>
      </c>
      <c r="H174" s="264">
        <v>0</v>
      </c>
    </row>
    <row r="175" spans="1:8" ht="15.6" x14ac:dyDescent="0.3">
      <c r="A175" s="241">
        <v>35300</v>
      </c>
      <c r="B175" s="260" t="s">
        <v>412</v>
      </c>
      <c r="C175" s="263">
        <v>-9468457</v>
      </c>
      <c r="D175" s="264">
        <v>-9468457</v>
      </c>
      <c r="E175" s="264">
        <v>-9457658</v>
      </c>
      <c r="F175" s="264">
        <v>-3574158</v>
      </c>
      <c r="G175" s="264">
        <v>-292020</v>
      </c>
      <c r="H175" s="264">
        <v>0</v>
      </c>
    </row>
    <row r="176" spans="1:8" ht="15.6" x14ac:dyDescent="0.3">
      <c r="A176" s="241">
        <v>35305</v>
      </c>
      <c r="B176" s="260" t="s">
        <v>413</v>
      </c>
      <c r="C176" s="263">
        <v>-3849366</v>
      </c>
      <c r="D176" s="264">
        <v>-3849366</v>
      </c>
      <c r="E176" s="264">
        <v>-3845570</v>
      </c>
      <c r="F176" s="264">
        <v>-732279</v>
      </c>
      <c r="G176" s="264">
        <v>276323</v>
      </c>
      <c r="H176" s="264">
        <v>0</v>
      </c>
    </row>
    <row r="177" spans="1:8" ht="15.6" x14ac:dyDescent="0.3">
      <c r="A177" s="241">
        <v>35400</v>
      </c>
      <c r="B177" s="260" t="s">
        <v>414</v>
      </c>
      <c r="C177" s="263">
        <v>-8533758</v>
      </c>
      <c r="D177" s="264">
        <v>-8533758</v>
      </c>
      <c r="E177" s="264">
        <v>-8525889</v>
      </c>
      <c r="F177" s="264">
        <v>-2819735</v>
      </c>
      <c r="G177" s="264">
        <v>317856</v>
      </c>
      <c r="H177" s="264">
        <v>0</v>
      </c>
    </row>
    <row r="178" spans="1:8" ht="15.6" x14ac:dyDescent="0.3">
      <c r="A178" s="241">
        <v>35401</v>
      </c>
      <c r="B178" s="260" t="s">
        <v>415</v>
      </c>
      <c r="C178" s="263">
        <v>-64787</v>
      </c>
      <c r="D178" s="264">
        <v>-64787</v>
      </c>
      <c r="E178" s="264">
        <v>-64704</v>
      </c>
      <c r="F178" s="264">
        <v>-63662</v>
      </c>
      <c r="G178" s="264">
        <v>2835</v>
      </c>
      <c r="H178" s="264">
        <v>0</v>
      </c>
    </row>
    <row r="179" spans="1:8" ht="15.6" x14ac:dyDescent="0.3">
      <c r="A179" s="241">
        <v>35405</v>
      </c>
      <c r="B179" s="260" t="s">
        <v>416</v>
      </c>
      <c r="C179" s="263">
        <v>-3213195</v>
      </c>
      <c r="D179" s="264">
        <v>-3213195</v>
      </c>
      <c r="E179" s="264">
        <v>-3210657</v>
      </c>
      <c r="F179" s="264">
        <v>-947383</v>
      </c>
      <c r="G179" s="264">
        <v>-44821</v>
      </c>
      <c r="H179" s="264">
        <v>0</v>
      </c>
    </row>
    <row r="180" spans="1:8" ht="15.6" x14ac:dyDescent="0.3">
      <c r="A180" s="241">
        <v>35500</v>
      </c>
      <c r="B180" s="260" t="s">
        <v>417</v>
      </c>
      <c r="C180" s="263">
        <v>-12814098</v>
      </c>
      <c r="D180" s="264">
        <v>-12814098</v>
      </c>
      <c r="E180" s="264">
        <v>-12803286</v>
      </c>
      <c r="F180" s="264">
        <v>-4365601</v>
      </c>
      <c r="G180" s="264">
        <v>127534</v>
      </c>
      <c r="H180" s="264">
        <v>0</v>
      </c>
    </row>
    <row r="181" spans="1:8" ht="15.6" x14ac:dyDescent="0.3">
      <c r="A181" s="241">
        <v>35600</v>
      </c>
      <c r="B181" s="260" t="s">
        <v>418</v>
      </c>
      <c r="C181" s="263">
        <v>-4289812</v>
      </c>
      <c r="D181" s="264">
        <v>-4289812</v>
      </c>
      <c r="E181" s="264">
        <v>-4285236</v>
      </c>
      <c r="F181" s="264">
        <v>-1547982</v>
      </c>
      <c r="G181" s="264">
        <v>101674</v>
      </c>
      <c r="H181" s="264">
        <v>0</v>
      </c>
    </row>
    <row r="182" spans="1:8" ht="15.6" x14ac:dyDescent="0.3">
      <c r="A182" s="241">
        <v>35700</v>
      </c>
      <c r="B182" s="260" t="s">
        <v>419</v>
      </c>
      <c r="C182" s="263">
        <v>-2572358</v>
      </c>
      <c r="D182" s="264">
        <v>-2572358</v>
      </c>
      <c r="E182" s="264">
        <v>-2569895</v>
      </c>
      <c r="F182" s="264">
        <v>-1065312</v>
      </c>
      <c r="G182" s="264">
        <v>105941</v>
      </c>
      <c r="H182" s="264">
        <v>0</v>
      </c>
    </row>
    <row r="183" spans="1:8" ht="15.6" x14ac:dyDescent="0.3">
      <c r="A183" s="241">
        <v>35800</v>
      </c>
      <c r="B183" s="260" t="s">
        <v>420</v>
      </c>
      <c r="C183" s="263">
        <v>-4030490</v>
      </c>
      <c r="D183" s="264">
        <v>-4030490</v>
      </c>
      <c r="E183" s="264">
        <v>-4027219</v>
      </c>
      <c r="F183" s="264">
        <v>-1704052</v>
      </c>
      <c r="G183" s="264">
        <v>25317</v>
      </c>
      <c r="H183" s="264">
        <v>0</v>
      </c>
    </row>
    <row r="184" spans="1:8" ht="15.6" x14ac:dyDescent="0.3">
      <c r="A184" s="241">
        <v>35805</v>
      </c>
      <c r="B184" s="260" t="s">
        <v>421</v>
      </c>
      <c r="C184" s="263">
        <v>-381671</v>
      </c>
      <c r="D184" s="264">
        <v>-381671</v>
      </c>
      <c r="E184" s="264">
        <v>-380992</v>
      </c>
      <c r="F184" s="264">
        <v>77294</v>
      </c>
      <c r="G184" s="264">
        <v>148676</v>
      </c>
      <c r="H184" s="264">
        <v>0</v>
      </c>
    </row>
    <row r="185" spans="1:8" ht="15.6" x14ac:dyDescent="0.3">
      <c r="A185" s="241">
        <v>35900</v>
      </c>
      <c r="B185" s="260" t="s">
        <v>422</v>
      </c>
      <c r="C185" s="263">
        <v>-7307177</v>
      </c>
      <c r="D185" s="264">
        <v>-7307177</v>
      </c>
      <c r="E185" s="264">
        <v>-7300780</v>
      </c>
      <c r="F185" s="264">
        <v>-2614672</v>
      </c>
      <c r="G185" s="264">
        <v>-66847</v>
      </c>
      <c r="H185" s="264">
        <v>0</v>
      </c>
    </row>
    <row r="186" spans="1:8" ht="15.6" x14ac:dyDescent="0.3">
      <c r="A186" s="241">
        <v>35905</v>
      </c>
      <c r="B186" s="260" t="s">
        <v>423</v>
      </c>
      <c r="C186" s="263">
        <v>-1053533</v>
      </c>
      <c r="D186" s="264">
        <v>-1053533</v>
      </c>
      <c r="E186" s="264">
        <v>-1052787</v>
      </c>
      <c r="F186" s="264">
        <v>-493392</v>
      </c>
      <c r="G186" s="264">
        <v>-88373</v>
      </c>
      <c r="H186" s="264">
        <v>0</v>
      </c>
    </row>
    <row r="187" spans="1:8" ht="15.6" x14ac:dyDescent="0.3">
      <c r="A187" s="241">
        <v>36000</v>
      </c>
      <c r="B187" s="260" t="s">
        <v>424</v>
      </c>
      <c r="C187" s="263">
        <v>-156489565</v>
      </c>
      <c r="D187" s="264">
        <v>-156489565</v>
      </c>
      <c r="E187" s="264">
        <v>-156327022</v>
      </c>
      <c r="F187" s="264">
        <v>-52309327</v>
      </c>
      <c r="G187" s="264">
        <v>6731474</v>
      </c>
      <c r="H187" s="264">
        <v>0</v>
      </c>
    </row>
    <row r="188" spans="1:8" ht="15.6" x14ac:dyDescent="0.3">
      <c r="A188" s="241">
        <v>36001</v>
      </c>
      <c r="B188" s="260" t="s">
        <v>425</v>
      </c>
      <c r="C188" s="263">
        <v>-197118</v>
      </c>
      <c r="D188" s="264">
        <v>-197118</v>
      </c>
      <c r="E188" s="264">
        <v>-197118</v>
      </c>
      <c r="F188" s="264">
        <v>-218360</v>
      </c>
      <c r="G188" s="264">
        <v>0</v>
      </c>
      <c r="H188" s="264">
        <v>0</v>
      </c>
    </row>
    <row r="189" spans="1:8" ht="15.6" x14ac:dyDescent="0.3">
      <c r="A189" s="241">
        <v>36002</v>
      </c>
      <c r="B189" s="260" t="s">
        <v>426</v>
      </c>
      <c r="C189" s="263">
        <v>-1070064</v>
      </c>
      <c r="D189" s="264">
        <v>-1070064</v>
      </c>
      <c r="E189" s="264">
        <v>-1070064</v>
      </c>
      <c r="F189" s="264">
        <v>-161620</v>
      </c>
      <c r="G189" s="264">
        <v>0</v>
      </c>
      <c r="H189" s="264">
        <v>0</v>
      </c>
    </row>
    <row r="190" spans="1:8" ht="15.6" x14ac:dyDescent="0.3">
      <c r="A190" s="241">
        <v>36003</v>
      </c>
      <c r="B190" s="260" t="s">
        <v>427</v>
      </c>
      <c r="C190" s="263">
        <v>-1305021</v>
      </c>
      <c r="D190" s="264">
        <v>-1305021</v>
      </c>
      <c r="E190" s="264">
        <v>-1303909</v>
      </c>
      <c r="F190" s="264">
        <v>-552015</v>
      </c>
      <c r="G190" s="264">
        <v>16903</v>
      </c>
      <c r="H190" s="264">
        <v>0</v>
      </c>
    </row>
    <row r="191" spans="1:8" ht="15.6" x14ac:dyDescent="0.3">
      <c r="A191" s="241">
        <v>36004</v>
      </c>
      <c r="B191" s="260" t="s">
        <v>428</v>
      </c>
      <c r="C191" s="263">
        <v>-377802</v>
      </c>
      <c r="D191" s="264">
        <v>-377802</v>
      </c>
      <c r="E191" s="264">
        <v>-377020</v>
      </c>
      <c r="F191" s="264">
        <v>59526</v>
      </c>
      <c r="G191" s="264">
        <v>280644</v>
      </c>
      <c r="H191" s="264">
        <v>0</v>
      </c>
    </row>
    <row r="192" spans="1:8" ht="15.6" x14ac:dyDescent="0.3">
      <c r="A192" s="241">
        <v>36005</v>
      </c>
      <c r="B192" s="260" t="s">
        <v>429</v>
      </c>
      <c r="C192" s="263">
        <v>-14606728</v>
      </c>
      <c r="D192" s="264">
        <v>-14606728</v>
      </c>
      <c r="E192" s="264">
        <v>-14594099</v>
      </c>
      <c r="F192" s="264">
        <v>-3217191</v>
      </c>
      <c r="G192" s="264">
        <v>-151483</v>
      </c>
      <c r="H192" s="264">
        <v>0</v>
      </c>
    </row>
    <row r="193" spans="1:8" ht="15.6" x14ac:dyDescent="0.3">
      <c r="A193" s="241">
        <v>36006</v>
      </c>
      <c r="B193" s="260" t="s">
        <v>430</v>
      </c>
      <c r="C193" s="263">
        <v>-958575</v>
      </c>
      <c r="D193" s="264">
        <v>-958575</v>
      </c>
      <c r="E193" s="264">
        <v>-956699</v>
      </c>
      <c r="F193" s="264">
        <v>183064</v>
      </c>
      <c r="G193" s="264">
        <v>391964</v>
      </c>
      <c r="H193" s="264">
        <v>0</v>
      </c>
    </row>
    <row r="194" spans="1:8" ht="15.6" x14ac:dyDescent="0.3">
      <c r="A194" s="241">
        <v>36007</v>
      </c>
      <c r="B194" s="260" t="s">
        <v>431</v>
      </c>
      <c r="C194" s="263">
        <v>-410057</v>
      </c>
      <c r="D194" s="264">
        <v>-410057</v>
      </c>
      <c r="E194" s="264">
        <v>-409484</v>
      </c>
      <c r="F194" s="264">
        <v>-36755</v>
      </c>
      <c r="G194" s="264">
        <v>84365</v>
      </c>
      <c r="H194" s="264">
        <v>0</v>
      </c>
    </row>
    <row r="195" spans="1:8" ht="15.6" x14ac:dyDescent="0.3">
      <c r="A195" s="241">
        <v>36008</v>
      </c>
      <c r="B195" s="260" t="s">
        <v>432</v>
      </c>
      <c r="C195" s="263">
        <v>-1548131</v>
      </c>
      <c r="D195" s="264">
        <v>-1548131</v>
      </c>
      <c r="E195" s="264">
        <v>-1546517</v>
      </c>
      <c r="F195" s="264">
        <v>-785297</v>
      </c>
      <c r="G195" s="264">
        <v>81694</v>
      </c>
      <c r="H195" s="264">
        <v>0</v>
      </c>
    </row>
    <row r="196" spans="1:8" ht="15.6" x14ac:dyDescent="0.3">
      <c r="A196" s="241">
        <v>36009</v>
      </c>
      <c r="B196" s="260" t="s">
        <v>433</v>
      </c>
      <c r="C196" s="263">
        <v>-752070</v>
      </c>
      <c r="D196" s="264">
        <v>-752070</v>
      </c>
      <c r="E196" s="264">
        <v>-751764</v>
      </c>
      <c r="F196" s="264">
        <v>-553696</v>
      </c>
      <c r="G196" s="264">
        <v>-139680</v>
      </c>
      <c r="H196" s="264">
        <v>0</v>
      </c>
    </row>
    <row r="197" spans="1:8" ht="15.6" x14ac:dyDescent="0.3">
      <c r="A197" s="241">
        <v>36100</v>
      </c>
      <c r="B197" s="260" t="s">
        <v>434</v>
      </c>
      <c r="C197" s="263">
        <v>-2168479</v>
      </c>
      <c r="D197" s="264">
        <v>-2168479</v>
      </c>
      <c r="E197" s="264">
        <v>-2166530</v>
      </c>
      <c r="F197" s="264">
        <v>-748519</v>
      </c>
      <c r="G197" s="264">
        <v>104016</v>
      </c>
      <c r="H197" s="264">
        <v>0</v>
      </c>
    </row>
    <row r="198" spans="1:8" ht="15.6" x14ac:dyDescent="0.3">
      <c r="A198" s="241">
        <v>36102</v>
      </c>
      <c r="B198" s="260" t="s">
        <v>435</v>
      </c>
      <c r="C198" s="263">
        <v>-147828</v>
      </c>
      <c r="D198" s="264">
        <v>-147828</v>
      </c>
      <c r="E198" s="264">
        <v>-147066</v>
      </c>
      <c r="F198" s="264">
        <v>255545</v>
      </c>
      <c r="G198" s="264">
        <v>127228</v>
      </c>
      <c r="H198" s="264">
        <v>0</v>
      </c>
    </row>
    <row r="199" spans="1:8" ht="15.6" x14ac:dyDescent="0.3">
      <c r="A199" s="241">
        <v>36105</v>
      </c>
      <c r="B199" s="260" t="s">
        <v>436</v>
      </c>
      <c r="C199" s="263">
        <v>-1167964</v>
      </c>
      <c r="D199" s="264">
        <v>-1167964</v>
      </c>
      <c r="E199" s="264">
        <v>-1167020</v>
      </c>
      <c r="F199" s="264">
        <v>-445078</v>
      </c>
      <c r="G199" s="264">
        <v>-155508</v>
      </c>
      <c r="H199" s="264">
        <v>0</v>
      </c>
    </row>
    <row r="200" spans="1:8" ht="15.6" x14ac:dyDescent="0.3">
      <c r="A200" s="241">
        <v>36200</v>
      </c>
      <c r="B200" s="260" t="s">
        <v>437</v>
      </c>
      <c r="C200" s="263">
        <v>-4627083</v>
      </c>
      <c r="D200" s="264">
        <v>-4627083</v>
      </c>
      <c r="E200" s="264">
        <v>-4623206</v>
      </c>
      <c r="F200" s="264">
        <v>-2122520</v>
      </c>
      <c r="G200" s="264">
        <v>-334241</v>
      </c>
      <c r="H200" s="264">
        <v>0</v>
      </c>
    </row>
    <row r="201" spans="1:8" ht="15.6" x14ac:dyDescent="0.3">
      <c r="A201" s="241">
        <v>36205</v>
      </c>
      <c r="B201" s="260" t="s">
        <v>438</v>
      </c>
      <c r="C201" s="263">
        <v>-684800</v>
      </c>
      <c r="D201" s="264">
        <v>-684800</v>
      </c>
      <c r="E201" s="264">
        <v>-684021</v>
      </c>
      <c r="F201" s="264">
        <v>2183</v>
      </c>
      <c r="G201" s="264">
        <v>118479</v>
      </c>
      <c r="H201" s="264">
        <v>0</v>
      </c>
    </row>
    <row r="202" spans="1:8" ht="15.6" x14ac:dyDescent="0.3">
      <c r="A202" s="241">
        <v>36300</v>
      </c>
      <c r="B202" s="260" t="s">
        <v>439</v>
      </c>
      <c r="C202" s="263">
        <v>-13373146</v>
      </c>
      <c r="D202" s="264">
        <v>-13373146</v>
      </c>
      <c r="E202" s="264">
        <v>-13359843</v>
      </c>
      <c r="F202" s="264">
        <v>-5229456</v>
      </c>
      <c r="G202" s="264">
        <v>705984</v>
      </c>
      <c r="H202" s="264">
        <v>0</v>
      </c>
    </row>
    <row r="203" spans="1:8" ht="15.6" x14ac:dyDescent="0.3">
      <c r="A203" s="241">
        <v>36301</v>
      </c>
      <c r="B203" s="260" t="s">
        <v>440</v>
      </c>
      <c r="C203" s="263">
        <v>-45329</v>
      </c>
      <c r="D203" s="264">
        <v>-45329</v>
      </c>
      <c r="E203" s="264">
        <v>-45062</v>
      </c>
      <c r="F203" s="264">
        <v>51349</v>
      </c>
      <c r="G203" s="264">
        <v>116840</v>
      </c>
      <c r="H203" s="264">
        <v>0</v>
      </c>
    </row>
    <row r="204" spans="1:8" ht="15.6" x14ac:dyDescent="0.3">
      <c r="A204" s="241">
        <v>36302</v>
      </c>
      <c r="B204" s="260" t="s">
        <v>441</v>
      </c>
      <c r="C204" s="263">
        <v>-286248</v>
      </c>
      <c r="D204" s="264">
        <v>-286248</v>
      </c>
      <c r="E204" s="264">
        <v>-285865</v>
      </c>
      <c r="F204" s="264">
        <v>-28311</v>
      </c>
      <c r="G204" s="264">
        <v>105642</v>
      </c>
      <c r="H204" s="264">
        <v>0</v>
      </c>
    </row>
    <row r="205" spans="1:8" ht="15.6" x14ac:dyDescent="0.3">
      <c r="A205" s="241">
        <v>36303</v>
      </c>
      <c r="B205" s="260" t="s">
        <v>556</v>
      </c>
      <c r="C205" s="263">
        <v>778390</v>
      </c>
      <c r="D205" s="264">
        <v>778390</v>
      </c>
      <c r="E205" s="264">
        <v>778953</v>
      </c>
      <c r="F205" s="264">
        <v>1199508</v>
      </c>
      <c r="G205" s="264">
        <v>358929</v>
      </c>
      <c r="H205" s="264">
        <v>0</v>
      </c>
    </row>
    <row r="206" spans="1:8" ht="15.6" x14ac:dyDescent="0.3">
      <c r="A206" s="241">
        <v>36305</v>
      </c>
      <c r="B206" s="260" t="s">
        <v>442</v>
      </c>
      <c r="C206" s="263">
        <v>-2963346</v>
      </c>
      <c r="D206" s="264">
        <v>-2963346</v>
      </c>
      <c r="E206" s="264">
        <v>-2960925</v>
      </c>
      <c r="F206" s="264">
        <v>-674168</v>
      </c>
      <c r="G206" s="264">
        <v>196345</v>
      </c>
      <c r="H206" s="264">
        <v>0</v>
      </c>
    </row>
    <row r="207" spans="1:8" ht="15.6" x14ac:dyDescent="0.3">
      <c r="A207" s="241">
        <v>36310</v>
      </c>
      <c r="B207" s="260" t="s">
        <v>443</v>
      </c>
      <c r="C207" s="263">
        <v>-1392</v>
      </c>
      <c r="D207" s="264">
        <v>-1392</v>
      </c>
      <c r="E207" s="264">
        <v>-1392</v>
      </c>
      <c r="F207" s="264">
        <v>-179981</v>
      </c>
      <c r="G207" s="264">
        <v>0</v>
      </c>
      <c r="H207" s="264">
        <v>0</v>
      </c>
    </row>
    <row r="208" spans="1:8" ht="15.6" x14ac:dyDescent="0.3">
      <c r="A208" s="241">
        <v>36400</v>
      </c>
      <c r="B208" s="260" t="s">
        <v>444</v>
      </c>
      <c r="C208" s="263">
        <v>-14598160</v>
      </c>
      <c r="D208" s="264">
        <v>-14598160</v>
      </c>
      <c r="E208" s="264">
        <v>-14584164</v>
      </c>
      <c r="F208" s="264">
        <v>-7072136</v>
      </c>
      <c r="G208" s="264">
        <v>-695840</v>
      </c>
      <c r="H208" s="264">
        <v>0</v>
      </c>
    </row>
    <row r="209" spans="1:8" ht="15.6" x14ac:dyDescent="0.3">
      <c r="A209" s="241">
        <v>36405</v>
      </c>
      <c r="B209" s="260" t="s">
        <v>445</v>
      </c>
      <c r="C209" s="263">
        <v>-2583352</v>
      </c>
      <c r="D209" s="264">
        <v>-2583352</v>
      </c>
      <c r="E209" s="264">
        <v>-2581048</v>
      </c>
      <c r="F209" s="264">
        <v>-796696</v>
      </c>
      <c r="G209" s="264">
        <v>-175903</v>
      </c>
      <c r="H209" s="264">
        <v>0</v>
      </c>
    </row>
    <row r="210" spans="1:8" ht="15.6" x14ac:dyDescent="0.3">
      <c r="A210" s="241">
        <v>36500</v>
      </c>
      <c r="B210" s="260" t="s">
        <v>446</v>
      </c>
      <c r="C210" s="263">
        <v>-27063655</v>
      </c>
      <c r="D210" s="264">
        <v>-27063655</v>
      </c>
      <c r="E210" s="264">
        <v>-27034540</v>
      </c>
      <c r="F210" s="264">
        <v>-9543067</v>
      </c>
      <c r="G210" s="264">
        <v>696664</v>
      </c>
      <c r="H210" s="264">
        <v>0</v>
      </c>
    </row>
    <row r="211" spans="1:8" ht="15.6" x14ac:dyDescent="0.3">
      <c r="A211" s="241">
        <v>36501</v>
      </c>
      <c r="B211" s="260" t="s">
        <v>447</v>
      </c>
      <c r="C211" s="263">
        <v>-270290</v>
      </c>
      <c r="D211" s="264">
        <v>-270290</v>
      </c>
      <c r="E211" s="264">
        <v>-269899</v>
      </c>
      <c r="F211" s="264">
        <v>-60297</v>
      </c>
      <c r="G211" s="264">
        <v>6372</v>
      </c>
      <c r="H211" s="264">
        <v>0</v>
      </c>
    </row>
    <row r="212" spans="1:8" ht="15.6" x14ac:dyDescent="0.3">
      <c r="A212" s="241">
        <v>36502</v>
      </c>
      <c r="B212" s="260" t="s">
        <v>448</v>
      </c>
      <c r="C212" s="263">
        <v>-142735</v>
      </c>
      <c r="D212" s="264">
        <v>-142735</v>
      </c>
      <c r="E212" s="264">
        <v>-142596</v>
      </c>
      <c r="F212" s="264">
        <v>-32472</v>
      </c>
      <c r="G212" s="264">
        <v>843</v>
      </c>
      <c r="H212" s="264">
        <v>0</v>
      </c>
    </row>
    <row r="213" spans="1:8" ht="15.6" x14ac:dyDescent="0.3">
      <c r="A213" s="241">
        <v>36505</v>
      </c>
      <c r="B213" s="260" t="s">
        <v>449</v>
      </c>
      <c r="C213" s="263">
        <v>-5758915</v>
      </c>
      <c r="D213" s="264">
        <v>-5758915</v>
      </c>
      <c r="E213" s="264">
        <v>-5753434</v>
      </c>
      <c r="F213" s="264">
        <v>-1792374</v>
      </c>
      <c r="G213" s="264">
        <v>134929</v>
      </c>
      <c r="H213" s="264">
        <v>0</v>
      </c>
    </row>
    <row r="214" spans="1:8" ht="15.6" x14ac:dyDescent="0.3">
      <c r="A214" s="241">
        <v>36600</v>
      </c>
      <c r="B214" s="260" t="s">
        <v>450</v>
      </c>
      <c r="C214" s="263">
        <v>-2285636</v>
      </c>
      <c r="D214" s="264">
        <v>-2285636</v>
      </c>
      <c r="E214" s="264">
        <v>-2283732</v>
      </c>
      <c r="F214" s="264">
        <v>-906375</v>
      </c>
      <c r="G214" s="264">
        <v>-197056</v>
      </c>
      <c r="H214" s="264">
        <v>0</v>
      </c>
    </row>
    <row r="215" spans="1:8" ht="15.6" x14ac:dyDescent="0.3">
      <c r="A215" s="241">
        <v>36601</v>
      </c>
      <c r="B215" s="260" t="s">
        <v>451</v>
      </c>
      <c r="C215" s="263">
        <v>-972677</v>
      </c>
      <c r="D215" s="264">
        <v>-972677</v>
      </c>
      <c r="E215" s="264">
        <v>-971421</v>
      </c>
      <c r="F215" s="264">
        <v>-412118</v>
      </c>
      <c r="G215" s="264">
        <v>-50041</v>
      </c>
      <c r="H215" s="264">
        <v>0</v>
      </c>
    </row>
    <row r="216" spans="1:8" ht="15.6" x14ac:dyDescent="0.3">
      <c r="A216" s="241">
        <v>36700</v>
      </c>
      <c r="B216" s="260" t="s">
        <v>452</v>
      </c>
      <c r="C216" s="263">
        <v>-22961527</v>
      </c>
      <c r="D216" s="264">
        <v>-22961527</v>
      </c>
      <c r="E216" s="264">
        <v>-22936009</v>
      </c>
      <c r="F216" s="264">
        <v>-6048738</v>
      </c>
      <c r="G216" s="264">
        <v>2334187</v>
      </c>
      <c r="H216" s="264">
        <v>0</v>
      </c>
    </row>
    <row r="217" spans="1:8" ht="15.6" x14ac:dyDescent="0.3">
      <c r="A217" s="241">
        <v>36701</v>
      </c>
      <c r="B217" s="260" t="s">
        <v>453</v>
      </c>
      <c r="C217" s="263">
        <v>-132986</v>
      </c>
      <c r="D217" s="264">
        <v>-132986</v>
      </c>
      <c r="E217" s="264">
        <v>-132863</v>
      </c>
      <c r="F217" s="264">
        <v>31742</v>
      </c>
      <c r="G217" s="264">
        <v>89466</v>
      </c>
      <c r="H217" s="264">
        <v>0</v>
      </c>
    </row>
    <row r="218" spans="1:8" ht="15.6" x14ac:dyDescent="0.3">
      <c r="A218" s="241">
        <v>36705</v>
      </c>
      <c r="B218" s="260" t="s">
        <v>454</v>
      </c>
      <c r="C218" s="263">
        <v>-2720468</v>
      </c>
      <c r="D218" s="264">
        <v>-2720468</v>
      </c>
      <c r="E218" s="264">
        <v>-2717578</v>
      </c>
      <c r="F218" s="264">
        <v>-314786</v>
      </c>
      <c r="G218" s="264">
        <v>61918</v>
      </c>
      <c r="H218" s="264">
        <v>0</v>
      </c>
    </row>
    <row r="219" spans="1:8" ht="15.6" x14ac:dyDescent="0.3">
      <c r="A219" s="241">
        <v>36800</v>
      </c>
      <c r="B219" s="260" t="s">
        <v>455</v>
      </c>
      <c r="C219" s="263">
        <v>-9246085</v>
      </c>
      <c r="D219" s="264">
        <v>-9246085</v>
      </c>
      <c r="E219" s="264">
        <v>-9236869</v>
      </c>
      <c r="F219" s="264">
        <v>-3605926</v>
      </c>
      <c r="G219" s="264">
        <v>-346775</v>
      </c>
      <c r="H219" s="264">
        <v>0</v>
      </c>
    </row>
    <row r="220" spans="1:8" ht="15.6" x14ac:dyDescent="0.3">
      <c r="A220" s="241">
        <v>36802</v>
      </c>
      <c r="B220" s="260" t="s">
        <v>456</v>
      </c>
      <c r="C220" s="263">
        <v>182746</v>
      </c>
      <c r="D220" s="264">
        <v>182746</v>
      </c>
      <c r="E220" s="264">
        <v>183310</v>
      </c>
      <c r="F220" s="264">
        <v>376368</v>
      </c>
      <c r="G220" s="264">
        <v>150530</v>
      </c>
      <c r="H220" s="264">
        <v>0</v>
      </c>
    </row>
    <row r="221" spans="1:8" ht="15.6" x14ac:dyDescent="0.3">
      <c r="A221" s="241">
        <v>36810</v>
      </c>
      <c r="B221" s="260" t="s">
        <v>457</v>
      </c>
      <c r="C221" s="263">
        <v>-18254314</v>
      </c>
      <c r="D221" s="264">
        <v>-18254314</v>
      </c>
      <c r="E221" s="264">
        <v>-18236299</v>
      </c>
      <c r="F221" s="264">
        <v>-5733340</v>
      </c>
      <c r="G221" s="264">
        <v>821247</v>
      </c>
      <c r="H221" s="264">
        <v>0</v>
      </c>
    </row>
    <row r="222" spans="1:8" ht="15.6" x14ac:dyDescent="0.3">
      <c r="A222" s="241">
        <v>36900</v>
      </c>
      <c r="B222" s="260" t="s">
        <v>458</v>
      </c>
      <c r="C222" s="263">
        <v>-1773753</v>
      </c>
      <c r="D222" s="264">
        <v>-1773753</v>
      </c>
      <c r="E222" s="264">
        <v>-1772070</v>
      </c>
      <c r="F222" s="264">
        <v>-705344</v>
      </c>
      <c r="G222" s="264">
        <v>61985</v>
      </c>
      <c r="H222" s="264">
        <v>0</v>
      </c>
    </row>
    <row r="223" spans="1:8" ht="15.6" x14ac:dyDescent="0.3">
      <c r="A223" s="241">
        <v>36901</v>
      </c>
      <c r="B223" s="260" t="s">
        <v>459</v>
      </c>
      <c r="C223" s="263">
        <v>-412771</v>
      </c>
      <c r="D223" s="264">
        <v>-412771</v>
      </c>
      <c r="E223" s="264">
        <v>-412098</v>
      </c>
      <c r="F223" s="264">
        <v>-27905</v>
      </c>
      <c r="G223" s="264">
        <v>158096</v>
      </c>
      <c r="H223" s="264">
        <v>0</v>
      </c>
    </row>
    <row r="224" spans="1:8" ht="15.6" x14ac:dyDescent="0.3">
      <c r="A224" s="241">
        <v>36905</v>
      </c>
      <c r="B224" s="260" t="s">
        <v>460</v>
      </c>
      <c r="C224" s="263">
        <v>-349363</v>
      </c>
      <c r="D224" s="264">
        <v>-349363</v>
      </c>
      <c r="E224" s="264">
        <v>-348737</v>
      </c>
      <c r="F224" s="264">
        <v>14415</v>
      </c>
      <c r="G224" s="264">
        <v>164616</v>
      </c>
      <c r="H224" s="264">
        <v>0</v>
      </c>
    </row>
    <row r="225" spans="1:8" ht="15.6" x14ac:dyDescent="0.3">
      <c r="A225" s="241">
        <v>37000</v>
      </c>
      <c r="B225" s="260" t="s">
        <v>461</v>
      </c>
      <c r="C225" s="263">
        <v>-6740233</v>
      </c>
      <c r="D225" s="264">
        <v>-6740233</v>
      </c>
      <c r="E225" s="264">
        <v>-6734863</v>
      </c>
      <c r="F225" s="264">
        <v>-2822491</v>
      </c>
      <c r="G225" s="264">
        <v>-428070</v>
      </c>
      <c r="H225" s="264">
        <v>0</v>
      </c>
    </row>
    <row r="226" spans="1:8" ht="15.9" customHeight="1" x14ac:dyDescent="0.3">
      <c r="A226" s="241">
        <v>37001</v>
      </c>
      <c r="B226" s="260" t="s">
        <v>557</v>
      </c>
      <c r="C226" s="263">
        <v>246772</v>
      </c>
      <c r="D226" s="264">
        <v>246772</v>
      </c>
      <c r="E226" s="264">
        <v>247118</v>
      </c>
      <c r="F226" s="264">
        <v>174773</v>
      </c>
      <c r="G226" s="264">
        <v>112250</v>
      </c>
      <c r="H226" s="264">
        <v>0</v>
      </c>
    </row>
    <row r="227" spans="1:8" ht="15.6" x14ac:dyDescent="0.3">
      <c r="A227" s="241">
        <v>37005</v>
      </c>
      <c r="B227" s="260" t="s">
        <v>462</v>
      </c>
      <c r="C227" s="263">
        <v>-1492019</v>
      </c>
      <c r="D227" s="264">
        <v>-1492019</v>
      </c>
      <c r="E227" s="264">
        <v>-1490719</v>
      </c>
      <c r="F227" s="264">
        <v>-419888</v>
      </c>
      <c r="G227" s="264">
        <v>5805</v>
      </c>
      <c r="H227" s="264">
        <v>0</v>
      </c>
    </row>
    <row r="228" spans="1:8" ht="15.6" x14ac:dyDescent="0.3">
      <c r="A228" s="241">
        <v>37100</v>
      </c>
      <c r="B228" s="260" t="s">
        <v>463</v>
      </c>
      <c r="C228" s="263">
        <v>-7671240</v>
      </c>
      <c r="D228" s="264">
        <v>-7671240</v>
      </c>
      <c r="E228" s="264">
        <v>-7662274</v>
      </c>
      <c r="F228" s="264">
        <v>-2250282</v>
      </c>
      <c r="G228" s="264">
        <v>1007639</v>
      </c>
      <c r="H228" s="264">
        <v>0</v>
      </c>
    </row>
    <row r="229" spans="1:8" ht="15.6" x14ac:dyDescent="0.3">
      <c r="A229" s="241">
        <v>37200</v>
      </c>
      <c r="B229" s="260" t="s">
        <v>464</v>
      </c>
      <c r="C229" s="263">
        <v>-1920383</v>
      </c>
      <c r="D229" s="264">
        <v>-1920383</v>
      </c>
      <c r="E229" s="264">
        <v>-1918498</v>
      </c>
      <c r="F229" s="264">
        <v>-767773</v>
      </c>
      <c r="G229" s="264">
        <v>67355</v>
      </c>
      <c r="H229" s="264">
        <v>0</v>
      </c>
    </row>
    <row r="230" spans="1:8" ht="15.6" x14ac:dyDescent="0.3">
      <c r="A230" s="241">
        <v>37300</v>
      </c>
      <c r="B230" s="260" t="s">
        <v>465</v>
      </c>
      <c r="C230" s="263">
        <v>-4903751</v>
      </c>
      <c r="D230" s="264">
        <v>-4903751</v>
      </c>
      <c r="E230" s="264">
        <v>-4898674</v>
      </c>
      <c r="F230" s="264">
        <v>-1835682</v>
      </c>
      <c r="G230" s="264">
        <v>20281</v>
      </c>
      <c r="H230" s="264">
        <v>0</v>
      </c>
    </row>
    <row r="231" spans="1:8" ht="15.6" x14ac:dyDescent="0.3">
      <c r="A231" s="241">
        <v>37301</v>
      </c>
      <c r="B231" s="260" t="s">
        <v>466</v>
      </c>
      <c r="C231" s="263">
        <v>-497516</v>
      </c>
      <c r="D231" s="264">
        <v>-497516</v>
      </c>
      <c r="E231" s="264">
        <v>-496931</v>
      </c>
      <c r="F231" s="264">
        <v>-194390</v>
      </c>
      <c r="G231" s="264">
        <v>62994</v>
      </c>
      <c r="H231" s="264">
        <v>0</v>
      </c>
    </row>
    <row r="232" spans="1:8" ht="15.6" x14ac:dyDescent="0.3">
      <c r="A232" s="241">
        <v>37305</v>
      </c>
      <c r="B232" s="260" t="s">
        <v>467</v>
      </c>
      <c r="C232" s="263">
        <v>-1761554</v>
      </c>
      <c r="D232" s="264">
        <v>-1761554</v>
      </c>
      <c r="E232" s="264">
        <v>-1760349</v>
      </c>
      <c r="F232" s="264">
        <v>-414561</v>
      </c>
      <c r="G232" s="264">
        <v>36421</v>
      </c>
      <c r="H232" s="264">
        <v>0</v>
      </c>
    </row>
    <row r="233" spans="1:8" ht="15.6" x14ac:dyDescent="0.3">
      <c r="A233" s="241">
        <v>37400</v>
      </c>
      <c r="B233" s="260" t="s">
        <v>468</v>
      </c>
      <c r="C233" s="263">
        <v>-24841598</v>
      </c>
      <c r="D233" s="264">
        <v>-24841598</v>
      </c>
      <c r="E233" s="264">
        <v>-24816957</v>
      </c>
      <c r="F233" s="264">
        <v>-7675853</v>
      </c>
      <c r="G233" s="264">
        <v>2213266</v>
      </c>
      <c r="H233" s="264">
        <v>0</v>
      </c>
    </row>
    <row r="234" spans="1:8" ht="15.6" x14ac:dyDescent="0.3">
      <c r="A234" s="241">
        <v>37405</v>
      </c>
      <c r="B234" s="260" t="s">
        <v>469</v>
      </c>
      <c r="C234" s="263">
        <v>-5989897</v>
      </c>
      <c r="D234" s="264">
        <v>-5989897</v>
      </c>
      <c r="E234" s="264">
        <v>-5984850</v>
      </c>
      <c r="F234" s="264">
        <v>-1796174</v>
      </c>
      <c r="G234" s="264">
        <v>-420854</v>
      </c>
      <c r="H234" s="264">
        <v>0</v>
      </c>
    </row>
    <row r="235" spans="1:8" ht="15.6" x14ac:dyDescent="0.3">
      <c r="A235" s="241">
        <v>37500</v>
      </c>
      <c r="B235" s="260" t="s">
        <v>470</v>
      </c>
      <c r="C235" s="263">
        <v>-2953315</v>
      </c>
      <c r="D235" s="264">
        <v>-2953315</v>
      </c>
      <c r="E235" s="264">
        <v>-2950680</v>
      </c>
      <c r="F235" s="264">
        <v>-1041384</v>
      </c>
      <c r="G235" s="264">
        <v>92269</v>
      </c>
      <c r="H235" s="264">
        <v>0</v>
      </c>
    </row>
    <row r="236" spans="1:8" ht="15.6" x14ac:dyDescent="0.3">
      <c r="A236" s="241">
        <v>37600</v>
      </c>
      <c r="B236" s="260" t="s">
        <v>471</v>
      </c>
      <c r="C236" s="263">
        <v>-18452861</v>
      </c>
      <c r="D236" s="264">
        <v>-18452861</v>
      </c>
      <c r="E236" s="264">
        <v>-18436881</v>
      </c>
      <c r="F236" s="264">
        <v>-7866321</v>
      </c>
      <c r="G236" s="264">
        <v>-609614</v>
      </c>
      <c r="H236" s="264">
        <v>0</v>
      </c>
    </row>
    <row r="237" spans="1:8" ht="15.6" x14ac:dyDescent="0.3">
      <c r="A237" s="241">
        <v>37601</v>
      </c>
      <c r="B237" s="260" t="s">
        <v>472</v>
      </c>
      <c r="C237" s="263">
        <v>423408</v>
      </c>
      <c r="D237" s="264">
        <v>423408</v>
      </c>
      <c r="E237" s="264">
        <v>424671</v>
      </c>
      <c r="F237" s="264">
        <v>952266</v>
      </c>
      <c r="G237" s="264">
        <v>1006838</v>
      </c>
      <c r="H237" s="264">
        <v>0</v>
      </c>
    </row>
    <row r="238" spans="1:8" ht="15.6" x14ac:dyDescent="0.3">
      <c r="A238" s="241">
        <v>37605</v>
      </c>
      <c r="B238" s="260" t="s">
        <v>473</v>
      </c>
      <c r="C238" s="263">
        <v>-2116684</v>
      </c>
      <c r="D238" s="264">
        <v>-2116684</v>
      </c>
      <c r="E238" s="264">
        <v>-2114696</v>
      </c>
      <c r="F238" s="264">
        <v>-527964</v>
      </c>
      <c r="G238" s="264">
        <v>61932</v>
      </c>
      <c r="H238" s="264">
        <v>0</v>
      </c>
    </row>
    <row r="239" spans="1:8" ht="15.6" x14ac:dyDescent="0.3">
      <c r="A239" s="241">
        <v>37610</v>
      </c>
      <c r="B239" s="260" t="s">
        <v>474</v>
      </c>
      <c r="C239" s="263">
        <v>-5488295</v>
      </c>
      <c r="D239" s="264">
        <v>-5488295</v>
      </c>
      <c r="E239" s="264">
        <v>-5483249</v>
      </c>
      <c r="F239" s="264">
        <v>-2434510</v>
      </c>
      <c r="G239" s="264">
        <v>227623</v>
      </c>
      <c r="H239" s="264">
        <v>0</v>
      </c>
    </row>
    <row r="240" spans="1:8" ht="15.6" x14ac:dyDescent="0.3">
      <c r="A240" s="241">
        <v>37700</v>
      </c>
      <c r="B240" s="260" t="s">
        <v>475</v>
      </c>
      <c r="C240" s="263">
        <v>-7687147</v>
      </c>
      <c r="D240" s="264">
        <v>-7687147</v>
      </c>
      <c r="E240" s="264">
        <v>-7680203</v>
      </c>
      <c r="F240" s="264">
        <v>-2768788</v>
      </c>
      <c r="G240" s="264">
        <v>185027</v>
      </c>
      <c r="H240" s="264">
        <v>0</v>
      </c>
    </row>
    <row r="241" spans="1:8" ht="15.6" x14ac:dyDescent="0.3">
      <c r="A241" s="241">
        <v>37705</v>
      </c>
      <c r="B241" s="260" t="s">
        <v>476</v>
      </c>
      <c r="C241" s="263">
        <v>-2073779</v>
      </c>
      <c r="D241" s="264">
        <v>-2073779</v>
      </c>
      <c r="E241" s="264">
        <v>-2071669</v>
      </c>
      <c r="F241" s="264">
        <v>-351407</v>
      </c>
      <c r="G241" s="264">
        <v>80638</v>
      </c>
      <c r="H241" s="264">
        <v>0</v>
      </c>
    </row>
    <row r="242" spans="1:8" ht="15.6" x14ac:dyDescent="0.3">
      <c r="A242" s="241">
        <v>37800</v>
      </c>
      <c r="B242" s="260" t="s">
        <v>477</v>
      </c>
      <c r="C242" s="263">
        <v>-21914644</v>
      </c>
      <c r="D242" s="264">
        <v>-21914644</v>
      </c>
      <c r="E242" s="264">
        <v>-21892911</v>
      </c>
      <c r="F242" s="264">
        <v>-7509284</v>
      </c>
      <c r="G242" s="264">
        <v>437528</v>
      </c>
      <c r="H242" s="264">
        <v>0</v>
      </c>
    </row>
    <row r="243" spans="1:8" ht="15.6" x14ac:dyDescent="0.3">
      <c r="A243" s="241">
        <v>37801</v>
      </c>
      <c r="B243" s="260" t="s">
        <v>478</v>
      </c>
      <c r="C243" s="263">
        <v>-85071</v>
      </c>
      <c r="D243" s="264">
        <v>-85071</v>
      </c>
      <c r="E243" s="264">
        <v>-84892</v>
      </c>
      <c r="F243" s="264">
        <v>-56945</v>
      </c>
      <c r="G243" s="264">
        <v>2196</v>
      </c>
      <c r="H243" s="264">
        <v>0</v>
      </c>
    </row>
    <row r="244" spans="1:8" ht="15.6" x14ac:dyDescent="0.3">
      <c r="A244" s="241">
        <v>37805</v>
      </c>
      <c r="B244" s="260" t="s">
        <v>479</v>
      </c>
      <c r="C244" s="263">
        <v>-2180315</v>
      </c>
      <c r="D244" s="264">
        <v>-2180315</v>
      </c>
      <c r="E244" s="264">
        <v>-2178837</v>
      </c>
      <c r="F244" s="264">
        <v>-683892</v>
      </c>
      <c r="G244" s="264">
        <v>-266319</v>
      </c>
      <c r="H244" s="264">
        <v>0</v>
      </c>
    </row>
    <row r="245" spans="1:8" ht="15.6" x14ac:dyDescent="0.3">
      <c r="A245" s="241">
        <v>37900</v>
      </c>
      <c r="B245" s="260" t="s">
        <v>480</v>
      </c>
      <c r="C245" s="263">
        <v>-13617573</v>
      </c>
      <c r="D245" s="264">
        <v>-13617573</v>
      </c>
      <c r="E245" s="264">
        <v>-13606963</v>
      </c>
      <c r="F245" s="264">
        <v>-6100257</v>
      </c>
      <c r="G245" s="264">
        <v>-921773</v>
      </c>
      <c r="H245" s="264">
        <v>0</v>
      </c>
    </row>
    <row r="246" spans="1:8" ht="15.6" x14ac:dyDescent="0.3">
      <c r="A246" s="241">
        <v>37901</v>
      </c>
      <c r="B246" s="260" t="s">
        <v>481</v>
      </c>
      <c r="C246" s="263">
        <v>-56192</v>
      </c>
      <c r="D246" s="264">
        <v>-56192</v>
      </c>
      <c r="E246" s="264">
        <v>-55930</v>
      </c>
      <c r="F246" s="264">
        <v>161841</v>
      </c>
      <c r="G246" s="264">
        <v>109110</v>
      </c>
      <c r="H246" s="264">
        <v>0</v>
      </c>
    </row>
    <row r="247" spans="1:8" ht="15.6" x14ac:dyDescent="0.3">
      <c r="A247" s="241">
        <v>37905</v>
      </c>
      <c r="B247" s="260" t="s">
        <v>482</v>
      </c>
      <c r="C247" s="263">
        <v>-1524627</v>
      </c>
      <c r="D247" s="264">
        <v>-1524627</v>
      </c>
      <c r="E247" s="264">
        <v>-1523424</v>
      </c>
      <c r="F247" s="264">
        <v>-625023</v>
      </c>
      <c r="G247" s="264">
        <v>-37833</v>
      </c>
      <c r="H247" s="264">
        <v>0</v>
      </c>
    </row>
    <row r="248" spans="1:8" ht="15.6" x14ac:dyDescent="0.3">
      <c r="A248" s="241">
        <v>38000</v>
      </c>
      <c r="B248" s="260" t="s">
        <v>483</v>
      </c>
      <c r="C248" s="263">
        <v>-18982161</v>
      </c>
      <c r="D248" s="264">
        <v>-18982161</v>
      </c>
      <c r="E248" s="264">
        <v>-18963062</v>
      </c>
      <c r="F248" s="264">
        <v>-6745172</v>
      </c>
      <c r="G248" s="264">
        <v>348448</v>
      </c>
      <c r="H248" s="264">
        <v>0</v>
      </c>
    </row>
    <row r="249" spans="1:8" ht="15.6" x14ac:dyDescent="0.3">
      <c r="A249" s="241">
        <v>38005</v>
      </c>
      <c r="B249" s="260" t="s">
        <v>484</v>
      </c>
      <c r="C249" s="263">
        <v>-4653567</v>
      </c>
      <c r="D249" s="264">
        <v>-4653567</v>
      </c>
      <c r="E249" s="264">
        <v>-4649981</v>
      </c>
      <c r="F249" s="264">
        <v>-826552</v>
      </c>
      <c r="G249" s="264">
        <v>433963</v>
      </c>
      <c r="H249" s="264">
        <v>0</v>
      </c>
    </row>
    <row r="250" spans="1:8" ht="15.6" x14ac:dyDescent="0.3">
      <c r="A250" s="241">
        <v>38100</v>
      </c>
      <c r="B250" s="260" t="s">
        <v>485</v>
      </c>
      <c r="C250" s="263">
        <v>-8711386</v>
      </c>
      <c r="D250" s="264">
        <v>-8711386</v>
      </c>
      <c r="E250" s="264">
        <v>-8702800</v>
      </c>
      <c r="F250" s="264">
        <v>-2557484</v>
      </c>
      <c r="G250" s="264">
        <v>387518</v>
      </c>
      <c r="H250" s="264">
        <v>0</v>
      </c>
    </row>
    <row r="251" spans="1:8" ht="15.6" x14ac:dyDescent="0.3">
      <c r="A251" s="241">
        <v>38105</v>
      </c>
      <c r="B251" s="260" t="s">
        <v>486</v>
      </c>
      <c r="C251" s="263">
        <v>-2108768</v>
      </c>
      <c r="D251" s="264">
        <v>-2108768</v>
      </c>
      <c r="E251" s="264">
        <v>-2107166</v>
      </c>
      <c r="F251" s="264">
        <v>-575450</v>
      </c>
      <c r="G251" s="264">
        <v>14132</v>
      </c>
      <c r="H251" s="264">
        <v>0</v>
      </c>
    </row>
    <row r="252" spans="1:8" ht="15.6" x14ac:dyDescent="0.3">
      <c r="A252" s="241">
        <v>38200</v>
      </c>
      <c r="B252" s="260" t="s">
        <v>487</v>
      </c>
      <c r="C252" s="263">
        <v>-9334115</v>
      </c>
      <c r="D252" s="264">
        <v>-9334115</v>
      </c>
      <c r="E252" s="264">
        <v>-9326173</v>
      </c>
      <c r="F252" s="264">
        <v>-3481674</v>
      </c>
      <c r="G252" s="264">
        <v>94815</v>
      </c>
      <c r="H252" s="264">
        <v>0</v>
      </c>
    </row>
    <row r="253" spans="1:8" ht="15.6" x14ac:dyDescent="0.3">
      <c r="A253" s="241">
        <v>38205</v>
      </c>
      <c r="B253" s="260" t="s">
        <v>488</v>
      </c>
      <c r="C253" s="263">
        <v>-1185007</v>
      </c>
      <c r="D253" s="264">
        <v>-1185007</v>
      </c>
      <c r="E253" s="264">
        <v>-1183871</v>
      </c>
      <c r="F253" s="264">
        <v>-264852</v>
      </c>
      <c r="G253" s="264">
        <v>83750</v>
      </c>
      <c r="H253" s="264">
        <v>0</v>
      </c>
    </row>
    <row r="254" spans="1:8" ht="15.6" x14ac:dyDescent="0.3">
      <c r="A254" s="241">
        <v>38210</v>
      </c>
      <c r="B254" s="260" t="s">
        <v>489</v>
      </c>
      <c r="C254" s="263">
        <v>-3185547</v>
      </c>
      <c r="D254" s="264">
        <v>-3185547</v>
      </c>
      <c r="E254" s="264">
        <v>-3182479</v>
      </c>
      <c r="F254" s="264">
        <v>-1185427</v>
      </c>
      <c r="G254" s="264">
        <v>28780</v>
      </c>
      <c r="H254" s="264">
        <v>0</v>
      </c>
    </row>
    <row r="255" spans="1:8" ht="15.6" x14ac:dyDescent="0.3">
      <c r="A255" s="241">
        <v>38300</v>
      </c>
      <c r="B255" s="260" t="s">
        <v>490</v>
      </c>
      <c r="C255" s="263">
        <v>-7271284</v>
      </c>
      <c r="D255" s="264">
        <v>-7271284</v>
      </c>
      <c r="E255" s="264">
        <v>-7265132</v>
      </c>
      <c r="F255" s="264">
        <v>-2942893</v>
      </c>
      <c r="G255" s="264">
        <v>-258051</v>
      </c>
      <c r="H255" s="264">
        <v>0</v>
      </c>
    </row>
    <row r="256" spans="1:8" ht="15.6" x14ac:dyDescent="0.3">
      <c r="A256" s="241">
        <v>38400</v>
      </c>
      <c r="B256" s="260" t="s">
        <v>491</v>
      </c>
      <c r="C256" s="263">
        <v>-8945691</v>
      </c>
      <c r="D256" s="264">
        <v>-8945691</v>
      </c>
      <c r="E256" s="264">
        <v>-8938038</v>
      </c>
      <c r="F256" s="264">
        <v>-3536592</v>
      </c>
      <c r="G256" s="264">
        <v>-403556</v>
      </c>
      <c r="H256" s="264">
        <v>0</v>
      </c>
    </row>
    <row r="257" spans="1:8" ht="15.6" x14ac:dyDescent="0.3">
      <c r="A257" s="241">
        <v>38402</v>
      </c>
      <c r="B257" s="260" t="s">
        <v>492</v>
      </c>
      <c r="C257" s="263">
        <v>151995</v>
      </c>
      <c r="D257" s="264">
        <v>151995</v>
      </c>
      <c r="E257" s="264">
        <v>152617</v>
      </c>
      <c r="F257" s="264">
        <v>503586</v>
      </c>
      <c r="G257" s="264">
        <v>180992</v>
      </c>
      <c r="H257" s="264">
        <v>0</v>
      </c>
    </row>
    <row r="258" spans="1:8" ht="15.6" x14ac:dyDescent="0.3">
      <c r="A258" s="241">
        <v>38405</v>
      </c>
      <c r="B258" s="260" t="s">
        <v>493</v>
      </c>
      <c r="C258" s="263">
        <v>-2283229</v>
      </c>
      <c r="D258" s="264">
        <v>-2283229</v>
      </c>
      <c r="E258" s="264">
        <v>-2281283</v>
      </c>
      <c r="F258" s="264">
        <v>-606912</v>
      </c>
      <c r="G258" s="264">
        <v>-300976</v>
      </c>
      <c r="H258" s="264">
        <v>0</v>
      </c>
    </row>
    <row r="259" spans="1:8" ht="15.6" x14ac:dyDescent="0.3">
      <c r="A259" s="241">
        <v>38500</v>
      </c>
      <c r="B259" s="260" t="s">
        <v>494</v>
      </c>
      <c r="C259" s="263">
        <v>-7465102</v>
      </c>
      <c r="D259" s="264">
        <v>-7465102</v>
      </c>
      <c r="E259" s="264">
        <v>-7459176</v>
      </c>
      <c r="F259" s="264">
        <v>-2879705</v>
      </c>
      <c r="G259" s="264">
        <v>-244869</v>
      </c>
      <c r="H259" s="264">
        <v>0</v>
      </c>
    </row>
    <row r="260" spans="1:8" ht="15.6" x14ac:dyDescent="0.3">
      <c r="A260" s="241">
        <v>38600</v>
      </c>
      <c r="B260" s="260" t="s">
        <v>495</v>
      </c>
      <c r="C260" s="263">
        <v>-8429523</v>
      </c>
      <c r="D260" s="264">
        <v>-8429523</v>
      </c>
      <c r="E260" s="264">
        <v>-8421741</v>
      </c>
      <c r="F260" s="264">
        <v>-3400955</v>
      </c>
      <c r="G260" s="264">
        <v>57451</v>
      </c>
      <c r="H260" s="264">
        <v>0</v>
      </c>
    </row>
    <row r="261" spans="1:8" ht="15.6" x14ac:dyDescent="0.3">
      <c r="A261" s="241">
        <v>38601</v>
      </c>
      <c r="B261" s="260" t="s">
        <v>496</v>
      </c>
      <c r="C261" s="263">
        <v>-119698</v>
      </c>
      <c r="D261" s="264">
        <v>-119698</v>
      </c>
      <c r="E261" s="264">
        <v>-119587</v>
      </c>
      <c r="F261" s="264">
        <v>582</v>
      </c>
      <c r="G261" s="264">
        <v>18362</v>
      </c>
      <c r="H261" s="264">
        <v>0</v>
      </c>
    </row>
    <row r="262" spans="1:8" ht="15.6" x14ac:dyDescent="0.3">
      <c r="A262" s="241">
        <v>38602</v>
      </c>
      <c r="B262" s="260" t="s">
        <v>497</v>
      </c>
      <c r="C262" s="263">
        <v>-286016</v>
      </c>
      <c r="D262" s="264">
        <v>-286016</v>
      </c>
      <c r="E262" s="264">
        <v>-285348</v>
      </c>
      <c r="F262" s="264">
        <v>-24283</v>
      </c>
      <c r="G262" s="264">
        <v>36729</v>
      </c>
      <c r="H262" s="264">
        <v>0</v>
      </c>
    </row>
    <row r="263" spans="1:8" ht="15.6" x14ac:dyDescent="0.3">
      <c r="A263" s="241">
        <v>38605</v>
      </c>
      <c r="B263" s="260" t="s">
        <v>498</v>
      </c>
      <c r="C263" s="263">
        <v>-2629299</v>
      </c>
      <c r="D263" s="264">
        <v>-2629299</v>
      </c>
      <c r="E263" s="264">
        <v>-2627309</v>
      </c>
      <c r="F263" s="264">
        <v>-860058</v>
      </c>
      <c r="G263" s="264">
        <v>-98325</v>
      </c>
      <c r="H263" s="264">
        <v>0</v>
      </c>
    </row>
    <row r="264" spans="1:8" ht="15.6" x14ac:dyDescent="0.3">
      <c r="A264" s="241">
        <v>38610</v>
      </c>
      <c r="B264" s="260" t="s">
        <v>499</v>
      </c>
      <c r="C264" s="263">
        <v>-1671056</v>
      </c>
      <c r="D264" s="264">
        <v>-1671056</v>
      </c>
      <c r="E264" s="264">
        <v>-1669371</v>
      </c>
      <c r="F264" s="264">
        <v>-380115</v>
      </c>
      <c r="G264" s="264">
        <v>226970</v>
      </c>
      <c r="H264" s="264">
        <v>0</v>
      </c>
    </row>
    <row r="265" spans="1:8" ht="15.6" x14ac:dyDescent="0.3">
      <c r="A265" s="241">
        <v>38620</v>
      </c>
      <c r="B265" s="260" t="s">
        <v>500</v>
      </c>
      <c r="C265" s="263">
        <v>-1654236</v>
      </c>
      <c r="D265" s="264">
        <v>-1654236</v>
      </c>
      <c r="E265" s="264">
        <v>-1653032</v>
      </c>
      <c r="F265" s="264">
        <v>-666237</v>
      </c>
      <c r="G265" s="264">
        <v>-111702</v>
      </c>
      <c r="H265" s="264">
        <v>0</v>
      </c>
    </row>
    <row r="266" spans="1:8" ht="15.6" x14ac:dyDescent="0.3">
      <c r="A266" s="241">
        <v>38700</v>
      </c>
      <c r="B266" s="260" t="s">
        <v>501</v>
      </c>
      <c r="C266" s="263">
        <v>-2478273</v>
      </c>
      <c r="D266" s="264">
        <v>-2478273</v>
      </c>
      <c r="E266" s="264">
        <v>-2475899</v>
      </c>
      <c r="F266" s="264">
        <v>-928186</v>
      </c>
      <c r="G266" s="264">
        <v>76637</v>
      </c>
      <c r="H266" s="264">
        <v>0</v>
      </c>
    </row>
    <row r="267" spans="1:8" ht="15.6" x14ac:dyDescent="0.3">
      <c r="A267" s="241">
        <v>38701</v>
      </c>
      <c r="B267" s="260" t="s">
        <v>502</v>
      </c>
      <c r="C267" s="263">
        <v>-160608</v>
      </c>
      <c r="D267" s="264">
        <v>-160608</v>
      </c>
      <c r="E267" s="264">
        <v>-160460</v>
      </c>
      <c r="F267" s="264">
        <v>-33194</v>
      </c>
      <c r="G267" s="264">
        <v>22416</v>
      </c>
      <c r="H267" s="264">
        <v>0</v>
      </c>
    </row>
    <row r="268" spans="1:8" ht="15.6" x14ac:dyDescent="0.3">
      <c r="A268" s="241">
        <v>38800</v>
      </c>
      <c r="B268" s="260" t="s">
        <v>503</v>
      </c>
      <c r="C268" s="263">
        <v>-4467880</v>
      </c>
      <c r="D268" s="264">
        <v>-4467880</v>
      </c>
      <c r="E268" s="264">
        <v>-4463884</v>
      </c>
      <c r="F268" s="264">
        <v>-1646188</v>
      </c>
      <c r="G268" s="264">
        <v>-11529</v>
      </c>
      <c r="H268" s="264">
        <v>0</v>
      </c>
    </row>
    <row r="269" spans="1:8" ht="15.6" x14ac:dyDescent="0.3">
      <c r="A269" s="241">
        <v>38801</v>
      </c>
      <c r="B269" s="260" t="s">
        <v>504</v>
      </c>
      <c r="C269" s="263">
        <v>-238254</v>
      </c>
      <c r="D269" s="264">
        <v>-238254</v>
      </c>
      <c r="E269" s="264">
        <v>-237930</v>
      </c>
      <c r="F269" s="264">
        <v>-150441</v>
      </c>
      <c r="G269" s="264">
        <v>-82106</v>
      </c>
      <c r="H269" s="264">
        <v>0</v>
      </c>
    </row>
    <row r="270" spans="1:8" ht="15.6" x14ac:dyDescent="0.3">
      <c r="A270" s="241">
        <v>38900</v>
      </c>
      <c r="B270" s="260" t="s">
        <v>505</v>
      </c>
      <c r="C270" s="263">
        <v>-1036251</v>
      </c>
      <c r="D270" s="264">
        <v>-1036251</v>
      </c>
      <c r="E270" s="264">
        <v>-1035399</v>
      </c>
      <c r="F270" s="264">
        <v>-304010</v>
      </c>
      <c r="G270" s="264">
        <v>-12491</v>
      </c>
      <c r="H270" s="264">
        <v>0</v>
      </c>
    </row>
    <row r="271" spans="1:8" ht="15.6" x14ac:dyDescent="0.3">
      <c r="A271" s="241">
        <v>39000</v>
      </c>
      <c r="B271" s="260" t="s">
        <v>506</v>
      </c>
      <c r="C271" s="263">
        <v>-43607604</v>
      </c>
      <c r="D271" s="264">
        <v>-43607604</v>
      </c>
      <c r="E271" s="264">
        <v>-43565792</v>
      </c>
      <c r="F271" s="264">
        <v>-16711432</v>
      </c>
      <c r="G271" s="264">
        <v>2733901</v>
      </c>
      <c r="H271" s="264">
        <v>0</v>
      </c>
    </row>
    <row r="272" spans="1:8" ht="15.6" x14ac:dyDescent="0.3">
      <c r="A272" s="241">
        <v>39100</v>
      </c>
      <c r="B272" s="260" t="s">
        <v>507</v>
      </c>
      <c r="C272" s="263">
        <v>-8039884</v>
      </c>
      <c r="D272" s="264">
        <v>-8039884</v>
      </c>
      <c r="E272" s="264">
        <v>-8034557</v>
      </c>
      <c r="F272" s="264">
        <v>-3794714</v>
      </c>
      <c r="G272" s="264">
        <v>-874627</v>
      </c>
      <c r="H272" s="264">
        <v>0</v>
      </c>
    </row>
    <row r="273" spans="1:8" ht="15.6" x14ac:dyDescent="0.3">
      <c r="A273" s="241">
        <v>39101</v>
      </c>
      <c r="B273" s="260" t="s">
        <v>508</v>
      </c>
      <c r="C273" s="263">
        <v>-171897</v>
      </c>
      <c r="D273" s="264">
        <v>-171897</v>
      </c>
      <c r="E273" s="264">
        <v>-171225</v>
      </c>
      <c r="F273" s="264">
        <v>153323</v>
      </c>
      <c r="G273" s="264">
        <v>209614</v>
      </c>
      <c r="H273" s="264">
        <v>0</v>
      </c>
    </row>
    <row r="274" spans="1:8" ht="15.6" x14ac:dyDescent="0.3">
      <c r="A274" s="241">
        <v>39105</v>
      </c>
      <c r="B274" s="260" t="s">
        <v>509</v>
      </c>
      <c r="C274" s="263">
        <v>-3610566</v>
      </c>
      <c r="D274" s="264">
        <v>-3610566</v>
      </c>
      <c r="E274" s="264">
        <v>-3608577</v>
      </c>
      <c r="F274" s="264">
        <v>-1662708</v>
      </c>
      <c r="G274" s="264">
        <v>-719628</v>
      </c>
      <c r="H274" s="264">
        <v>0</v>
      </c>
    </row>
    <row r="275" spans="1:8" ht="15.6" x14ac:dyDescent="0.3">
      <c r="A275" s="241">
        <v>39200</v>
      </c>
      <c r="B275" s="260" t="s">
        <v>510</v>
      </c>
      <c r="C275" s="263">
        <v>-162750751</v>
      </c>
      <c r="D275" s="264">
        <v>-162750751</v>
      </c>
      <c r="E275" s="264">
        <v>-162572074</v>
      </c>
      <c r="F275" s="264">
        <v>-56664128</v>
      </c>
      <c r="G275" s="264">
        <v>11020282</v>
      </c>
      <c r="H275" s="264">
        <v>0</v>
      </c>
    </row>
    <row r="276" spans="1:8" ht="15.6" x14ac:dyDescent="0.3">
      <c r="A276" s="241">
        <v>39201</v>
      </c>
      <c r="B276" s="260" t="s">
        <v>511</v>
      </c>
      <c r="C276" s="263">
        <v>-623255</v>
      </c>
      <c r="D276" s="264">
        <v>-623255</v>
      </c>
      <c r="E276" s="264">
        <v>-622750</v>
      </c>
      <c r="F276" s="264">
        <v>-276509</v>
      </c>
      <c r="G276" s="264">
        <v>-86453</v>
      </c>
      <c r="H276" s="264">
        <v>0</v>
      </c>
    </row>
    <row r="277" spans="1:8" ht="15.6" x14ac:dyDescent="0.3">
      <c r="A277" s="241">
        <v>39204</v>
      </c>
      <c r="B277" s="260" t="s">
        <v>512</v>
      </c>
      <c r="C277" s="263">
        <v>162742</v>
      </c>
      <c r="D277" s="264">
        <v>162742</v>
      </c>
      <c r="E277" s="264">
        <v>163479</v>
      </c>
      <c r="F277" s="264">
        <v>420606</v>
      </c>
      <c r="G277" s="264">
        <v>357318</v>
      </c>
      <c r="H277" s="264">
        <v>0</v>
      </c>
    </row>
    <row r="278" spans="1:8" ht="15.6" x14ac:dyDescent="0.3">
      <c r="A278" s="241">
        <v>39205</v>
      </c>
      <c r="B278" s="260" t="s">
        <v>513</v>
      </c>
      <c r="C278" s="263">
        <v>-11595085</v>
      </c>
      <c r="D278" s="264">
        <v>-11595085</v>
      </c>
      <c r="E278" s="264">
        <v>-11580601</v>
      </c>
      <c r="F278" s="264">
        <v>-1353406</v>
      </c>
      <c r="G278" s="264">
        <v>1957927</v>
      </c>
      <c r="H278" s="264">
        <v>0</v>
      </c>
    </row>
    <row r="279" spans="1:8" ht="15.6" x14ac:dyDescent="0.3">
      <c r="A279" s="241">
        <v>39208</v>
      </c>
      <c r="B279" s="260" t="s">
        <v>514</v>
      </c>
      <c r="C279" s="263">
        <v>-1175116</v>
      </c>
      <c r="D279" s="264">
        <v>-1175116</v>
      </c>
      <c r="E279" s="264">
        <v>-1174052</v>
      </c>
      <c r="F279" s="264">
        <v>-374500</v>
      </c>
      <c r="G279" s="264">
        <v>20095</v>
      </c>
      <c r="H279" s="264">
        <v>0</v>
      </c>
    </row>
    <row r="280" spans="1:8" ht="15.6" x14ac:dyDescent="0.3">
      <c r="A280" s="241">
        <v>39209</v>
      </c>
      <c r="B280" s="260" t="s">
        <v>515</v>
      </c>
      <c r="C280" s="263">
        <v>-561895</v>
      </c>
      <c r="D280" s="264">
        <v>-561895</v>
      </c>
      <c r="E280" s="264">
        <v>-561354</v>
      </c>
      <c r="F280" s="264">
        <v>-214188</v>
      </c>
      <c r="G280" s="264">
        <v>28537</v>
      </c>
      <c r="H280" s="264">
        <v>0</v>
      </c>
    </row>
    <row r="281" spans="1:8" ht="15.6" x14ac:dyDescent="0.3">
      <c r="A281" s="241">
        <v>39220</v>
      </c>
      <c r="B281" s="260" t="s">
        <v>808</v>
      </c>
      <c r="C281" s="263">
        <v>148624</v>
      </c>
      <c r="D281" s="264">
        <v>148624</v>
      </c>
      <c r="E281" s="264">
        <v>148732</v>
      </c>
      <c r="F281" s="264">
        <v>229323</v>
      </c>
      <c r="G281" s="264">
        <v>265936</v>
      </c>
      <c r="H281" s="264">
        <v>0</v>
      </c>
    </row>
    <row r="282" spans="1:8" ht="15.6" x14ac:dyDescent="0.3">
      <c r="A282" s="241">
        <v>39300</v>
      </c>
      <c r="B282" s="260" t="s">
        <v>516</v>
      </c>
      <c r="C282" s="263">
        <v>-3200621</v>
      </c>
      <c r="D282" s="264">
        <v>-3200621</v>
      </c>
      <c r="E282" s="264">
        <v>-3198515</v>
      </c>
      <c r="F282" s="264">
        <v>-1282525</v>
      </c>
      <c r="G282" s="264">
        <v>10029</v>
      </c>
      <c r="H282" s="264">
        <v>0</v>
      </c>
    </row>
    <row r="283" spans="1:8" ht="15.6" x14ac:dyDescent="0.3">
      <c r="A283" s="241">
        <v>39301</v>
      </c>
      <c r="B283" s="260" t="s">
        <v>517</v>
      </c>
      <c r="C283" s="263">
        <v>-233178</v>
      </c>
      <c r="D283" s="264">
        <v>-233178</v>
      </c>
      <c r="E283" s="264">
        <v>-233090</v>
      </c>
      <c r="F283" s="264">
        <v>-230146</v>
      </c>
      <c r="G283" s="264">
        <v>-53853</v>
      </c>
      <c r="H283" s="264">
        <v>0</v>
      </c>
    </row>
    <row r="284" spans="1:8" ht="15.6" x14ac:dyDescent="0.3">
      <c r="A284" s="241">
        <v>39400</v>
      </c>
      <c r="B284" s="260" t="s">
        <v>518</v>
      </c>
      <c r="C284" s="263">
        <v>-2092058</v>
      </c>
      <c r="D284" s="264">
        <v>-2092058</v>
      </c>
      <c r="E284" s="264">
        <v>-2090618</v>
      </c>
      <c r="F284" s="264">
        <v>-848599</v>
      </c>
      <c r="G284" s="264">
        <v>-346541</v>
      </c>
      <c r="H284" s="264">
        <v>0</v>
      </c>
    </row>
    <row r="285" spans="1:8" ht="15.6" x14ac:dyDescent="0.3">
      <c r="A285" s="241">
        <v>39401</v>
      </c>
      <c r="B285" s="260" t="s">
        <v>519</v>
      </c>
      <c r="C285" s="263">
        <v>105381</v>
      </c>
      <c r="D285" s="264">
        <v>105381</v>
      </c>
      <c r="E285" s="264">
        <v>106517</v>
      </c>
      <c r="F285" s="264">
        <v>323937</v>
      </c>
      <c r="G285" s="264">
        <v>285126</v>
      </c>
      <c r="H285" s="264">
        <v>0</v>
      </c>
    </row>
    <row r="286" spans="1:8" ht="15.6" x14ac:dyDescent="0.3">
      <c r="A286" s="241">
        <v>39500</v>
      </c>
      <c r="B286" s="260" t="s">
        <v>520</v>
      </c>
      <c r="C286" s="263">
        <v>-4934393</v>
      </c>
      <c r="D286" s="264">
        <v>-4934393</v>
      </c>
      <c r="E286" s="264">
        <v>-4928888</v>
      </c>
      <c r="F286" s="264">
        <v>-1332622</v>
      </c>
      <c r="G286" s="264">
        <v>683871</v>
      </c>
      <c r="H286" s="264">
        <v>0</v>
      </c>
    </row>
    <row r="287" spans="1:8" ht="15.6" x14ac:dyDescent="0.3">
      <c r="A287" s="241">
        <v>39501</v>
      </c>
      <c r="B287" s="260" t="s">
        <v>521</v>
      </c>
      <c r="C287" s="263">
        <v>-211459</v>
      </c>
      <c r="D287" s="264">
        <v>-211459</v>
      </c>
      <c r="E287" s="264">
        <v>-211313</v>
      </c>
      <c r="F287" s="264">
        <v>-107791</v>
      </c>
      <c r="G287" s="264">
        <v>-34999</v>
      </c>
      <c r="H287" s="264">
        <v>0</v>
      </c>
    </row>
    <row r="288" spans="1:8" ht="15.6" x14ac:dyDescent="0.3">
      <c r="A288" s="241">
        <v>39600</v>
      </c>
      <c r="B288" s="260" t="s">
        <v>522</v>
      </c>
      <c r="C288" s="263">
        <v>-16720621</v>
      </c>
      <c r="D288" s="264">
        <v>-16720621</v>
      </c>
      <c r="E288" s="264">
        <v>-16703514</v>
      </c>
      <c r="F288" s="264">
        <v>-5921743</v>
      </c>
      <c r="G288" s="264">
        <v>729038</v>
      </c>
      <c r="H288" s="264">
        <v>0</v>
      </c>
    </row>
    <row r="289" spans="1:8" ht="15.6" x14ac:dyDescent="0.3">
      <c r="A289" s="241">
        <v>39605</v>
      </c>
      <c r="B289" s="260" t="s">
        <v>523</v>
      </c>
      <c r="C289" s="263">
        <v>-2344188</v>
      </c>
      <c r="D289" s="264">
        <v>-2344188</v>
      </c>
      <c r="E289" s="264">
        <v>-2341705</v>
      </c>
      <c r="F289" s="264">
        <v>-394638</v>
      </c>
      <c r="G289" s="264">
        <v>37071</v>
      </c>
      <c r="H289" s="264">
        <v>0</v>
      </c>
    </row>
    <row r="290" spans="1:8" ht="15.6" x14ac:dyDescent="0.3">
      <c r="A290" s="241">
        <v>39700</v>
      </c>
      <c r="B290" s="260" t="s">
        <v>524</v>
      </c>
      <c r="C290" s="263">
        <v>-11367337</v>
      </c>
      <c r="D290" s="264">
        <v>-11367337</v>
      </c>
      <c r="E290" s="264">
        <v>-11357798</v>
      </c>
      <c r="F290" s="264">
        <v>-4622987</v>
      </c>
      <c r="G290" s="264">
        <v>118126</v>
      </c>
      <c r="H290" s="264">
        <v>0</v>
      </c>
    </row>
    <row r="291" spans="1:8" ht="15.6" x14ac:dyDescent="0.3">
      <c r="A291" s="241">
        <v>39703</v>
      </c>
      <c r="B291" s="260" t="s">
        <v>525</v>
      </c>
      <c r="C291" s="263">
        <v>189430</v>
      </c>
      <c r="D291" s="264">
        <v>189430</v>
      </c>
      <c r="E291" s="264">
        <v>190132</v>
      </c>
      <c r="F291" s="264">
        <v>464894</v>
      </c>
      <c r="G291" s="264">
        <v>297706</v>
      </c>
      <c r="H291" s="264">
        <v>0</v>
      </c>
    </row>
    <row r="292" spans="1:8" ht="15.6" x14ac:dyDescent="0.3">
      <c r="A292" s="241">
        <v>39705</v>
      </c>
      <c r="B292" s="260" t="s">
        <v>526</v>
      </c>
      <c r="C292" s="263">
        <v>-2504688</v>
      </c>
      <c r="D292" s="264">
        <v>-2504688</v>
      </c>
      <c r="E292" s="264">
        <v>-2502371</v>
      </c>
      <c r="F292" s="264">
        <v>-452904</v>
      </c>
      <c r="G292" s="264">
        <v>188842</v>
      </c>
      <c r="H292" s="264">
        <v>0</v>
      </c>
    </row>
    <row r="293" spans="1:8" ht="15.6" x14ac:dyDescent="0.3">
      <c r="A293" s="241">
        <v>39800</v>
      </c>
      <c r="B293" s="260" t="s">
        <v>527</v>
      </c>
      <c r="C293" s="263">
        <v>-12361458</v>
      </c>
      <c r="D293" s="264">
        <v>-12361458</v>
      </c>
      <c r="E293" s="264">
        <v>-12350820</v>
      </c>
      <c r="F293" s="264">
        <v>-4850119</v>
      </c>
      <c r="G293" s="264">
        <v>-1000252</v>
      </c>
      <c r="H293" s="264">
        <v>0</v>
      </c>
    </row>
    <row r="294" spans="1:8" ht="15.6" x14ac:dyDescent="0.3">
      <c r="A294" s="241">
        <v>39805</v>
      </c>
      <c r="B294" s="260" t="s">
        <v>528</v>
      </c>
      <c r="C294" s="263">
        <v>-1261948</v>
      </c>
      <c r="D294" s="264">
        <v>-1261948</v>
      </c>
      <c r="E294" s="264">
        <v>-1260672</v>
      </c>
      <c r="F294" s="264">
        <v>-272362</v>
      </c>
      <c r="G294" s="264">
        <v>224754</v>
      </c>
      <c r="H294" s="264">
        <v>0</v>
      </c>
    </row>
    <row r="295" spans="1:8" s="212" customFormat="1" ht="15.6" x14ac:dyDescent="0.3">
      <c r="A295" s="241">
        <v>39900</v>
      </c>
      <c r="B295" s="260" t="s">
        <v>529</v>
      </c>
      <c r="C295" s="263">
        <v>-5885575</v>
      </c>
      <c r="D295" s="264">
        <v>-5885575</v>
      </c>
      <c r="E295" s="264">
        <v>-5880154</v>
      </c>
      <c r="F295" s="264">
        <v>-2453530</v>
      </c>
      <c r="G295" s="264">
        <v>-134198</v>
      </c>
      <c r="H295" s="264">
        <v>0</v>
      </c>
    </row>
    <row r="296" spans="1:8" s="212" customFormat="1" ht="15.6" x14ac:dyDescent="0.3">
      <c r="A296" s="241">
        <v>40000</v>
      </c>
      <c r="B296" s="260" t="s">
        <v>530</v>
      </c>
      <c r="C296" s="263">
        <v>-9451566</v>
      </c>
      <c r="D296" s="264">
        <v>-9451566</v>
      </c>
      <c r="E296" s="264">
        <v>-9443310</v>
      </c>
      <c r="F296" s="264">
        <v>-1373006</v>
      </c>
      <c r="G296" s="264">
        <v>4082167</v>
      </c>
      <c r="H296" s="264">
        <v>0</v>
      </c>
    </row>
    <row r="297" spans="1:8" s="212" customFormat="1" ht="15.6" x14ac:dyDescent="0.3">
      <c r="A297" s="241">
        <v>51000</v>
      </c>
      <c r="B297" s="260" t="s">
        <v>531</v>
      </c>
      <c r="C297" s="263">
        <v>-97153822</v>
      </c>
      <c r="D297" s="264">
        <v>-97153822</v>
      </c>
      <c r="E297" s="264">
        <v>-97078258</v>
      </c>
      <c r="F297" s="264">
        <v>-30271499</v>
      </c>
      <c r="G297" s="264">
        <v>5013307</v>
      </c>
      <c r="H297" s="264">
        <v>0</v>
      </c>
    </row>
    <row r="298" spans="1:8" s="212" customFormat="1" ht="15.6" x14ac:dyDescent="0.3">
      <c r="A298" s="242">
        <v>51000.2</v>
      </c>
      <c r="B298" s="260" t="s">
        <v>532</v>
      </c>
      <c r="C298" s="263">
        <v>33575</v>
      </c>
      <c r="D298" s="264">
        <v>33575</v>
      </c>
      <c r="E298" s="264">
        <v>33655</v>
      </c>
      <c r="F298" s="264">
        <v>85914</v>
      </c>
      <c r="G298" s="264">
        <v>70816</v>
      </c>
      <c r="H298" s="264">
        <v>0</v>
      </c>
    </row>
    <row r="299" spans="1:8" s="212" customFormat="1" ht="15.6" x14ac:dyDescent="0.3">
      <c r="A299" s="242">
        <v>51000.3</v>
      </c>
      <c r="B299" s="260" t="s">
        <v>533</v>
      </c>
      <c r="C299" s="263">
        <v>-1532433</v>
      </c>
      <c r="D299" s="264">
        <v>-1532433</v>
      </c>
      <c r="E299" s="264">
        <v>-1530411</v>
      </c>
      <c r="F299" s="264">
        <v>-102313</v>
      </c>
      <c r="G299" s="264">
        <v>293613</v>
      </c>
      <c r="H299" s="264">
        <v>0</v>
      </c>
    </row>
    <row r="300" spans="1:8" s="212" customFormat="1" ht="15.6" x14ac:dyDescent="0.3">
      <c r="A300" s="241">
        <v>60000</v>
      </c>
      <c r="B300" s="260" t="s">
        <v>534</v>
      </c>
      <c r="C300" s="263">
        <v>-439667</v>
      </c>
      <c r="D300" s="264">
        <v>-439667</v>
      </c>
      <c r="E300" s="264">
        <v>-439266</v>
      </c>
      <c r="F300" s="264">
        <v>59482</v>
      </c>
      <c r="G300" s="264">
        <v>217281</v>
      </c>
      <c r="H300" s="264">
        <v>0</v>
      </c>
    </row>
    <row r="301" spans="1:8" s="212" customFormat="1" ht="15.6" x14ac:dyDescent="0.3">
      <c r="A301" s="241">
        <v>90901</v>
      </c>
      <c r="B301" s="260" t="s">
        <v>535</v>
      </c>
      <c r="C301" s="263">
        <v>-1624451</v>
      </c>
      <c r="D301" s="264">
        <v>-1624451</v>
      </c>
      <c r="E301" s="264">
        <v>-1621882</v>
      </c>
      <c r="F301" s="264">
        <v>-438942</v>
      </c>
      <c r="G301" s="264">
        <v>667560</v>
      </c>
      <c r="H301" s="264">
        <v>0</v>
      </c>
    </row>
    <row r="302" spans="1:8" s="212" customFormat="1" ht="15.6" x14ac:dyDescent="0.3">
      <c r="A302" s="241">
        <v>91041</v>
      </c>
      <c r="B302" s="260" t="s">
        <v>536</v>
      </c>
      <c r="C302" s="263">
        <v>-261208</v>
      </c>
      <c r="D302" s="264">
        <v>-261208</v>
      </c>
      <c r="E302" s="264">
        <v>-260711</v>
      </c>
      <c r="F302" s="264">
        <v>-27545</v>
      </c>
      <c r="G302" s="264">
        <v>102072</v>
      </c>
      <c r="H302" s="264">
        <v>0</v>
      </c>
    </row>
    <row r="303" spans="1:8" s="212" customFormat="1" ht="15.6" x14ac:dyDescent="0.3">
      <c r="A303" s="241">
        <v>91111</v>
      </c>
      <c r="B303" s="260" t="s">
        <v>537</v>
      </c>
      <c r="C303" s="263">
        <v>-179348</v>
      </c>
      <c r="D303" s="264">
        <v>-179348</v>
      </c>
      <c r="E303" s="264">
        <v>-179113</v>
      </c>
      <c r="F303" s="264">
        <v>-109115</v>
      </c>
      <c r="G303" s="264">
        <v>12691</v>
      </c>
      <c r="H303" s="264">
        <v>0</v>
      </c>
    </row>
    <row r="304" spans="1:8" s="212" customFormat="1" ht="15.6" x14ac:dyDescent="0.3">
      <c r="A304" s="241">
        <v>91151</v>
      </c>
      <c r="B304" s="260" t="s">
        <v>538</v>
      </c>
      <c r="C304" s="263">
        <v>-533453</v>
      </c>
      <c r="D304" s="264">
        <v>-533453</v>
      </c>
      <c r="E304" s="264">
        <v>-532762</v>
      </c>
      <c r="F304" s="264">
        <v>-217955</v>
      </c>
      <c r="G304" s="264">
        <v>116749</v>
      </c>
      <c r="H304" s="264">
        <v>0</v>
      </c>
    </row>
    <row r="305" spans="1:8" ht="15.6" x14ac:dyDescent="0.3">
      <c r="A305" s="241">
        <v>98101</v>
      </c>
      <c r="B305" s="260" t="s">
        <v>539</v>
      </c>
      <c r="C305" s="263">
        <v>-2430106</v>
      </c>
      <c r="D305" s="264">
        <v>-2430106</v>
      </c>
      <c r="E305" s="264">
        <v>-2427013</v>
      </c>
      <c r="F305" s="264">
        <v>-954178</v>
      </c>
      <c r="G305" s="264">
        <v>586065</v>
      </c>
      <c r="H305" s="264">
        <v>0</v>
      </c>
    </row>
    <row r="306" spans="1:8" ht="15.6" x14ac:dyDescent="0.3">
      <c r="A306" s="241">
        <v>98103</v>
      </c>
      <c r="B306" s="260" t="s">
        <v>540</v>
      </c>
      <c r="C306" s="263">
        <v>-570296</v>
      </c>
      <c r="D306" s="264">
        <v>-570296</v>
      </c>
      <c r="E306" s="264">
        <v>-569739</v>
      </c>
      <c r="F306" s="264">
        <v>-197821</v>
      </c>
      <c r="G306" s="264">
        <v>84922</v>
      </c>
      <c r="H306" s="264">
        <v>0</v>
      </c>
    </row>
    <row r="307" spans="1:8" ht="15.6" x14ac:dyDescent="0.3">
      <c r="A307" s="241">
        <v>98111</v>
      </c>
      <c r="B307" s="260" t="s">
        <v>541</v>
      </c>
      <c r="C307" s="263">
        <v>-964732</v>
      </c>
      <c r="D307" s="264">
        <v>-964732</v>
      </c>
      <c r="E307" s="264">
        <v>-963577</v>
      </c>
      <c r="F307" s="264">
        <v>-226156</v>
      </c>
      <c r="G307" s="264">
        <v>181640</v>
      </c>
      <c r="H307" s="264">
        <v>0</v>
      </c>
    </row>
    <row r="308" spans="1:8" ht="15.6" x14ac:dyDescent="0.3">
      <c r="A308" s="241">
        <v>98131</v>
      </c>
      <c r="B308" s="260" t="s">
        <v>542</v>
      </c>
      <c r="C308" s="263">
        <v>-369164</v>
      </c>
      <c r="D308" s="264">
        <v>-369164</v>
      </c>
      <c r="E308" s="264">
        <v>-368915</v>
      </c>
      <c r="F308" s="264">
        <v>-117487</v>
      </c>
      <c r="G308" s="264">
        <v>47885</v>
      </c>
      <c r="H308" s="264">
        <v>0</v>
      </c>
    </row>
    <row r="309" spans="1:8" ht="15.6" x14ac:dyDescent="0.3">
      <c r="A309" s="241">
        <v>99401</v>
      </c>
      <c r="B309" s="260" t="s">
        <v>543</v>
      </c>
      <c r="C309" s="263">
        <v>-929049</v>
      </c>
      <c r="D309" s="264">
        <v>-929049</v>
      </c>
      <c r="E309" s="264">
        <v>-928133</v>
      </c>
      <c r="F309" s="264">
        <v>-466479</v>
      </c>
      <c r="G309" s="264">
        <v>110873</v>
      </c>
      <c r="H309" s="264">
        <v>0</v>
      </c>
    </row>
    <row r="310" spans="1:8" ht="15.6" x14ac:dyDescent="0.3">
      <c r="A310" s="241">
        <v>99521</v>
      </c>
      <c r="B310" s="260" t="s">
        <v>544</v>
      </c>
      <c r="C310" s="263">
        <v>-224289</v>
      </c>
      <c r="D310" s="264">
        <v>-224289</v>
      </c>
      <c r="E310" s="264">
        <v>-223739</v>
      </c>
      <c r="F310" s="264">
        <v>50066</v>
      </c>
      <c r="G310" s="264">
        <v>144690</v>
      </c>
      <c r="H310" s="264">
        <v>0</v>
      </c>
    </row>
    <row r="311" spans="1:8" ht="16.2" thickBot="1" x14ac:dyDescent="0.35">
      <c r="A311" s="261">
        <v>99831</v>
      </c>
      <c r="B311" s="262" t="s">
        <v>545</v>
      </c>
      <c r="C311" s="265">
        <v>-39790</v>
      </c>
      <c r="D311" s="266">
        <v>-39790</v>
      </c>
      <c r="E311" s="266">
        <v>-39729</v>
      </c>
      <c r="F311" s="266">
        <v>-39508</v>
      </c>
      <c r="G311" s="266">
        <v>19588</v>
      </c>
      <c r="H311" s="266">
        <v>0</v>
      </c>
    </row>
    <row r="313" spans="1:8" x14ac:dyDescent="0.25">
      <c r="C313" s="7">
        <f>SUM(C4:C312)</f>
        <v>-3030636989</v>
      </c>
      <c r="D313" s="7">
        <f t="shared" ref="D313:H313" si="0">SUM(D4:D312)</f>
        <v>-3030636988</v>
      </c>
      <c r="E313" s="7">
        <f t="shared" si="0"/>
        <v>-3027590752</v>
      </c>
      <c r="F313" s="7">
        <f t="shared" si="0"/>
        <v>-754611788</v>
      </c>
      <c r="G313" s="7">
        <f t="shared" si="0"/>
        <v>278039515</v>
      </c>
      <c r="H313" s="7">
        <f t="shared" si="0"/>
        <v>0</v>
      </c>
    </row>
  </sheetData>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Info</vt:lpstr>
      <vt:lpstr>Detail</vt:lpstr>
      <vt:lpstr>Summary</vt:lpstr>
      <vt:lpstr>Disclosures</vt:lpstr>
      <vt:lpstr>Data</vt:lpstr>
      <vt:lpstr>ER Contributions</vt:lpstr>
      <vt:lpstr>75 - Summary Exhibit</vt:lpstr>
      <vt:lpstr>75- Deferred Amortization</vt:lpstr>
      <vt:lpstr>'75 - Summary Exhibit'!Print_Area</vt:lpstr>
      <vt:lpstr>Detail!Print_Area</vt:lpstr>
      <vt:lpstr>Disclosures!Print_Area</vt:lpstr>
      <vt:lpstr>Summary!Print_Area</vt:lpstr>
      <vt:lpstr>'75- Deferred Amortization'!Print_Titles</vt:lpstr>
      <vt:lpstr>Disclosures!Print_Titles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Murphy</dc:creator>
  <cp:lastModifiedBy>Ennis, Claire D</cp:lastModifiedBy>
  <cp:lastPrinted>2020-04-28T13:52:48Z</cp:lastPrinted>
  <dcterms:created xsi:type="dcterms:W3CDTF">2007-09-03T15:01:56Z</dcterms:created>
  <dcterms:modified xsi:type="dcterms:W3CDTF">2020-06-10T19:46:52Z</dcterms:modified>
</cp:coreProperties>
</file>