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Summary Data" sheetId="1" r:id="rId1"/>
    <sheet name="Definitions" sheetId="2" r:id="rId2"/>
    <sheet name="Employees" sheetId="3" r:id="rId3"/>
    <sheet name="Call Volume " sheetId="4" r:id="rId4"/>
    <sheet name="Tickets" sheetId="5" r:id="rId5"/>
    <sheet name="PR Processed" sheetId="6" r:id="rId6"/>
    <sheet name="Cost per Employee" sheetId="7" r:id="rId7"/>
    <sheet name="ERP System Availability" sheetId="8" r:id="rId8"/>
    <sheet name="BI System Availability" sheetId="9" r:id="rId9"/>
  </sheets>
  <definedNames>
    <definedName name="ACPE">'Summary Data'!#REF!</definedName>
    <definedName name="ASA">'Summary Data'!#REF!</definedName>
    <definedName name="Average_Call_Per_Employee">#REF!</definedName>
    <definedName name="Average_Speed_Answer">#REF!</definedName>
    <definedName name="CA">'Summary Data'!#REF!</definedName>
    <definedName name="Calls">#REF!</definedName>
    <definedName name="Calls_Abandoned">#REF!</definedName>
    <definedName name="Cost_Per_Call">#REF!</definedName>
    <definedName name="CPC">'Summary Data'!#REF!</definedName>
    <definedName name="FCR">'Summary Data'!#REF!</definedName>
    <definedName name="First_Call_Resolution">#REF!</definedName>
    <definedName name="Gartner_Demographics">#REF!</definedName>
    <definedName name="NCPA">'Summary Data'!#REF!</definedName>
    <definedName name="Number_Call_Per_Agent">#REF!</definedName>
    <definedName name="_xlnm.Print_Area" localSheetId="1">'Definitions'!$A$1:$D$49</definedName>
    <definedName name="_xlnm.Print_Area" localSheetId="0">'Summary Data'!$A$10:$AN$67</definedName>
    <definedName name="_xlnm.Print_Titles" localSheetId="0">'Summary Data'!$A:$G,'Summary Data'!$10:$10</definedName>
    <definedName name="x">'Summary Data'!#REF!</definedName>
  </definedNames>
  <calcPr fullCalcOnLoad="1"/>
</workbook>
</file>

<file path=xl/comments1.xml><?xml version="1.0" encoding="utf-8"?>
<comments xmlns="http://schemas.openxmlformats.org/spreadsheetml/2006/main">
  <authors>
    <author>R Barnette</author>
  </authors>
  <commentList>
    <comment ref="E13" authorId="0">
      <text>
        <r>
          <rPr>
            <b/>
            <sz val="8"/>
            <color indexed="10"/>
            <rFont val="Tahoma"/>
            <family val="2"/>
          </rPr>
          <t xml:space="preserve">
Number of Calls = Total Number of Calls Received in The ERP Call Center During Normal Operating Hours of 8:00 AM to 5:30 PM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 xml:space="preserve">
Number of Employees Paid Via OSC ERP = Total Number of State Employees Paid Via OSC ERP System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10"/>
            <rFont val="Tahoma"/>
            <family val="2"/>
          </rPr>
          <t xml:space="preserve">
Average Number of Calls/Day = Total Number of Calls Received in The ERP Call Center Divided By The Number of Working Days In The Month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color indexed="10"/>
            <rFont val="Tahoma"/>
            <family val="2"/>
          </rPr>
          <t xml:space="preserve">
Average Speed of Answer  = The Average Time in Seconds Calls Were Waiting in Queue and Ringing Before Answered by an Agent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color indexed="10"/>
            <rFont val="Tahoma"/>
            <family val="2"/>
          </rPr>
          <t xml:space="preserve">
Maximum Wait Time = The Maximum Time in Minutes a Caller Waited in Queue Before Call Agent Answered or Caller Abandoned Call.  The Highest Wait Time of Any </t>
        </r>
        <r>
          <rPr>
            <b/>
            <u val="single"/>
            <sz val="8"/>
            <color indexed="10"/>
            <rFont val="Tahoma"/>
            <family val="2"/>
          </rPr>
          <t>One</t>
        </r>
        <r>
          <rPr>
            <b/>
            <sz val="8"/>
            <color indexed="10"/>
            <rFont val="Tahoma"/>
            <family val="2"/>
          </rPr>
          <t xml:space="preserve"> Call.</t>
        </r>
      </text>
    </comment>
    <comment ref="E17" authorId="0">
      <text>
        <r>
          <rPr>
            <b/>
            <sz val="8"/>
            <color indexed="10"/>
            <rFont val="Tahoma"/>
            <family val="2"/>
          </rPr>
          <t xml:space="preserve">
Average Call Length = Average Time in Minutes Caller on The Telephone, Including Call Center Voice Greeting, Entering Employee ID Number, Waiting in Queue and Speaking With A Call Agent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color indexed="10"/>
            <rFont val="Tahoma"/>
            <family val="2"/>
          </rPr>
          <t xml:space="preserve">
First Call Resolution = Percentage of Calls Resolved by a Tier 1 or Tier 2 Agent Within The First 60 Minutes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color indexed="10"/>
            <rFont val="Tahoma"/>
            <family val="2"/>
          </rPr>
          <t xml:space="preserve">
Average Calls Per Employee Served = Number of Calls Divided by Number of Employees Paid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 xml:space="preserve">
Reported Source - Telephone = Percentage of New Tickets Received via Telephone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color indexed="10"/>
            <rFont val="Tahoma"/>
            <family val="2"/>
          </rPr>
          <t xml:space="preserve">
Reported Source - Email = Percentage of New Tickets Received via Email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color indexed="10"/>
            <rFont val="Tahoma"/>
            <family val="2"/>
          </rPr>
          <t xml:space="preserve">
Reported Source - FAX = Percentage of New Tickets Received via FAX</t>
        </r>
      </text>
    </comment>
    <comment ref="E26" authorId="0">
      <text>
        <r>
          <rPr>
            <b/>
            <sz val="8"/>
            <color indexed="10"/>
            <rFont val="Tahoma"/>
            <family val="2"/>
          </rPr>
          <t xml:space="preserve">
Reported Source - US Mail = Percentage of New Tickets Received via US Mail</t>
        </r>
      </text>
    </comment>
    <comment ref="E27" authorId="0">
      <text>
        <r>
          <rPr>
            <b/>
            <sz val="8"/>
            <color indexed="10"/>
            <rFont val="Tahoma"/>
            <family val="2"/>
          </rPr>
          <t xml:space="preserve">
Reported Source - Other = Percentage of New Tickets Received via Other Than Telephone, Email, FAX or US Mail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8"/>
            <color indexed="10"/>
            <rFont val="Tahoma"/>
            <family val="2"/>
          </rPr>
          <t xml:space="preserve">
Resolved Tickets = Total Number of Ticket Issues/Questions Resolved</t>
        </r>
        <r>
          <rPr>
            <sz val="8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8"/>
            <color indexed="10"/>
            <rFont val="Tahoma"/>
            <family val="2"/>
          </rPr>
          <t xml:space="preserve">
Average Time to Resolve = Average Time in Days Required to Resolve a Ticket</t>
        </r>
      </text>
    </comment>
    <comment ref="E30" authorId="0">
      <text>
        <r>
          <rPr>
            <b/>
            <sz val="8"/>
            <color indexed="10"/>
            <rFont val="Tahoma"/>
            <family val="2"/>
          </rPr>
          <t xml:space="preserve">
Open Tickets at Month End = Total Number of Tickets Open and Not Yet Resolved</t>
        </r>
      </text>
    </comment>
    <comment ref="D22" authorId="0">
      <text>
        <r>
          <rPr>
            <b/>
            <sz val="8"/>
            <color indexed="10"/>
            <rFont val="Tahoma"/>
            <family val="2"/>
          </rPr>
          <t xml:space="preserve">
Number of New Tickets = Total Number of New Ticket Issues/Questions Logged</t>
        </r>
      </text>
    </comment>
    <comment ref="E32" authorId="0">
      <text>
        <r>
          <rPr>
            <b/>
            <sz val="8"/>
            <color indexed="10"/>
            <rFont val="Tahoma"/>
            <family val="2"/>
          </rPr>
          <t xml:space="preserve">
Number Call Center Agents = Total Number of Call Center Agent Staff</t>
        </r>
      </text>
    </comment>
    <comment ref="E36" authorId="0">
      <text>
        <r>
          <rPr>
            <b/>
            <sz val="8"/>
            <color indexed="10"/>
            <rFont val="Tahoma"/>
            <family val="2"/>
          </rPr>
          <t xml:space="preserve">
Bi Weekly = Total Number of Bi-Weekly Payrolls Processed</t>
        </r>
      </text>
    </comment>
    <comment ref="E37" authorId="0">
      <text>
        <r>
          <rPr>
            <b/>
            <sz val="8"/>
            <color indexed="10"/>
            <rFont val="Tahoma"/>
            <family val="2"/>
          </rPr>
          <t xml:space="preserve">
Monthly = Total Number of Monthly Payrolls Processed</t>
        </r>
      </text>
    </comment>
    <comment ref="E38" authorId="0">
      <text>
        <r>
          <rPr>
            <b/>
            <sz val="8"/>
            <color indexed="10"/>
            <rFont val="Tahoma"/>
            <family val="2"/>
          </rPr>
          <t xml:space="preserve">
Average Time to Resolve = Average Time in Days Required to Resolve a Ticket</t>
        </r>
      </text>
    </comment>
    <comment ref="E39" authorId="0">
      <text>
        <r>
          <rPr>
            <b/>
            <sz val="8"/>
            <color indexed="10"/>
            <rFont val="Tahoma"/>
            <family val="2"/>
          </rPr>
          <t xml:space="preserve">
Total Payrolls = Sum of Bi-Weekly and Monthly Payrolls Processed</t>
        </r>
      </text>
    </comment>
    <comment ref="E34" authorId="0">
      <text>
        <r>
          <rPr>
            <b/>
            <sz val="8"/>
            <color indexed="10"/>
            <rFont val="Tahoma"/>
            <family val="2"/>
          </rPr>
          <t xml:space="preserve">
Employees Supported/Call Agent = Total Number of Employees Paid Divided By The Number of Call Center Agent Employees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color indexed="10"/>
            <rFont val="Tahoma"/>
            <family val="2"/>
          </rPr>
          <t xml:space="preserve">
Total Number ERP Employees = Total Number of ERP Employee (Includes Call Center Agents, Training, Functional, Technical and All Operational Staff)</t>
        </r>
      </text>
    </comment>
    <comment ref="E42" authorId="0">
      <text>
        <r>
          <rPr>
            <b/>
            <sz val="8"/>
            <color indexed="10"/>
            <rFont val="Tahoma"/>
            <family val="2"/>
          </rPr>
          <t xml:space="preserve">
Employees Supported/ERP Employee = Total Employees Paid Divided By The Number of ERP Employees</t>
        </r>
      </text>
    </comment>
    <comment ref="E44" authorId="0">
      <text>
        <r>
          <rPr>
            <b/>
            <sz val="8"/>
            <color indexed="10"/>
            <rFont val="Tahoma"/>
            <family val="2"/>
          </rPr>
          <t xml:space="preserve">
Total ERP Costs = Total Monthly ERP Operational Costs Including All Functional, Technical, Training, and Call Center Functions</t>
        </r>
      </text>
    </comment>
    <comment ref="E45" authorId="0">
      <text>
        <r>
          <rPr>
            <b/>
            <sz val="8"/>
            <color indexed="10"/>
            <rFont val="Tahoma"/>
            <family val="2"/>
          </rPr>
          <t xml:space="preserve">
Monthly Cost Per Employee Paid = Total Monthly Costs Divided By Number of Employees Paid</t>
        </r>
      </text>
    </comment>
    <comment ref="E46" authorId="0">
      <text>
        <r>
          <rPr>
            <b/>
            <sz val="8"/>
            <color indexed="10"/>
            <rFont val="Tahoma"/>
            <family val="2"/>
          </rPr>
          <t xml:space="preserve">
Cost as % of System Implementation = Total Monthly Costs as a Percentage of the $96M ERP Implementation Project Cost</t>
        </r>
      </text>
    </comment>
    <comment ref="E51" authorId="0">
      <text>
        <r>
          <rPr>
            <b/>
            <sz val="8"/>
            <color indexed="10"/>
            <rFont val="Tahoma"/>
            <family val="2"/>
          </rPr>
          <t xml:space="preserve">
Number of Classes  Offered = Grand Total Number of All Classes Taught Including Both Traditional Classroom-Based and eLearning Web-Based</t>
        </r>
      </text>
    </comment>
    <comment ref="E52" authorId="0">
      <text>
        <r>
          <rPr>
            <b/>
            <sz val="8"/>
            <color indexed="10"/>
            <rFont val="Tahoma"/>
            <family val="2"/>
          </rPr>
          <t xml:space="preserve">
Benefits = Number of Benefits Classes Taught</t>
        </r>
      </text>
    </comment>
    <comment ref="E53" authorId="0">
      <text>
        <r>
          <rPr>
            <b/>
            <sz val="8"/>
            <color indexed="10"/>
            <rFont val="Tahoma"/>
            <family val="2"/>
          </rPr>
          <t xml:space="preserve">
BI = Number of Business Intelligence Classes Taught</t>
        </r>
      </text>
    </comment>
    <comment ref="E54" authorId="0">
      <text>
        <r>
          <rPr>
            <b/>
            <sz val="8"/>
            <color indexed="10"/>
            <rFont val="Tahoma"/>
            <family val="2"/>
          </rPr>
          <t xml:space="preserve">
Org Management = Number of Org Management Classes Taught</t>
        </r>
      </text>
    </comment>
    <comment ref="E55" authorId="0">
      <text>
        <r>
          <rPr>
            <b/>
            <sz val="8"/>
            <color indexed="10"/>
            <rFont val="Tahoma"/>
            <family val="2"/>
          </rPr>
          <t xml:space="preserve">
Personnel Administration = Number of Personnel Administration Classes Taught</t>
        </r>
      </text>
    </comment>
    <comment ref="E56" authorId="0">
      <text>
        <r>
          <rPr>
            <b/>
            <sz val="8"/>
            <color indexed="10"/>
            <rFont val="Tahoma"/>
            <family val="2"/>
          </rPr>
          <t xml:space="preserve">
Payroll = Number of Payroll Classes Taught</t>
        </r>
      </text>
    </comment>
    <comment ref="E58" authorId="0">
      <text>
        <r>
          <rPr>
            <b/>
            <sz val="8"/>
            <color indexed="10"/>
            <rFont val="Tahoma"/>
            <family val="2"/>
          </rPr>
          <t xml:space="preserve">
Workforce = Number of Workforce Classes Taught</t>
        </r>
      </text>
    </comment>
    <comment ref="E59" authorId="0">
      <text>
        <r>
          <rPr>
            <b/>
            <sz val="8"/>
            <color indexed="10"/>
            <rFont val="Tahoma"/>
            <family val="2"/>
          </rPr>
          <t xml:space="preserve">
Number Trained In Classroom = Total Number of State Employees Attending Training Classes</t>
        </r>
      </text>
    </comment>
    <comment ref="E62" authorId="0">
      <text>
        <r>
          <rPr>
            <b/>
            <sz val="8"/>
            <color indexed="10"/>
            <rFont val="Tahoma"/>
            <family val="2"/>
          </rPr>
          <t xml:space="preserve">
Up Time  = Percentage of Time ERP System Available During Normal Operating Hours of 7:00 AM and  7:00 PM, Excluding Scheduled Maintenance</t>
        </r>
      </text>
    </comment>
    <comment ref="E63" authorId="0">
      <text>
        <r>
          <rPr>
            <b/>
            <sz val="8"/>
            <color indexed="10"/>
            <rFont val="Tahoma"/>
            <family val="2"/>
          </rPr>
          <t xml:space="preserve">
Down Time = Percentage of Time ERP System Unavailable During  Normal Operating Hours of 7:00 AM and 7:00 PM Excluding Scheduled Maintenance</t>
        </r>
      </text>
    </comment>
    <comment ref="E66" authorId="0">
      <text>
        <r>
          <rPr>
            <b/>
            <sz val="8"/>
            <color indexed="10"/>
            <rFont val="Tahoma"/>
            <family val="2"/>
          </rPr>
          <t xml:space="preserve">
Response Time =  the mean dialog response time, where a dialog step represents each individual screen change in SAP.  </t>
        </r>
      </text>
    </comment>
    <comment ref="E49" authorId="0">
      <text>
        <r>
          <rPr>
            <b/>
            <sz val="8"/>
            <color indexed="10"/>
            <rFont val="Tahoma"/>
            <family val="2"/>
          </rPr>
          <t xml:space="preserve">
Call Center Costs as % of Total ERP Costs = Call Center Costs Divided By Total ERP Costs</t>
        </r>
      </text>
    </comment>
    <comment ref="E47" authorId="0">
      <text>
        <r>
          <rPr>
            <b/>
            <sz val="8"/>
            <color indexed="10"/>
            <rFont val="Tahoma"/>
            <family val="2"/>
          </rPr>
          <t xml:space="preserve">
Call Center Costs = Total Monthly Call Center Operational Costs</t>
        </r>
      </text>
    </comment>
    <comment ref="E48" authorId="0">
      <text>
        <r>
          <rPr>
            <b/>
            <sz val="8"/>
            <color indexed="10"/>
            <rFont val="Tahoma"/>
            <family val="2"/>
          </rPr>
          <t xml:space="preserve">
Call Center Costs Per Call = Call Center Costs Divided by Number of Calls</t>
        </r>
      </text>
    </comment>
    <comment ref="E33" authorId="0">
      <text>
        <r>
          <rPr>
            <b/>
            <sz val="8"/>
            <color indexed="10"/>
            <rFont val="Tahoma"/>
            <family val="2"/>
          </rPr>
          <t xml:space="preserve">
Average Number of Calls /Agent = Total Number of Calls Divided by Number of Call Center Agents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 xml:space="preserve">
Calls Abandoned = Percentage of Calls Terminated By Caller Prior To Call Center Agent Responding</t>
        </r>
        <r>
          <rPr>
            <sz val="8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8"/>
            <color indexed="10"/>
            <rFont val="Tahoma"/>
            <family val="2"/>
          </rPr>
          <t xml:space="preserve">
Agent Utilization = (Average Number of Calls per Agent X Average Call Length) Divided by (Number of Working Days in a Month X 7.5 Hours per Day X 60 Minutes Per Hour)  7.5 hours assumes two 15 minute breaks.</t>
        </r>
      </text>
    </comment>
    <comment ref="E57" authorId="0">
      <text>
        <r>
          <rPr>
            <b/>
            <sz val="8"/>
            <color indexed="10"/>
            <rFont val="Tahoma"/>
            <family val="2"/>
          </rPr>
          <t xml:space="preserve">
Time = Number of Time Classes Taught</t>
        </r>
      </text>
    </comment>
    <comment ref="E69" authorId="0">
      <text>
        <r>
          <rPr>
            <b/>
            <sz val="8"/>
            <color indexed="10"/>
            <rFont val="Tahoma"/>
            <family val="2"/>
          </rPr>
          <t xml:space="preserve">
Call Center Costs/Ticket Resolved = Call Center Costs Divided By Resolved Tickets</t>
        </r>
      </text>
    </comment>
    <comment ref="A9" authorId="0">
      <text>
        <r>
          <rPr>
            <sz val="8"/>
            <rFont val="Tahoma"/>
            <family val="2"/>
          </rPr>
          <t xml:space="preserve">
</t>
        </r>
      </text>
    </comment>
    <comment ref="E60" authorId="0">
      <text>
        <r>
          <rPr>
            <b/>
            <sz val="8"/>
            <color indexed="10"/>
            <rFont val="Tahoma"/>
            <family val="2"/>
          </rPr>
          <t xml:space="preserve">
Number Attending eLearning = Total Number of State Employees Participating in virtual classrooms or web based trainings</t>
        </r>
      </text>
    </comment>
    <comment ref="AN2" authorId="0">
      <text>
        <r>
          <rPr>
            <b/>
            <sz val="10"/>
            <color indexed="10"/>
            <rFont val="Tahoma"/>
            <family val="2"/>
          </rPr>
          <t>Update Formulas in Amt and % Columns for ^  Each Month to Divide By Prior Month and Update Chart References</t>
        </r>
      </text>
    </comment>
    <comment ref="Z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A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B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C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D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E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F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G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H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I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AJ11" authorId="0">
      <text>
        <r>
          <rPr>
            <b/>
            <sz val="8"/>
            <rFont val="Tahoma"/>
            <family val="2"/>
          </rPr>
          <t>R Barnette:</t>
        </r>
        <r>
          <rPr>
            <sz val="8"/>
            <rFont val="Tahoma"/>
            <family val="2"/>
          </rPr>
          <t xml:space="preserve">
edit formula monthly to accommodate number of bi weekly payperiods - 2 or 3</t>
        </r>
      </text>
    </comment>
    <comment ref="E64" authorId="0">
      <text>
        <r>
          <rPr>
            <b/>
            <sz val="8"/>
            <color indexed="10"/>
            <rFont val="Tahoma"/>
            <family val="2"/>
          </rPr>
          <t xml:space="preserve">
Up Time  = Percentage of Time BI System Available During Normal Operating Hours of 7:00 AM and  7:00 PM, Excluding Scheduled Maintenance</t>
        </r>
      </text>
    </comment>
    <comment ref="E65" authorId="0">
      <text>
        <r>
          <rPr>
            <b/>
            <sz val="8"/>
            <color indexed="10"/>
            <rFont val="Tahoma"/>
            <family val="2"/>
          </rPr>
          <t xml:space="preserve">
Down Time = Percentage of Time BI System Unavailable During  Normal Operating Hours of 7:00 AM and 7:00 PM Excluding Scheduled Maintenance</t>
        </r>
      </text>
    </comment>
  </commentList>
</comments>
</file>

<file path=xl/sharedStrings.xml><?xml version="1.0" encoding="utf-8"?>
<sst xmlns="http://schemas.openxmlformats.org/spreadsheetml/2006/main" count="172" uniqueCount="132">
  <si>
    <t>Number of Calls</t>
  </si>
  <si>
    <t>Payroll Remittances Processed</t>
  </si>
  <si>
    <t>Bi Weekly</t>
  </si>
  <si>
    <t>Monthly</t>
  </si>
  <si>
    <t>Cost as % of System Implementation</t>
  </si>
  <si>
    <t>Holidays</t>
  </si>
  <si>
    <t>Response Time (Seconds)</t>
  </si>
  <si>
    <t>Average Call Length (Minutes)</t>
  </si>
  <si>
    <t>Call Center Volume Statistics</t>
  </si>
  <si>
    <t>System Availability Statistics</t>
  </si>
  <si>
    <t>Training Statistics</t>
  </si>
  <si>
    <t>Call Center Tickets Reported</t>
  </si>
  <si>
    <t>Benefits</t>
  </si>
  <si>
    <t xml:space="preserve">BI </t>
  </si>
  <si>
    <t>Org Management</t>
  </si>
  <si>
    <t>Payroll</t>
  </si>
  <si>
    <t>Time</t>
  </si>
  <si>
    <t>Number Off Cycle PR Processed</t>
  </si>
  <si>
    <t>Number Calls Resolved on First Call</t>
  </si>
  <si>
    <t>Number Call Abandoned</t>
  </si>
  <si>
    <t>System Implementation Costs</t>
  </si>
  <si>
    <t>Total Number ERP Employees</t>
  </si>
  <si>
    <t xml:space="preserve">ERP Employee Statistics </t>
  </si>
  <si>
    <t>Employees Supported/ERP Employee</t>
  </si>
  <si>
    <t>Number Call Center Agents</t>
  </si>
  <si>
    <t>0910                       YTD           Total</t>
  </si>
  <si>
    <t>Payrolls Processed Off-Cycle %</t>
  </si>
  <si>
    <t xml:space="preserve">First Call Resolution </t>
  </si>
  <si>
    <t xml:space="preserve">Calls Abandoned </t>
  </si>
  <si>
    <t>Bi Weekly = Total Number of Bi-Weekly Payrolls Processed</t>
  </si>
  <si>
    <t>Monthly = Total Number of Monthly Payrolls Processed</t>
  </si>
  <si>
    <t>Total Payrolls</t>
  </si>
  <si>
    <t>Total Payrolls = Sum of Bi-Weekly and Monthly Payrolls Processed</t>
  </si>
  <si>
    <t>Payrolls Processed Off-Cycle % = Percentage of Special Payroll Processed Outside the Normal Bi-Weekly or Monthly Payroll Cycle</t>
  </si>
  <si>
    <t>Employees Supported/ERP Employee = Total Employees Paid Divided By The Number of ERP Employees</t>
  </si>
  <si>
    <t>Monthly Cost Per Employee Paid = Total Monthly Costs Divided By Number of Employees Paid</t>
  </si>
  <si>
    <t>Cost as % of System Implementation = Total Monthly Costs as a Percentage of the $96M ERP Implementation Project Cost</t>
  </si>
  <si>
    <t>Benefits = Number of Benefits Classes Taught</t>
  </si>
  <si>
    <t>Org Management = Number of Org Management Classes Taught</t>
  </si>
  <si>
    <t>Payroll = Number of Payroll Classes Taught</t>
  </si>
  <si>
    <t>Time = Number of Time Classes Taught</t>
  </si>
  <si>
    <t>Response Time =  Average Time in Seconds For System To Respond to Entry/Inquiry</t>
  </si>
  <si>
    <t>Personnel Administration = Number of Personnel Administration Classes Taught</t>
  </si>
  <si>
    <t>Personnel Administration</t>
  </si>
  <si>
    <t>Number of Calls = Total Number of Calls Received in The ERP Call Center During Normal Operating Hours of 8:00 AM to 5:30 PM</t>
  </si>
  <si>
    <t xml:space="preserve"> Cost Per Employee Paid</t>
  </si>
  <si>
    <t>-</t>
  </si>
  <si>
    <t>Employees Supported/Call Agent</t>
  </si>
  <si>
    <t>Total Number ERP Employees = Total Number of ERP Employee (Includes Call Center Agents, Training, Functional, Technical and All Operational Staff)</t>
  </si>
  <si>
    <t>Calls Abandoned = Percentage of Calls Terminated By Caller Prior To Call Center Agent Responding</t>
  </si>
  <si>
    <t>Average Speed of Answer (Seconds)</t>
  </si>
  <si>
    <t>Maximum Wait Time (Minutes)</t>
  </si>
  <si>
    <t>Average Number of Calls/Day</t>
  </si>
  <si>
    <t>Average Number of Calls/Day = Total Number of Calls Received in The ERP Call Center Divided By The Number of Working Days In The Month</t>
  </si>
  <si>
    <t>3.1.a</t>
  </si>
  <si>
    <t>3.1.b</t>
  </si>
  <si>
    <t>3.1.c</t>
  </si>
  <si>
    <t>3.1.d</t>
  </si>
  <si>
    <t>3.1.e</t>
  </si>
  <si>
    <t>Reported Source - Telephone</t>
  </si>
  <si>
    <t>Reported Source - Email</t>
  </si>
  <si>
    <t>Reported Source - Fax</t>
  </si>
  <si>
    <t>Reported Source - US Mail</t>
  </si>
  <si>
    <t>Reported Source - Other</t>
  </si>
  <si>
    <t>Resolved Tickets</t>
  </si>
  <si>
    <t>Average Time to Resolve (Days)</t>
  </si>
  <si>
    <t>Open Tickets at Month End</t>
  </si>
  <si>
    <t>Resolved Tickets = Total Number of Ticket Issues/Questions Resolved</t>
  </si>
  <si>
    <t>Open Tickets at Month End = Total Number of Tickets Open and Not Yet Resolved</t>
  </si>
  <si>
    <t>BI = Number of Business Intelligence Classes Taught</t>
  </si>
  <si>
    <t>Average Speed of Answer  = The Average Time in Seconds Calls Were Waiting in Queue and Ringing Before Answered by an Agent</t>
  </si>
  <si>
    <t>First Call Resolution = Percentage of Calls Resolved by a Tier 1 or Tier 2 Agent Within The First 60 Minutes</t>
  </si>
  <si>
    <t>Average Call Length = Average Time in Minutes Caller on The Telephone, Including Call Center Voice Greeting, Entering Employee ID Number, Waiting in Queue and Speaking With A Call Agent</t>
  </si>
  <si>
    <t>Reported Source - Phone = Percentage of New Tickets Received via Telephone</t>
  </si>
  <si>
    <t>Reported Source - Email = Percentage of New Tickets Received via Email</t>
  </si>
  <si>
    <t>Reported Source - FAX = Percentage of New Tickets Received via FAX</t>
  </si>
  <si>
    <t>Reported Source - US Mail = Percentage of New Tickets Received via US Mail</t>
  </si>
  <si>
    <t>Reported Source - Other = Percentage of New Tickets Received via Other Than Telephone, Email, FAX or US Mail</t>
  </si>
  <si>
    <t>Average Time to Resolve = Average Time in Days Required to Resolve a Ticket</t>
  </si>
  <si>
    <t>Metrics Summary Data Definitions</t>
  </si>
  <si>
    <t>Call Center Costs</t>
  </si>
  <si>
    <t>Total ERP Costs</t>
  </si>
  <si>
    <t>Call Center Costs % of Total Costs</t>
  </si>
  <si>
    <t>Call Center Costs = Total Monthly Call Center Operational Costs</t>
  </si>
  <si>
    <t>Call Center Costs as % of Total ERP Costs = Call Center Costs Divided By Total ERP Costs</t>
  </si>
  <si>
    <t>Costs</t>
  </si>
  <si>
    <t>Total ERP Costs = Total Monthly ERP Operational Costs Including All Functional, Technical, Training, and Call Center Functions</t>
  </si>
  <si>
    <t>Call Center Costs Per Call</t>
  </si>
  <si>
    <t>Call Center Costs Per Call = Call Center Costs Divided by Number of Calls</t>
  </si>
  <si>
    <t>Average Number of Calls/Agent</t>
  </si>
  <si>
    <t>Average Number of Calls /Agent = Total Number of Calls Divided by Number of Call Center Agents</t>
  </si>
  <si>
    <t xml:space="preserve">Number of New Tickets </t>
  </si>
  <si>
    <t>Number of New Tickets = Total Number of New Ticket Issues/Questions Logged</t>
  </si>
  <si>
    <t>Average Calls per Employee Served</t>
  </si>
  <si>
    <t>Agent Utilization</t>
  </si>
  <si>
    <t>Call Center Agent Staff</t>
  </si>
  <si>
    <t>Number Call Center Agents = Total Number of Call Center Agent Staff</t>
  </si>
  <si>
    <t xml:space="preserve">Workforce </t>
  </si>
  <si>
    <t>Workforce = Number of Workforce Classes Taught</t>
  </si>
  <si>
    <r>
      <t>Metric</t>
    </r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(Move Cursor Over Cell For Explanation of Metric)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</si>
  <si>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ERP Metric Tracking and Reporting Began April 2009</t>
    </r>
  </si>
  <si>
    <t>Call Center Costs/Ticket Resolved</t>
  </si>
  <si>
    <t>Number of Employees Paid Via OSC ERP</t>
  </si>
  <si>
    <t>Number of Employees Paid Via OSC ERP = Total Number of State Employees Paid Via OSC ERP System</t>
  </si>
  <si>
    <t>Employees Supported/Call Agent = Total Number of Employees Paid Divided By The Number of Call Center Agent Employees</t>
  </si>
  <si>
    <t>Average Calls Per Employee Served = Number of Calls Divided by Number of Employees Paid</t>
  </si>
  <si>
    <t>Number Trained in Classroom</t>
  </si>
  <si>
    <t>Number Attending eLearning</t>
  </si>
  <si>
    <t>Number of Classes Offered</t>
  </si>
  <si>
    <t>Number of Classes Offered = Grand Total Number of All Classes Taught Including Both Traditional Classroom-Based and eLearning Web-Based</t>
  </si>
  <si>
    <t>Number Trained In Classroom = Total Number of State Employees Attending Training Classes</t>
  </si>
  <si>
    <t>Number Attending eLearning = Total Number of State Employees Participating in virtual classrooms or web based trainings</t>
  </si>
  <si>
    <t>Red Diamonds Indicate Comments and/or Further Explanations</t>
  </si>
  <si>
    <r>
      <t xml:space="preserve">^ Curr vs Prior Mo        </t>
    </r>
    <r>
      <rPr>
        <b/>
        <u val="single"/>
        <sz val="12"/>
        <color indexed="8"/>
        <rFont val="Calibri"/>
        <family val="2"/>
      </rPr>
      <t>Amt</t>
    </r>
    <r>
      <rPr>
        <b/>
        <sz val="12"/>
        <color indexed="8"/>
        <rFont val="Calibri"/>
        <family val="2"/>
      </rPr>
      <t xml:space="preserve">        </t>
    </r>
    <r>
      <rPr>
        <b/>
        <u val="single"/>
        <sz val="12"/>
        <color indexed="8"/>
        <rFont val="Calibri"/>
        <family val="2"/>
      </rPr>
      <t>%</t>
    </r>
  </si>
  <si>
    <t>Curr Mo</t>
  </si>
  <si>
    <t>Prior Mo</t>
  </si>
  <si>
    <t>0809                       YTD           Total</t>
  </si>
  <si>
    <t>0809                       YTD Average</t>
  </si>
  <si>
    <t>0910                       YTD Ayerage</t>
  </si>
  <si>
    <r>
      <t xml:space="preserve">^ Curr vs Prior Mo        </t>
    </r>
    <r>
      <rPr>
        <b/>
        <u val="single"/>
        <sz val="12"/>
        <color indexed="8"/>
        <rFont val="Calibri"/>
        <family val="2"/>
      </rPr>
      <t>Amt</t>
    </r>
    <r>
      <rPr>
        <b/>
        <sz val="12"/>
        <color indexed="8"/>
        <rFont val="Calibri"/>
        <family val="2"/>
      </rPr>
      <t xml:space="preserve">          </t>
    </r>
    <r>
      <rPr>
        <b/>
        <u val="single"/>
        <sz val="12"/>
        <color indexed="8"/>
        <rFont val="Calibri"/>
        <family val="2"/>
      </rPr>
      <t>%</t>
    </r>
  </si>
  <si>
    <r>
      <t xml:space="preserve">Maximum Wait Time = The Maximum Time in Minutes a Caller Waited in Queue Before Call Agent Answered or Caller Abandoned Call. The Highest Wait Time of Any </t>
    </r>
    <r>
      <rPr>
        <u val="single"/>
        <sz val="9"/>
        <color indexed="8"/>
        <rFont val="Calibri"/>
        <family val="2"/>
      </rPr>
      <t>one</t>
    </r>
    <r>
      <rPr>
        <sz val="9"/>
        <color indexed="8"/>
        <rFont val="Calibri"/>
        <family val="2"/>
      </rPr>
      <t xml:space="preserve"> Call.</t>
    </r>
  </si>
  <si>
    <t>ERP Up Time</t>
  </si>
  <si>
    <t>ERP Down Time</t>
  </si>
  <si>
    <t>BI Up Time</t>
  </si>
  <si>
    <t>BI Down Time</t>
  </si>
  <si>
    <t>ERP Up Time  = Percentage of Time ERP System Available During Normal Operating Hours of 7:00 AM and  7:00 PM, Excluding Scheduled Maintenance</t>
  </si>
  <si>
    <t>ERP Down Time  = Percentage of Time ERP System Unavailable During Normal Operating Hours of 7:00 AM and  7:00 PM, Excluding Scheduled Maintenance</t>
  </si>
  <si>
    <t>BI Up Time  = Percentage of Time BI System Available During Normal Operating Hours of 7:00 AM and  7:00 PM, Excluding Scheduled Maintenance</t>
  </si>
  <si>
    <t>BI Down Time  = Percentage of Time BI System Unavailable During Normal Operating Hours of 7:00 AM and  7:00 PM, Excluding Scheduled Maintenance</t>
  </si>
  <si>
    <t>Month</t>
  </si>
  <si>
    <t>New Tickets</t>
  </si>
  <si>
    <t>Chart Data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</si>
</sst>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/dd/yy;@"/>
    <numFmt numFmtId="166" formatCode="_(* #,##0_);_(* \(#,##0\);_(* &quot;-&quot;??_);_(@_)"/>
    <numFmt numFmtId="167" formatCode="0.000%"/>
    <numFmt numFmtId="168" formatCode="_(* #,##0.0_);_(* \(#,##0.0\);_(* &quot;-&quot;??_);_(@_)"/>
    <numFmt numFmtId="169" formatCode="\$#,##0.00_);[Red]\(\$#,##0.00\)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%"/>
    <numFmt numFmtId="175" formatCode="&quot;$&quot;#,##0"/>
    <numFmt numFmtId="176" formatCode="&quot;$&quot;#,##0.00"/>
    <numFmt numFmtId="177" formatCode="_(* #,##0.0_);_(* \(#,##0.0\);_(* &quot;-&quot;?_);_(@_)"/>
    <numFmt numFmtId="178" formatCode="&quot;$&quot;#,##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Calibri"/>
      <family val="2"/>
    </font>
    <font>
      <sz val="8"/>
      <color indexed="10"/>
      <name val="Tahoma"/>
      <family val="2"/>
    </font>
    <font>
      <b/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Verdana"/>
      <family val="2"/>
    </font>
    <font>
      <b/>
      <sz val="10"/>
      <color indexed="10"/>
      <name val="Tahoma"/>
      <family val="2"/>
    </font>
    <font>
      <sz val="9"/>
      <color indexed="8"/>
      <name val="Calibri"/>
      <family val="2"/>
    </font>
    <font>
      <b/>
      <u val="single"/>
      <sz val="8"/>
      <color indexed="10"/>
      <name val="Tahoma"/>
      <family val="2"/>
    </font>
    <font>
      <u val="single"/>
      <sz val="9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color indexed="30"/>
      <name val="Verdana"/>
      <family val="2"/>
    </font>
    <font>
      <sz val="11"/>
      <color indexed="30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sz val="8"/>
      <color indexed="8"/>
      <name val="Verdana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.5"/>
      <color indexed="10"/>
      <name val="Calibri"/>
      <family val="2"/>
    </font>
    <font>
      <b/>
      <sz val="8"/>
      <color indexed="30"/>
      <name val="Calibri"/>
      <family val="2"/>
    </font>
    <font>
      <sz val="6"/>
      <color indexed="8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48"/>
      <name val="Calibri"/>
      <family val="0"/>
    </font>
    <font>
      <b/>
      <sz val="18"/>
      <color indexed="8"/>
      <name val="Calibri"/>
      <family val="0"/>
    </font>
    <font>
      <b/>
      <sz val="10"/>
      <color indexed="30"/>
      <name val="Calibri"/>
      <family val="0"/>
    </font>
    <font>
      <b/>
      <sz val="10"/>
      <color indexed="10"/>
      <name val="Calibri"/>
      <family val="0"/>
    </font>
    <font>
      <sz val="6.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rgb="FF0033CC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rgb="FF0033CC"/>
      <name val="Verdana"/>
      <family val="2"/>
    </font>
    <font>
      <sz val="11"/>
      <color rgb="FF0033CC"/>
      <name val="Calibri"/>
      <family val="2"/>
    </font>
    <font>
      <b/>
      <sz val="8"/>
      <color theme="1"/>
      <name val="Verdana"/>
      <family val="2"/>
    </font>
    <font>
      <b/>
      <sz val="10"/>
      <color theme="1"/>
      <name val="Calibri"/>
      <family val="2"/>
    </font>
    <font>
      <sz val="8"/>
      <color theme="1"/>
      <name val="Verdana"/>
      <family val="2"/>
    </font>
    <font>
      <b/>
      <vertAlign val="superscript"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 tint="0.04998999834060669"/>
      <name val="Calibri"/>
      <family val="2"/>
    </font>
    <font>
      <b/>
      <vertAlign val="superscript"/>
      <sz val="9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vertAlign val="superscript"/>
      <sz val="9"/>
      <color theme="1" tint="0.04998999834060669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1.5"/>
      <color rgb="FFFF0000"/>
      <name val="Calibri"/>
      <family val="2"/>
    </font>
    <font>
      <b/>
      <sz val="8"/>
      <color rgb="FF0033CC"/>
      <name val="Calibri"/>
      <family val="2"/>
    </font>
    <font>
      <b/>
      <sz val="8"/>
      <color rgb="FFFF0000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10" xfId="0" applyFont="1" applyBorder="1" applyAlignment="1">
      <alignment/>
    </xf>
    <xf numFmtId="0" fontId="84" fillId="0" borderId="11" xfId="0" applyFont="1" applyBorder="1" applyAlignment="1">
      <alignment/>
    </xf>
    <xf numFmtId="0" fontId="84" fillId="0" borderId="0" xfId="0" applyFont="1" applyAlignment="1">
      <alignment/>
    </xf>
    <xf numFmtId="0" fontId="85" fillId="0" borderId="15" xfId="0" applyFont="1" applyFill="1" applyBorder="1" applyAlignment="1">
      <alignment horizontal="right"/>
    </xf>
    <xf numFmtId="164" fontId="81" fillId="0" borderId="16" xfId="0" applyNumberFormat="1" applyFont="1" applyBorder="1" applyAlignment="1" quotePrefix="1">
      <alignment horizontal="center" vertical="center" wrapText="1"/>
    </xf>
    <xf numFmtId="166" fontId="86" fillId="0" borderId="17" xfId="42" applyNumberFormat="1" applyFont="1" applyBorder="1" applyAlignment="1">
      <alignment/>
    </xf>
    <xf numFmtId="0" fontId="0" fillId="0" borderId="18" xfId="0" applyBorder="1" applyAlignment="1">
      <alignment/>
    </xf>
    <xf numFmtId="0" fontId="86" fillId="0" borderId="15" xfId="0" applyFont="1" applyBorder="1" applyAlignment="1">
      <alignment/>
    </xf>
    <xf numFmtId="10" fontId="86" fillId="0" borderId="15" xfId="59" applyNumberFormat="1" applyFont="1" applyBorder="1" applyAlignment="1">
      <alignment/>
    </xf>
    <xf numFmtId="0" fontId="0" fillId="0" borderId="15" xfId="0" applyBorder="1" applyAlignment="1">
      <alignment/>
    </xf>
    <xf numFmtId="2" fontId="86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166" fontId="86" fillId="0" borderId="15" xfId="42" applyNumberFormat="1" applyFont="1" applyBorder="1" applyAlignment="1">
      <alignment/>
    </xf>
    <xf numFmtId="5" fontId="86" fillId="0" borderId="15" xfId="42" applyNumberFormat="1" applyFont="1" applyBorder="1" applyAlignment="1">
      <alignment/>
    </xf>
    <xf numFmtId="7" fontId="0" fillId="0" borderId="15" xfId="44" applyNumberFormat="1" applyFont="1" applyBorder="1" applyAlignment="1">
      <alignment/>
    </xf>
    <xf numFmtId="10" fontId="0" fillId="0" borderId="17" xfId="59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82" fillId="0" borderId="15" xfId="0" applyFont="1" applyFill="1" applyBorder="1" applyAlignment="1">
      <alignment horizontal="right"/>
    </xf>
    <xf numFmtId="0" fontId="81" fillId="0" borderId="14" xfId="0" applyFont="1" applyBorder="1" applyAlignment="1">
      <alignment/>
    </xf>
    <xf numFmtId="14" fontId="81" fillId="0" borderId="14" xfId="0" applyNumberFormat="1" applyFont="1" applyBorder="1" applyAlignment="1">
      <alignment/>
    </xf>
    <xf numFmtId="0" fontId="81" fillId="0" borderId="0" xfId="0" applyFont="1" applyFill="1" applyBorder="1" applyAlignment="1">
      <alignment horizontal="right"/>
    </xf>
    <xf numFmtId="0" fontId="79" fillId="0" borderId="19" xfId="0" applyFont="1" applyBorder="1" applyAlignment="1">
      <alignment/>
    </xf>
    <xf numFmtId="0" fontId="0" fillId="0" borderId="19" xfId="0" applyBorder="1" applyAlignment="1">
      <alignment/>
    </xf>
    <xf numFmtId="0" fontId="79" fillId="0" borderId="20" xfId="0" applyFont="1" applyBorder="1" applyAlignment="1">
      <alignment/>
    </xf>
    <xf numFmtId="166" fontId="86" fillId="0" borderId="21" xfId="42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15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10" fontId="81" fillId="0" borderId="14" xfId="59" applyNumberFormat="1" applyFont="1" applyBorder="1" applyAlignment="1">
      <alignment horizontal="center"/>
    </xf>
    <xf numFmtId="10" fontId="79" fillId="0" borderId="0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43" fontId="81" fillId="0" borderId="12" xfId="42" applyFont="1" applyBorder="1" applyAlignment="1">
      <alignment horizontal="center"/>
    </xf>
    <xf numFmtId="43" fontId="79" fillId="0" borderId="10" xfId="42" applyFont="1" applyBorder="1" applyAlignment="1">
      <alignment/>
    </xf>
    <xf numFmtId="43" fontId="86" fillId="0" borderId="17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5" xfId="0" applyFill="1" applyBorder="1" applyAlignment="1">
      <alignment horizontal="right"/>
    </xf>
    <xf numFmtId="0" fontId="81" fillId="12" borderId="0" xfId="0" applyFont="1" applyFill="1" applyBorder="1" applyAlignment="1">
      <alignment horizontal="center"/>
    </xf>
    <xf numFmtId="0" fontId="84" fillId="12" borderId="0" xfId="0" applyFont="1" applyFill="1" applyAlignment="1">
      <alignment horizontal="center"/>
    </xf>
    <xf numFmtId="0" fontId="87" fillId="12" borderId="0" xfId="0" applyFont="1" applyFill="1" applyAlignment="1">
      <alignment horizontal="center"/>
    </xf>
    <xf numFmtId="0" fontId="87" fillId="12" borderId="15" xfId="0" applyFont="1" applyFill="1" applyBorder="1" applyAlignment="1">
      <alignment horizontal="center"/>
    </xf>
    <xf numFmtId="165" fontId="88" fillId="12" borderId="0" xfId="0" applyNumberFormat="1" applyFont="1" applyFill="1" applyBorder="1" applyAlignment="1">
      <alignment horizontal="center"/>
    </xf>
    <xf numFmtId="165" fontId="88" fillId="12" borderId="0" xfId="0" applyNumberFormat="1" applyFont="1" applyFill="1" applyAlignment="1">
      <alignment horizontal="center"/>
    </xf>
    <xf numFmtId="165" fontId="88" fillId="12" borderId="15" xfId="0" applyNumberFormat="1" applyFont="1" applyFill="1" applyBorder="1" applyAlignment="1">
      <alignment horizontal="center"/>
    </xf>
    <xf numFmtId="0" fontId="81" fillId="12" borderId="10" xfId="0" applyFont="1" applyFill="1" applyBorder="1" applyAlignment="1">
      <alignment horizontal="center"/>
    </xf>
    <xf numFmtId="0" fontId="84" fillId="12" borderId="10" xfId="0" applyFont="1" applyFill="1" applyBorder="1" applyAlignment="1">
      <alignment horizontal="center"/>
    </xf>
    <xf numFmtId="0" fontId="87" fillId="12" borderId="10" xfId="0" applyFont="1" applyFill="1" applyBorder="1" applyAlignment="1">
      <alignment horizontal="center"/>
    </xf>
    <xf numFmtId="0" fontId="87" fillId="12" borderId="17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right"/>
    </xf>
    <xf numFmtId="0" fontId="79" fillId="0" borderId="11" xfId="0" applyFont="1" applyFill="1" applyBorder="1" applyAlignment="1">
      <alignment horizontal="left"/>
    </xf>
    <xf numFmtId="0" fontId="87" fillId="0" borderId="11" xfId="0" applyFont="1" applyFill="1" applyBorder="1" applyAlignment="1">
      <alignment horizontal="right"/>
    </xf>
    <xf numFmtId="0" fontId="85" fillId="0" borderId="18" xfId="0" applyFont="1" applyFill="1" applyBorder="1" applyAlignment="1">
      <alignment horizontal="right"/>
    </xf>
    <xf numFmtId="0" fontId="82" fillId="0" borderId="18" xfId="0" applyFont="1" applyFill="1" applyBorder="1" applyAlignment="1">
      <alignment horizontal="right"/>
    </xf>
    <xf numFmtId="0" fontId="82" fillId="0" borderId="11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left"/>
    </xf>
    <xf numFmtId="0" fontId="87" fillId="0" borderId="10" xfId="0" applyFont="1" applyFill="1" applyBorder="1" applyAlignment="1">
      <alignment horizontal="right"/>
    </xf>
    <xf numFmtId="166" fontId="89" fillId="0" borderId="17" xfId="0" applyNumberFormat="1" applyFont="1" applyFill="1" applyBorder="1" applyAlignment="1">
      <alignment horizontal="right"/>
    </xf>
    <xf numFmtId="0" fontId="90" fillId="0" borderId="0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19" xfId="0" applyFont="1" applyBorder="1" applyAlignment="1">
      <alignment/>
    </xf>
    <xf numFmtId="0" fontId="81" fillId="12" borderId="14" xfId="0" applyFont="1" applyFill="1" applyBorder="1" applyAlignment="1">
      <alignment/>
    </xf>
    <xf numFmtId="0" fontId="84" fillId="12" borderId="0" xfId="0" applyFont="1" applyFill="1" applyAlignment="1">
      <alignment/>
    </xf>
    <xf numFmtId="0" fontId="79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15" xfId="0" applyFill="1" applyBorder="1" applyAlignment="1">
      <alignment/>
    </xf>
    <xf numFmtId="0" fontId="0" fillId="12" borderId="15" xfId="0" applyFill="1" applyBorder="1" applyAlignment="1">
      <alignment horizontal="right"/>
    </xf>
    <xf numFmtId="165" fontId="91" fillId="12" borderId="0" xfId="0" applyNumberFormat="1" applyFont="1" applyFill="1" applyAlignment="1" quotePrefix="1">
      <alignment horizontal="center"/>
    </xf>
    <xf numFmtId="0" fontId="80" fillId="12" borderId="0" xfId="0" applyFont="1" applyFill="1" applyAlignment="1">
      <alignment/>
    </xf>
    <xf numFmtId="165" fontId="88" fillId="0" borderId="15" xfId="0" applyNumberFormat="1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84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4" fontId="81" fillId="33" borderId="16" xfId="0" applyNumberFormat="1" applyFont="1" applyFill="1" applyBorder="1" applyAlignment="1" quotePrefix="1">
      <alignment horizontal="center" vertical="center" wrapText="1"/>
    </xf>
    <xf numFmtId="166" fontId="86" fillId="33" borderId="17" xfId="42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86" fillId="33" borderId="15" xfId="0" applyFont="1" applyFill="1" applyBorder="1" applyAlignment="1">
      <alignment/>
    </xf>
    <xf numFmtId="10" fontId="86" fillId="33" borderId="15" xfId="59" applyNumberFormat="1" applyFont="1" applyFill="1" applyBorder="1" applyAlignment="1">
      <alignment/>
    </xf>
    <xf numFmtId="10" fontId="86" fillId="33" borderId="17" xfId="59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2" fontId="86" fillId="33" borderId="15" xfId="0" applyNumberFormat="1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166" fontId="86" fillId="33" borderId="15" xfId="42" applyNumberFormat="1" applyFont="1" applyFill="1" applyBorder="1" applyAlignment="1">
      <alignment/>
    </xf>
    <xf numFmtId="166" fontId="0" fillId="33" borderId="22" xfId="42" applyNumberFormat="1" applyFont="1" applyFill="1" applyBorder="1" applyAlignment="1">
      <alignment/>
    </xf>
    <xf numFmtId="167" fontId="86" fillId="33" borderId="17" xfId="59" applyNumberFormat="1" applyFont="1" applyFill="1" applyBorder="1" applyAlignment="1">
      <alignment/>
    </xf>
    <xf numFmtId="5" fontId="86" fillId="33" borderId="15" xfId="42" applyNumberFormat="1" applyFont="1" applyFill="1" applyBorder="1" applyAlignment="1">
      <alignment/>
    </xf>
    <xf numFmtId="7" fontId="0" fillId="33" borderId="15" xfId="44" applyNumberFormat="1" applyFont="1" applyFill="1" applyBorder="1" applyAlignment="1">
      <alignment/>
    </xf>
    <xf numFmtId="10" fontId="0" fillId="33" borderId="17" xfId="59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3" fontId="86" fillId="33" borderId="17" xfId="42" applyFont="1" applyFill="1" applyBorder="1" applyAlignment="1">
      <alignment/>
    </xf>
    <xf numFmtId="0" fontId="85" fillId="33" borderId="18" xfId="0" applyFont="1" applyFill="1" applyBorder="1" applyAlignment="1">
      <alignment horizontal="right"/>
    </xf>
    <xf numFmtId="0" fontId="85" fillId="33" borderId="15" xfId="0" applyFont="1" applyFill="1" applyBorder="1" applyAlignment="1">
      <alignment horizontal="right"/>
    </xf>
    <xf numFmtId="166" fontId="89" fillId="33" borderId="17" xfId="0" applyNumberFormat="1" applyFont="1" applyFill="1" applyBorder="1" applyAlignment="1">
      <alignment horizontal="right"/>
    </xf>
    <xf numFmtId="166" fontId="86" fillId="33" borderId="17" xfId="42" applyNumberFormat="1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86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2" fontId="86" fillId="33" borderId="15" xfId="0" applyNumberFormat="1" applyFont="1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166" fontId="86" fillId="33" borderId="15" xfId="42" applyNumberFormat="1" applyFont="1" applyFill="1" applyBorder="1" applyAlignment="1">
      <alignment horizontal="right"/>
    </xf>
    <xf numFmtId="166" fontId="0" fillId="33" borderId="22" xfId="42" applyNumberFormat="1" applyFont="1" applyFill="1" applyBorder="1" applyAlignment="1">
      <alignment horizontal="right"/>
    </xf>
    <xf numFmtId="5" fontId="86" fillId="33" borderId="15" xfId="42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10" fontId="86" fillId="33" borderId="15" xfId="59" applyNumberFormat="1" applyFont="1" applyFill="1" applyBorder="1" applyAlignment="1">
      <alignment horizontal="right"/>
    </xf>
    <xf numFmtId="43" fontId="86" fillId="33" borderId="17" xfId="42" applyFont="1" applyFill="1" applyBorder="1" applyAlignment="1">
      <alignment horizontal="right"/>
    </xf>
    <xf numFmtId="0" fontId="81" fillId="12" borderId="13" xfId="0" applyFont="1" applyFill="1" applyBorder="1" applyAlignment="1">
      <alignment/>
    </xf>
    <xf numFmtId="0" fontId="84" fillId="12" borderId="11" xfId="0" applyFont="1" applyFill="1" applyBorder="1" applyAlignment="1">
      <alignment/>
    </xf>
    <xf numFmtId="0" fontId="79" fillId="12" borderId="11" xfId="0" applyFont="1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8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90" fillId="0" borderId="20" xfId="0" applyFont="1" applyBorder="1" applyAlignment="1">
      <alignment/>
    </xf>
    <xf numFmtId="166" fontId="0" fillId="33" borderId="15" xfId="42" applyNumberFormat="1" applyFont="1" applyFill="1" applyBorder="1" applyAlignment="1">
      <alignment/>
    </xf>
    <xf numFmtId="166" fontId="0" fillId="33" borderId="15" xfId="42" applyNumberFormat="1" applyFont="1" applyFill="1" applyBorder="1" applyAlignment="1">
      <alignment horizontal="right"/>
    </xf>
    <xf numFmtId="166" fontId="86" fillId="33" borderId="21" xfId="42" applyNumberFormat="1" applyFont="1" applyFill="1" applyBorder="1" applyAlignment="1">
      <alignment/>
    </xf>
    <xf numFmtId="166" fontId="86" fillId="33" borderId="21" xfId="42" applyNumberFormat="1" applyFont="1" applyFill="1" applyBorder="1" applyAlignment="1">
      <alignment horizontal="right"/>
    </xf>
    <xf numFmtId="166" fontId="45" fillId="33" borderId="15" xfId="42" applyNumberFormat="1" applyFont="1" applyFill="1" applyBorder="1" applyAlignment="1">
      <alignment/>
    </xf>
    <xf numFmtId="166" fontId="45" fillId="0" borderId="15" xfId="42" applyNumberFormat="1" applyFont="1" applyBorder="1" applyAlignment="1">
      <alignment/>
    </xf>
    <xf numFmtId="165" fontId="91" fillId="12" borderId="0" xfId="0" applyNumberFormat="1" applyFont="1" applyFill="1" applyAlignment="1" quotePrefix="1">
      <alignment horizontal="center"/>
    </xf>
    <xf numFmtId="168" fontId="86" fillId="33" borderId="15" xfId="42" applyNumberFormat="1" applyFont="1" applyFill="1" applyBorder="1" applyAlignment="1">
      <alignment/>
    </xf>
    <xf numFmtId="168" fontId="86" fillId="0" borderId="15" xfId="42" applyNumberFormat="1" applyFont="1" applyBorder="1" applyAlignment="1">
      <alignment/>
    </xf>
    <xf numFmtId="165" fontId="91" fillId="12" borderId="0" xfId="0" applyNumberFormat="1" applyFont="1" applyFill="1" applyAlignment="1" quotePrefix="1">
      <alignment horizontal="center"/>
    </xf>
    <xf numFmtId="43" fontId="86" fillId="33" borderId="15" xfId="42" applyFont="1" applyFill="1" applyBorder="1" applyAlignment="1">
      <alignment/>
    </xf>
    <xf numFmtId="43" fontId="86" fillId="0" borderId="15" xfId="42" applyFont="1" applyBorder="1" applyAlignment="1">
      <alignment/>
    </xf>
    <xf numFmtId="43" fontId="86" fillId="33" borderId="15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92" fillId="0" borderId="0" xfId="0" applyFont="1" applyAlignment="1">
      <alignment/>
    </xf>
    <xf numFmtId="0" fontId="92" fillId="0" borderId="0" xfId="0" applyFont="1" applyFill="1" applyBorder="1" applyAlignment="1">
      <alignment horizontal="left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left"/>
    </xf>
    <xf numFmtId="0" fontId="92" fillId="0" borderId="0" xfId="0" applyFont="1" applyBorder="1" applyAlignment="1">
      <alignment horizontal="left" indent="2"/>
    </xf>
    <xf numFmtId="0" fontId="92" fillId="0" borderId="0" xfId="0" applyFont="1" applyFill="1" applyBorder="1" applyAlignment="1">
      <alignment horizontal="left" indent="2"/>
    </xf>
    <xf numFmtId="10" fontId="83" fillId="0" borderId="0" xfId="59" applyNumberFormat="1" applyFont="1" applyBorder="1" applyAlignment="1">
      <alignment/>
    </xf>
    <xf numFmtId="10" fontId="92" fillId="0" borderId="0" xfId="59" applyNumberFormat="1" applyFont="1" applyFill="1" applyBorder="1" applyAlignment="1">
      <alignment horizontal="left"/>
    </xf>
    <xf numFmtId="43" fontId="83" fillId="0" borderId="0" xfId="42" applyFont="1" applyBorder="1" applyAlignment="1">
      <alignment/>
    </xf>
    <xf numFmtId="0" fontId="83" fillId="0" borderId="11" xfId="0" applyFont="1" applyBorder="1" applyAlignment="1">
      <alignment/>
    </xf>
    <xf numFmtId="0" fontId="92" fillId="0" borderId="11" xfId="0" applyFont="1" applyFill="1" applyBorder="1" applyAlignment="1">
      <alignment horizontal="left"/>
    </xf>
    <xf numFmtId="0" fontId="92" fillId="0" borderId="23" xfId="0" applyFont="1" applyBorder="1" applyAlignment="1">
      <alignment/>
    </xf>
    <xf numFmtId="0" fontId="92" fillId="0" borderId="24" xfId="0" applyFont="1" applyFill="1" applyBorder="1" applyAlignment="1">
      <alignment horizontal="left"/>
    </xf>
    <xf numFmtId="0" fontId="92" fillId="0" borderId="24" xfId="0" applyFont="1" applyBorder="1" applyAlignment="1">
      <alignment horizontal="left"/>
    </xf>
    <xf numFmtId="10" fontId="92" fillId="0" borderId="24" xfId="59" applyNumberFormat="1" applyFont="1" applyFill="1" applyBorder="1" applyAlignment="1">
      <alignment horizontal="left"/>
    </xf>
    <xf numFmtId="43" fontId="83" fillId="0" borderId="10" xfId="42" applyFont="1" applyBorder="1" applyAlignment="1">
      <alignment/>
    </xf>
    <xf numFmtId="10" fontId="92" fillId="0" borderId="10" xfId="59" applyNumberFormat="1" applyFont="1" applyFill="1" applyBorder="1" applyAlignment="1">
      <alignment horizontal="left"/>
    </xf>
    <xf numFmtId="10" fontId="92" fillId="0" borderId="25" xfId="59" applyNumberFormat="1" applyFont="1" applyFill="1" applyBorder="1" applyAlignment="1">
      <alignment horizontal="left"/>
    </xf>
    <xf numFmtId="0" fontId="90" fillId="0" borderId="13" xfId="0" applyFont="1" applyBorder="1" applyAlignment="1">
      <alignment horizontal="right"/>
    </xf>
    <xf numFmtId="0" fontId="90" fillId="0" borderId="14" xfId="0" applyFont="1" applyBorder="1" applyAlignment="1">
      <alignment horizontal="right"/>
    </xf>
    <xf numFmtId="0" fontId="90" fillId="0" borderId="12" xfId="0" applyFont="1" applyBorder="1" applyAlignment="1">
      <alignment horizontal="right"/>
    </xf>
    <xf numFmtId="0" fontId="90" fillId="0" borderId="0" xfId="0" applyFont="1" applyBorder="1" applyAlignment="1">
      <alignment horizontal="right"/>
    </xf>
    <xf numFmtId="0" fontId="84" fillId="12" borderId="11" xfId="0" applyFont="1" applyFill="1" applyBorder="1" applyAlignment="1">
      <alignment horizontal="right"/>
    </xf>
    <xf numFmtId="0" fontId="84" fillId="12" borderId="0" xfId="0" applyFont="1" applyFill="1" applyAlignment="1">
      <alignment horizontal="right"/>
    </xf>
    <xf numFmtId="165" fontId="91" fillId="12" borderId="0" xfId="0" applyNumberFormat="1" applyFont="1" applyFill="1" applyAlignment="1" quotePrefix="1">
      <alignment horizontal="right"/>
    </xf>
    <xf numFmtId="0" fontId="84" fillId="0" borderId="0" xfId="0" applyFont="1" applyAlignment="1">
      <alignment horizontal="right"/>
    </xf>
    <xf numFmtId="0" fontId="93" fillId="0" borderId="14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7" fontId="96" fillId="33" borderId="15" xfId="42" applyNumberFormat="1" applyFont="1" applyFill="1" applyBorder="1" applyAlignment="1">
      <alignment/>
    </xf>
    <xf numFmtId="0" fontId="96" fillId="0" borderId="0" xfId="0" applyFont="1" applyBorder="1" applyAlignment="1">
      <alignment/>
    </xf>
    <xf numFmtId="7" fontId="96" fillId="0" borderId="15" xfId="42" applyNumberFormat="1" applyFont="1" applyBorder="1" applyAlignment="1">
      <alignment/>
    </xf>
    <xf numFmtId="7" fontId="96" fillId="33" borderId="15" xfId="42" applyNumberFormat="1" applyFont="1" applyFill="1" applyBorder="1" applyAlignment="1">
      <alignment horizontal="right"/>
    </xf>
    <xf numFmtId="43" fontId="0" fillId="33" borderId="15" xfId="0" applyNumberFormat="1" applyFill="1" applyBorder="1" applyAlignment="1">
      <alignment/>
    </xf>
    <xf numFmtId="43" fontId="86" fillId="0" borderId="15" xfId="42" applyFont="1" applyFill="1" applyBorder="1" applyAlignment="1">
      <alignment/>
    </xf>
    <xf numFmtId="0" fontId="97" fillId="0" borderId="14" xfId="0" applyFont="1" applyBorder="1" applyAlignment="1">
      <alignment horizontal="center"/>
    </xf>
    <xf numFmtId="0" fontId="98" fillId="0" borderId="0" xfId="0" applyFont="1" applyBorder="1" applyAlignment="1">
      <alignment/>
    </xf>
    <xf numFmtId="43" fontId="96" fillId="33" borderId="15" xfId="42" applyFont="1" applyFill="1" applyBorder="1" applyAlignment="1">
      <alignment/>
    </xf>
    <xf numFmtId="43" fontId="96" fillId="0" borderId="15" xfId="42" applyFont="1" applyFill="1" applyBorder="1" applyAlignment="1">
      <alignment/>
    </xf>
    <xf numFmtId="43" fontId="96" fillId="33" borderId="15" xfId="42" applyFont="1" applyFill="1" applyBorder="1" applyAlignment="1">
      <alignment horizontal="right"/>
    </xf>
    <xf numFmtId="0" fontId="96" fillId="0" borderId="0" xfId="0" applyFont="1" applyAlignment="1">
      <alignment/>
    </xf>
    <xf numFmtId="0" fontId="97" fillId="0" borderId="12" xfId="0" applyFont="1" applyBorder="1" applyAlignment="1">
      <alignment horizontal="center"/>
    </xf>
    <xf numFmtId="0" fontId="98" fillId="0" borderId="10" xfId="0" applyFont="1" applyBorder="1" applyAlignment="1">
      <alignment/>
    </xf>
    <xf numFmtId="0" fontId="96" fillId="0" borderId="10" xfId="0" applyFont="1" applyBorder="1" applyAlignment="1">
      <alignment/>
    </xf>
    <xf numFmtId="43" fontId="96" fillId="33" borderId="17" xfId="42" applyFont="1" applyFill="1" applyBorder="1" applyAlignment="1">
      <alignment/>
    </xf>
    <xf numFmtId="43" fontId="96" fillId="0" borderId="17" xfId="42" applyFont="1" applyBorder="1" applyAlignment="1">
      <alignment/>
    </xf>
    <xf numFmtId="43" fontId="96" fillId="33" borderId="17" xfId="42" applyFont="1" applyFill="1" applyBorder="1" applyAlignment="1">
      <alignment horizontal="right"/>
    </xf>
    <xf numFmtId="10" fontId="0" fillId="33" borderId="21" xfId="59" applyNumberFormat="1" applyFont="1" applyFill="1" applyBorder="1" applyAlignment="1">
      <alignment/>
    </xf>
    <xf numFmtId="10" fontId="0" fillId="0" borderId="21" xfId="59" applyNumberFormat="1" applyFont="1" applyBorder="1" applyAlignment="1">
      <alignment/>
    </xf>
    <xf numFmtId="10" fontId="92" fillId="0" borderId="0" xfId="59" applyNumberFormat="1" applyFont="1" applyBorder="1" applyAlignment="1">
      <alignment/>
    </xf>
    <xf numFmtId="10" fontId="92" fillId="33" borderId="0" xfId="59" applyNumberFormat="1" applyFont="1" applyFill="1" applyBorder="1" applyAlignment="1">
      <alignment/>
    </xf>
    <xf numFmtId="0" fontId="99" fillId="0" borderId="11" xfId="0" applyFont="1" applyBorder="1" applyAlignment="1">
      <alignment/>
    </xf>
    <xf numFmtId="166" fontId="45" fillId="33" borderId="17" xfId="42" applyNumberFormat="1" applyFont="1" applyFill="1" applyBorder="1" applyAlignment="1">
      <alignment/>
    </xf>
    <xf numFmtId="0" fontId="48" fillId="0" borderId="12" xfId="0" applyFont="1" applyBorder="1" applyAlignment="1">
      <alignment horizontal="center"/>
    </xf>
    <xf numFmtId="166" fontId="45" fillId="0" borderId="17" xfId="42" applyNumberFormat="1" applyFont="1" applyBorder="1" applyAlignment="1">
      <alignment/>
    </xf>
    <xf numFmtId="166" fontId="45" fillId="33" borderId="17" xfId="42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10" fontId="0" fillId="33" borderId="15" xfId="59" applyNumberFormat="1" applyFont="1" applyFill="1" applyBorder="1" applyAlignment="1">
      <alignment/>
    </xf>
    <xf numFmtId="166" fontId="0" fillId="33" borderId="15" xfId="42" applyNumberFormat="1" applyFont="1" applyFill="1" applyBorder="1" applyAlignment="1">
      <alignment/>
    </xf>
    <xf numFmtId="168" fontId="45" fillId="33" borderId="15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1" fillId="0" borderId="11" xfId="0" applyFont="1" applyBorder="1" applyAlignment="1">
      <alignment/>
    </xf>
    <xf numFmtId="2" fontId="90" fillId="0" borderId="14" xfId="0" applyNumberFormat="1" applyFont="1" applyBorder="1" applyAlignment="1">
      <alignment/>
    </xf>
    <xf numFmtId="2" fontId="90" fillId="0" borderId="10" xfId="0" applyNumberFormat="1" applyFont="1" applyBorder="1" applyAlignment="1">
      <alignment/>
    </xf>
    <xf numFmtId="10" fontId="45" fillId="0" borderId="15" xfId="59" applyNumberFormat="1" applyFont="1" applyBorder="1" applyAlignment="1">
      <alignment/>
    </xf>
    <xf numFmtId="43" fontId="45" fillId="0" borderId="17" xfId="42" applyFont="1" applyBorder="1" applyAlignment="1">
      <alignment/>
    </xf>
    <xf numFmtId="10" fontId="45" fillId="0" borderId="17" xfId="59" applyNumberFormat="1" applyFont="1" applyBorder="1" applyAlignment="1">
      <alignment/>
    </xf>
    <xf numFmtId="10" fontId="45" fillId="0" borderId="26" xfId="59" applyNumberFormat="1" applyFont="1" applyBorder="1" applyAlignment="1">
      <alignment/>
    </xf>
    <xf numFmtId="40" fontId="0" fillId="0" borderId="13" xfId="0" applyNumberFormat="1" applyBorder="1" applyAlignment="1">
      <alignment/>
    </xf>
    <xf numFmtId="10" fontId="0" fillId="0" borderId="27" xfId="59" applyNumberFormat="1" applyFont="1" applyBorder="1" applyAlignment="1">
      <alignment/>
    </xf>
    <xf numFmtId="40" fontId="0" fillId="0" borderId="14" xfId="42" applyNumberFormat="1" applyFont="1" applyBorder="1" applyAlignment="1">
      <alignment/>
    </xf>
    <xf numFmtId="10" fontId="0" fillId="0" borderId="28" xfId="59" applyNumberFormat="1" applyFont="1" applyBorder="1" applyAlignment="1">
      <alignment/>
    </xf>
    <xf numFmtId="40" fontId="0" fillId="0" borderId="12" xfId="42" applyNumberFormat="1" applyFont="1" applyFill="1" applyBorder="1" applyAlignment="1">
      <alignment/>
    </xf>
    <xf numFmtId="10" fontId="0" fillId="0" borderId="29" xfId="59" applyNumberFormat="1" applyFont="1" applyFill="1" applyBorder="1" applyAlignment="1">
      <alignment/>
    </xf>
    <xf numFmtId="40" fontId="0" fillId="0" borderId="14" xfId="0" applyNumberFormat="1" applyBorder="1" applyAlignment="1">
      <alignment/>
    </xf>
    <xf numFmtId="40" fontId="0" fillId="0" borderId="12" xfId="42" applyNumberFormat="1" applyFont="1" applyBorder="1" applyAlignment="1">
      <alignment/>
    </xf>
    <xf numFmtId="10" fontId="0" fillId="0" borderId="29" xfId="59" applyNumberFormat="1" applyFont="1" applyBorder="1" applyAlignment="1">
      <alignment/>
    </xf>
    <xf numFmtId="10" fontId="0" fillId="0" borderId="30" xfId="59" applyNumberFormat="1" applyFont="1" applyBorder="1" applyAlignment="1">
      <alignment/>
    </xf>
    <xf numFmtId="40" fontId="0" fillId="0" borderId="12" xfId="0" applyNumberFormat="1" applyBorder="1" applyAlignment="1">
      <alignment/>
    </xf>
    <xf numFmtId="10" fontId="96" fillId="0" borderId="28" xfId="59" applyNumberFormat="1" applyFont="1" applyBorder="1" applyAlignment="1">
      <alignment/>
    </xf>
    <xf numFmtId="40" fontId="0" fillId="0" borderId="14" xfId="0" applyNumberFormat="1" applyBorder="1" applyAlignment="1">
      <alignment horizontal="right"/>
    </xf>
    <xf numFmtId="10" fontId="0" fillId="0" borderId="28" xfId="59" applyNumberFormat="1" applyFont="1" applyBorder="1" applyAlignment="1">
      <alignment horizontal="right"/>
    </xf>
    <xf numFmtId="10" fontId="0" fillId="0" borderId="31" xfId="59" applyNumberFormat="1" applyFont="1" applyBorder="1" applyAlignment="1">
      <alignment/>
    </xf>
    <xf numFmtId="40" fontId="0" fillId="0" borderId="14" xfId="0" applyNumberFormat="1" applyFont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19" xfId="0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100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/>
    </xf>
    <xf numFmtId="38" fontId="0" fillId="0" borderId="14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12" xfId="0" applyNumberFormat="1" applyBorder="1" applyAlignment="1">
      <alignment/>
    </xf>
    <xf numFmtId="170" fontId="0" fillId="0" borderId="14" xfId="42" applyNumberFormat="1" applyFont="1" applyBorder="1" applyAlignment="1">
      <alignment/>
    </xf>
    <xf numFmtId="38" fontId="0" fillId="0" borderId="14" xfId="42" applyNumberFormat="1" applyFont="1" applyBorder="1" applyAlignment="1">
      <alignment/>
    </xf>
    <xf numFmtId="10" fontId="0" fillId="0" borderId="14" xfId="59" applyNumberFormat="1" applyFont="1" applyBorder="1" applyAlignment="1">
      <alignment/>
    </xf>
    <xf numFmtId="10" fontId="0" fillId="0" borderId="12" xfId="59" applyNumberFormat="1" applyFont="1" applyBorder="1" applyAlignment="1">
      <alignment/>
    </xf>
    <xf numFmtId="38" fontId="0" fillId="0" borderId="12" xfId="42" applyNumberFormat="1" applyFont="1" applyBorder="1" applyAlignment="1">
      <alignment/>
    </xf>
    <xf numFmtId="10" fontId="0" fillId="0" borderId="12" xfId="59" applyNumberFormat="1" applyFont="1" applyBorder="1" applyAlignment="1">
      <alignment/>
    </xf>
    <xf numFmtId="10" fontId="90" fillId="0" borderId="0" xfId="59" applyNumberFormat="1" applyFont="1" applyBorder="1" applyAlignment="1">
      <alignment/>
    </xf>
    <xf numFmtId="176" fontId="83" fillId="0" borderId="0" xfId="0" applyNumberFormat="1" applyFont="1" applyBorder="1" applyAlignment="1">
      <alignment/>
    </xf>
    <xf numFmtId="176" fontId="90" fillId="0" borderId="0" xfId="0" applyNumberFormat="1" applyFont="1" applyBorder="1" applyAlignment="1">
      <alignment/>
    </xf>
    <xf numFmtId="176" fontId="83" fillId="0" borderId="0" xfId="42" applyNumberFormat="1" applyFont="1" applyBorder="1" applyAlignment="1">
      <alignment/>
    </xf>
    <xf numFmtId="176" fontId="92" fillId="33" borderId="0" xfId="0" applyNumberFormat="1" applyFont="1" applyFill="1" applyBorder="1" applyAlignment="1">
      <alignment/>
    </xf>
    <xf numFmtId="176" fontId="92" fillId="0" borderId="0" xfId="0" applyNumberFormat="1" applyFont="1" applyFill="1" applyBorder="1" applyAlignment="1">
      <alignment/>
    </xf>
    <xf numFmtId="176" fontId="92" fillId="0" borderId="0" xfId="0" applyNumberFormat="1" applyFont="1" applyBorder="1" applyAlignment="1">
      <alignment/>
    </xf>
    <xf numFmtId="164" fontId="81" fillId="35" borderId="16" xfId="0" applyNumberFormat="1" applyFont="1" applyFill="1" applyBorder="1" applyAlignment="1">
      <alignment horizontal="center" vertical="center" wrapText="1"/>
    </xf>
    <xf numFmtId="3" fontId="45" fillId="35" borderId="17" xfId="42" applyNumberFormat="1" applyFont="1" applyFill="1" applyBorder="1" applyAlignment="1">
      <alignment horizontal="center"/>
    </xf>
    <xf numFmtId="3" fontId="0" fillId="35" borderId="18" xfId="0" applyNumberFormat="1" applyFill="1" applyBorder="1" applyAlignment="1">
      <alignment horizontal="right"/>
    </xf>
    <xf numFmtId="166" fontId="0" fillId="35" borderId="15" xfId="42" applyNumberFormat="1" applyFont="1" applyFill="1" applyBorder="1" applyAlignment="1">
      <alignment horizontal="right"/>
    </xf>
    <xf numFmtId="166" fontId="45" fillId="35" borderId="15" xfId="42" applyNumberFormat="1" applyFont="1" applyFill="1" applyBorder="1" applyAlignment="1">
      <alignment horizontal="center"/>
    </xf>
    <xf numFmtId="3" fontId="45" fillId="35" borderId="15" xfId="42" applyNumberFormat="1" applyFont="1" applyFill="1" applyBorder="1" applyAlignment="1">
      <alignment horizontal="center"/>
    </xf>
    <xf numFmtId="43" fontId="45" fillId="35" borderId="15" xfId="42" applyFont="1" applyFill="1" applyBorder="1" applyAlignment="1">
      <alignment horizontal="center"/>
    </xf>
    <xf numFmtId="166" fontId="45" fillId="35" borderId="17" xfId="42" applyNumberFormat="1" applyFont="1" applyFill="1" applyBorder="1" applyAlignment="1">
      <alignment horizontal="center"/>
    </xf>
    <xf numFmtId="3" fontId="96" fillId="35" borderId="15" xfId="42" applyNumberFormat="1" applyFont="1" applyFill="1" applyBorder="1" applyAlignment="1">
      <alignment horizontal="center"/>
    </xf>
    <xf numFmtId="43" fontId="96" fillId="35" borderId="17" xfId="42" applyFont="1" applyFill="1" applyBorder="1" applyAlignment="1">
      <alignment horizontal="center"/>
    </xf>
    <xf numFmtId="3" fontId="0" fillId="35" borderId="15" xfId="0" applyNumberFormat="1" applyFill="1" applyBorder="1" applyAlignment="1">
      <alignment horizontal="right"/>
    </xf>
    <xf numFmtId="37" fontId="0" fillId="35" borderId="22" xfId="42" applyNumberFormat="1" applyFont="1" applyFill="1" applyBorder="1" applyAlignment="1">
      <alignment horizontal="right"/>
    </xf>
    <xf numFmtId="167" fontId="0" fillId="35" borderId="17" xfId="59" applyNumberFormat="1" applyFont="1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5" fontId="0" fillId="35" borderId="15" xfId="42" applyNumberFormat="1" applyFont="1" applyFill="1" applyBorder="1" applyAlignment="1">
      <alignment horizontal="right"/>
    </xf>
    <xf numFmtId="7" fontId="0" fillId="35" borderId="15" xfId="44" applyNumberFormat="1" applyFont="1" applyFill="1" applyBorder="1" applyAlignment="1">
      <alignment horizontal="right"/>
    </xf>
    <xf numFmtId="10" fontId="0" fillId="35" borderId="21" xfId="59" applyNumberFormat="1" applyFont="1" applyFill="1" applyBorder="1" applyAlignment="1">
      <alignment horizontal="right"/>
    </xf>
    <xf numFmtId="7" fontId="96" fillId="35" borderId="15" xfId="42" applyNumberFormat="1" applyFont="1" applyFill="1" applyBorder="1" applyAlignment="1">
      <alignment horizontal="right"/>
    </xf>
    <xf numFmtId="10" fontId="0" fillId="35" borderId="17" xfId="59" applyNumberFormat="1" applyFont="1" applyFill="1" applyBorder="1" applyAlignment="1">
      <alignment horizontal="right"/>
    </xf>
    <xf numFmtId="166" fontId="0" fillId="35" borderId="21" xfId="42" applyNumberFormat="1" applyFont="1" applyFill="1" applyBorder="1" applyAlignment="1">
      <alignment horizontal="right"/>
    </xf>
    <xf numFmtId="166" fontId="0" fillId="35" borderId="17" xfId="42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164" fontId="81" fillId="32" borderId="16" xfId="0" applyNumberFormat="1" applyFont="1" applyFill="1" applyBorder="1" applyAlignment="1">
      <alignment horizontal="center" vertical="center" wrapText="1"/>
    </xf>
    <xf numFmtId="3" fontId="45" fillId="32" borderId="17" xfId="42" applyNumberFormat="1" applyFont="1" applyFill="1" applyBorder="1" applyAlignment="1">
      <alignment horizontal="right"/>
    </xf>
    <xf numFmtId="3" fontId="0" fillId="32" borderId="18" xfId="0" applyNumberFormat="1" applyFill="1" applyBorder="1" applyAlignment="1">
      <alignment horizontal="right"/>
    </xf>
    <xf numFmtId="166" fontId="0" fillId="32" borderId="15" xfId="42" applyNumberFormat="1" applyFont="1" applyFill="1" applyBorder="1" applyAlignment="1">
      <alignment horizontal="right"/>
    </xf>
    <xf numFmtId="43" fontId="0" fillId="32" borderId="15" xfId="42" applyFont="1" applyFill="1" applyBorder="1" applyAlignment="1">
      <alignment horizontal="right"/>
    </xf>
    <xf numFmtId="10" fontId="0" fillId="32" borderId="15" xfId="59" applyNumberFormat="1" applyFont="1" applyFill="1" applyBorder="1" applyAlignment="1">
      <alignment horizontal="right"/>
    </xf>
    <xf numFmtId="43" fontId="0" fillId="32" borderId="17" xfId="42" applyFont="1" applyFill="1" applyBorder="1" applyAlignment="1">
      <alignment horizontal="right"/>
    </xf>
    <xf numFmtId="166" fontId="0" fillId="32" borderId="21" xfId="42" applyNumberFormat="1" applyFont="1" applyFill="1" applyBorder="1" applyAlignment="1">
      <alignment horizontal="right"/>
    </xf>
    <xf numFmtId="168" fontId="0" fillId="32" borderId="15" xfId="42" applyNumberFormat="1" applyFont="1" applyFill="1" applyBorder="1" applyAlignment="1">
      <alignment horizontal="right"/>
    </xf>
    <xf numFmtId="166" fontId="0" fillId="32" borderId="17" xfId="42" applyNumberFormat="1" applyFont="1" applyFill="1" applyBorder="1" applyAlignment="1">
      <alignment horizontal="right"/>
    </xf>
    <xf numFmtId="0" fontId="0" fillId="32" borderId="15" xfId="0" applyFill="1" applyBorder="1" applyAlignment="1">
      <alignment horizontal="right"/>
    </xf>
    <xf numFmtId="43" fontId="96" fillId="32" borderId="15" xfId="42" applyFont="1" applyFill="1" applyBorder="1" applyAlignment="1">
      <alignment horizontal="right"/>
    </xf>
    <xf numFmtId="43" fontId="96" fillId="32" borderId="17" xfId="42" applyFont="1" applyFill="1" applyBorder="1" applyAlignment="1">
      <alignment horizontal="right"/>
    </xf>
    <xf numFmtId="3" fontId="0" fillId="32" borderId="15" xfId="0" applyNumberFormat="1" applyFill="1" applyBorder="1" applyAlignment="1">
      <alignment horizontal="right"/>
    </xf>
    <xf numFmtId="166" fontId="0" fillId="32" borderId="22" xfId="42" applyNumberFormat="1" applyFont="1" applyFill="1" applyBorder="1" applyAlignment="1">
      <alignment horizontal="right"/>
    </xf>
    <xf numFmtId="10" fontId="0" fillId="32" borderId="17" xfId="59" applyNumberFormat="1" applyFont="1" applyFill="1" applyBorder="1" applyAlignment="1">
      <alignment horizontal="right"/>
    </xf>
    <xf numFmtId="5" fontId="0" fillId="32" borderId="15" xfId="42" applyNumberFormat="1" applyFont="1" applyFill="1" applyBorder="1" applyAlignment="1">
      <alignment horizontal="right"/>
    </xf>
    <xf numFmtId="7" fontId="0" fillId="32" borderId="15" xfId="44" applyNumberFormat="1" applyFont="1" applyFill="1" applyBorder="1" applyAlignment="1">
      <alignment horizontal="right"/>
    </xf>
    <xf numFmtId="10" fontId="0" fillId="32" borderId="21" xfId="59" applyNumberFormat="1" applyFont="1" applyFill="1" applyBorder="1" applyAlignment="1">
      <alignment horizontal="right"/>
    </xf>
    <xf numFmtId="7" fontId="96" fillId="32" borderId="15" xfId="42" applyNumberFormat="1" applyFont="1" applyFill="1" applyBorder="1" applyAlignment="1">
      <alignment horizontal="right"/>
    </xf>
    <xf numFmtId="166" fontId="0" fillId="32" borderId="15" xfId="42" applyNumberFormat="1" applyFont="1" applyFill="1" applyBorder="1" applyAlignment="1">
      <alignment horizontal="right"/>
    </xf>
    <xf numFmtId="166" fontId="0" fillId="32" borderId="21" xfId="42" applyNumberFormat="1" applyFont="1" applyFill="1" applyBorder="1" applyAlignment="1">
      <alignment horizontal="right"/>
    </xf>
    <xf numFmtId="166" fontId="0" fillId="32" borderId="17" xfId="42" applyNumberFormat="1" applyFont="1" applyFill="1" applyBorder="1" applyAlignment="1">
      <alignment horizontal="right"/>
    </xf>
    <xf numFmtId="0" fontId="0" fillId="32" borderId="15" xfId="0" applyFont="1" applyFill="1" applyBorder="1" applyAlignment="1">
      <alignment horizontal="right"/>
    </xf>
    <xf numFmtId="165" fontId="91" fillId="12" borderId="0" xfId="0" applyNumberFormat="1" applyFont="1" applyFill="1" applyAlignment="1" quotePrefix="1">
      <alignment horizontal="center"/>
    </xf>
    <xf numFmtId="43" fontId="0" fillId="33" borderId="17" xfId="42" applyFont="1" applyFill="1" applyBorder="1" applyAlignment="1">
      <alignment/>
    </xf>
    <xf numFmtId="168" fontId="86" fillId="33" borderId="15" xfId="42" applyNumberFormat="1" applyFont="1" applyFill="1" applyBorder="1" applyAlignment="1">
      <alignment horizontal="right"/>
    </xf>
    <xf numFmtId="0" fontId="91" fillId="0" borderId="10" xfId="0" applyFont="1" applyFill="1" applyBorder="1" applyAlignment="1">
      <alignment horizontal="right"/>
    </xf>
    <xf numFmtId="38" fontId="45" fillId="0" borderId="12" xfId="0" applyNumberFormat="1" applyFont="1" applyBorder="1" applyAlignment="1">
      <alignment/>
    </xf>
    <xf numFmtId="43" fontId="86" fillId="33" borderId="17" xfId="42" applyNumberFormat="1" applyFont="1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0" fillId="0" borderId="24" xfId="0" applyBorder="1" applyAlignment="1">
      <alignment/>
    </xf>
    <xf numFmtId="10" fontId="92" fillId="33" borderId="15" xfId="59" applyNumberFormat="1" applyFont="1" applyFill="1" applyBorder="1" applyAlignment="1">
      <alignment/>
    </xf>
    <xf numFmtId="176" fontId="92" fillId="33" borderId="15" xfId="0" applyNumberFormat="1" applyFont="1" applyFill="1" applyBorder="1" applyAlignment="1">
      <alignment/>
    </xf>
    <xf numFmtId="10" fontId="92" fillId="0" borderId="15" xfId="59" applyNumberFormat="1" applyFont="1" applyBorder="1" applyAlignment="1">
      <alignment/>
    </xf>
    <xf numFmtId="176" fontId="92" fillId="0" borderId="15" xfId="0" applyNumberFormat="1" applyFont="1" applyFill="1" applyBorder="1" applyAlignment="1">
      <alignment/>
    </xf>
    <xf numFmtId="10" fontId="92" fillId="0" borderId="15" xfId="59" applyNumberFormat="1" applyFont="1" applyFill="1" applyBorder="1" applyAlignment="1">
      <alignment horizontal="right"/>
    </xf>
    <xf numFmtId="176" fontId="92" fillId="0" borderId="15" xfId="0" applyNumberFormat="1" applyFont="1" applyFill="1" applyBorder="1" applyAlignment="1">
      <alignment horizontal="right"/>
    </xf>
    <xf numFmtId="10" fontId="92" fillId="32" borderId="15" xfId="59" applyNumberFormat="1" applyFont="1" applyFill="1" applyBorder="1" applyAlignment="1">
      <alignment horizontal="right"/>
    </xf>
    <xf numFmtId="3" fontId="45" fillId="35" borderId="15" xfId="42" applyNumberFormat="1" applyFont="1" applyFill="1" applyBorder="1" applyAlignment="1">
      <alignment horizontal="right"/>
    </xf>
    <xf numFmtId="3" fontId="45" fillId="35" borderId="21" xfId="42" applyNumberFormat="1" applyFont="1" applyFill="1" applyBorder="1" applyAlignment="1">
      <alignment horizontal="right"/>
    </xf>
    <xf numFmtId="165" fontId="101" fillId="12" borderId="0" xfId="0" applyNumberFormat="1" applyFont="1" applyFill="1" applyBorder="1" applyAlignment="1">
      <alignment horizontal="center" wrapText="1"/>
    </xf>
    <xf numFmtId="165" fontId="101" fillId="12" borderId="10" xfId="0" applyNumberFormat="1" applyFont="1" applyFill="1" applyBorder="1" applyAlignment="1">
      <alignment horizontal="center" wrapText="1"/>
    </xf>
    <xf numFmtId="0" fontId="91" fillId="0" borderId="25" xfId="0" applyFont="1" applyFill="1" applyBorder="1" applyAlignment="1">
      <alignment horizontal="right"/>
    </xf>
    <xf numFmtId="10" fontId="79" fillId="0" borderId="20" xfId="59" applyNumberFormat="1" applyFont="1" applyBorder="1" applyAlignment="1">
      <alignment/>
    </xf>
    <xf numFmtId="10" fontId="86" fillId="33" borderId="21" xfId="59" applyNumberFormat="1" applyFont="1" applyFill="1" applyBorder="1" applyAlignment="1">
      <alignment/>
    </xf>
    <xf numFmtId="10" fontId="86" fillId="0" borderId="21" xfId="59" applyNumberFormat="1" applyFont="1" applyBorder="1" applyAlignment="1">
      <alignment/>
    </xf>
    <xf numFmtId="10" fontId="86" fillId="33" borderId="21" xfId="59" applyNumberFormat="1" applyFont="1" applyFill="1" applyBorder="1" applyAlignment="1">
      <alignment horizontal="right"/>
    </xf>
    <xf numFmtId="3" fontId="45" fillId="35" borderId="21" xfId="42" applyNumberFormat="1" applyFont="1" applyFill="1" applyBorder="1" applyAlignment="1">
      <alignment horizontal="center"/>
    </xf>
    <xf numFmtId="10" fontId="0" fillId="0" borderId="32" xfId="59" applyNumberFormat="1" applyFont="1" applyBorder="1" applyAlignment="1">
      <alignment/>
    </xf>
    <xf numFmtId="10" fontId="0" fillId="0" borderId="20" xfId="59" applyNumberFormat="1" applyFont="1" applyBorder="1" applyAlignment="1">
      <alignment/>
    </xf>
    <xf numFmtId="165" fontId="88" fillId="7" borderId="15" xfId="0" applyNumberFormat="1" applyFont="1" applyFill="1" applyBorder="1" applyAlignment="1">
      <alignment horizontal="center"/>
    </xf>
    <xf numFmtId="0" fontId="84" fillId="7" borderId="15" xfId="0" applyFont="1" applyFill="1" applyBorder="1" applyAlignment="1">
      <alignment horizontal="center"/>
    </xf>
    <xf numFmtId="0" fontId="84" fillId="7" borderId="17" xfId="0" applyFont="1" applyFill="1" applyBorder="1" applyAlignment="1">
      <alignment horizontal="center"/>
    </xf>
    <xf numFmtId="0" fontId="82" fillId="7" borderId="18" xfId="0" applyFont="1" applyFill="1" applyBorder="1" applyAlignment="1">
      <alignment horizontal="right"/>
    </xf>
    <xf numFmtId="0" fontId="82" fillId="7" borderId="15" xfId="0" applyFont="1" applyFill="1" applyBorder="1" applyAlignment="1">
      <alignment horizontal="right"/>
    </xf>
    <xf numFmtId="166" fontId="89" fillId="7" borderId="17" xfId="0" applyNumberFormat="1" applyFont="1" applyFill="1" applyBorder="1" applyAlignment="1">
      <alignment horizontal="right"/>
    </xf>
    <xf numFmtId="0" fontId="49" fillId="7" borderId="0" xfId="0" applyFont="1" applyFill="1" applyBorder="1" applyAlignment="1">
      <alignment horizontal="right"/>
    </xf>
    <xf numFmtId="164" fontId="81" fillId="7" borderId="16" xfId="0" applyNumberFormat="1" applyFont="1" applyFill="1" applyBorder="1" applyAlignment="1">
      <alignment horizontal="center" vertical="center" wrapText="1"/>
    </xf>
    <xf numFmtId="3" fontId="0" fillId="7" borderId="18" xfId="0" applyNumberFormat="1" applyFill="1" applyBorder="1" applyAlignment="1">
      <alignment horizontal="right"/>
    </xf>
    <xf numFmtId="166" fontId="0" fillId="7" borderId="15" xfId="42" applyNumberFormat="1" applyFont="1" applyFill="1" applyBorder="1" applyAlignment="1">
      <alignment horizontal="right"/>
    </xf>
    <xf numFmtId="43" fontId="0" fillId="7" borderId="15" xfId="42" applyFont="1" applyFill="1" applyBorder="1" applyAlignment="1">
      <alignment horizontal="right"/>
    </xf>
    <xf numFmtId="10" fontId="0" fillId="7" borderId="15" xfId="59" applyNumberFormat="1" applyFont="1" applyFill="1" applyBorder="1" applyAlignment="1">
      <alignment horizontal="right"/>
    </xf>
    <xf numFmtId="43" fontId="0" fillId="7" borderId="17" xfId="42" applyFont="1" applyFill="1" applyBorder="1" applyAlignment="1">
      <alignment horizontal="right"/>
    </xf>
    <xf numFmtId="166" fontId="0" fillId="7" borderId="21" xfId="42" applyNumberFormat="1" applyFont="1" applyFill="1" applyBorder="1" applyAlignment="1">
      <alignment horizontal="right"/>
    </xf>
    <xf numFmtId="168" fontId="0" fillId="7" borderId="15" xfId="42" applyNumberFormat="1" applyFont="1" applyFill="1" applyBorder="1" applyAlignment="1">
      <alignment horizontal="right"/>
    </xf>
    <xf numFmtId="166" fontId="0" fillId="7" borderId="17" xfId="42" applyNumberFormat="1" applyFont="1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43" fontId="96" fillId="7" borderId="15" xfId="42" applyFont="1" applyFill="1" applyBorder="1" applyAlignment="1">
      <alignment horizontal="right"/>
    </xf>
    <xf numFmtId="43" fontId="96" fillId="7" borderId="17" xfId="42" applyFont="1" applyFill="1" applyBorder="1" applyAlignment="1">
      <alignment horizontal="right"/>
    </xf>
    <xf numFmtId="3" fontId="0" fillId="7" borderId="15" xfId="0" applyNumberFormat="1" applyFill="1" applyBorder="1" applyAlignment="1">
      <alignment horizontal="right"/>
    </xf>
    <xf numFmtId="166" fontId="0" fillId="7" borderId="22" xfId="42" applyNumberFormat="1" applyFont="1" applyFill="1" applyBorder="1" applyAlignment="1">
      <alignment horizontal="right"/>
    </xf>
    <xf numFmtId="10" fontId="0" fillId="7" borderId="17" xfId="59" applyNumberFormat="1" applyFont="1" applyFill="1" applyBorder="1" applyAlignment="1">
      <alignment horizontal="right"/>
    </xf>
    <xf numFmtId="5" fontId="0" fillId="7" borderId="15" xfId="42" applyNumberFormat="1" applyFont="1" applyFill="1" applyBorder="1" applyAlignment="1">
      <alignment horizontal="right"/>
    </xf>
    <xf numFmtId="7" fontId="0" fillId="7" borderId="15" xfId="44" applyNumberFormat="1" applyFont="1" applyFill="1" applyBorder="1" applyAlignment="1">
      <alignment horizontal="right"/>
    </xf>
    <xf numFmtId="10" fontId="0" fillId="7" borderId="21" xfId="59" applyNumberFormat="1" applyFont="1" applyFill="1" applyBorder="1" applyAlignment="1">
      <alignment horizontal="right"/>
    </xf>
    <xf numFmtId="7" fontId="96" fillId="7" borderId="15" xfId="42" applyNumberFormat="1" applyFont="1" applyFill="1" applyBorder="1" applyAlignment="1">
      <alignment horizontal="right"/>
    </xf>
    <xf numFmtId="0" fontId="0" fillId="7" borderId="15" xfId="0" applyFont="1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10" fontId="92" fillId="7" borderId="0" xfId="59" applyNumberFormat="1" applyFont="1" applyFill="1" applyBorder="1" applyAlignment="1">
      <alignment horizontal="right"/>
    </xf>
    <xf numFmtId="176" fontId="92" fillId="7" borderId="0" xfId="0" applyNumberFormat="1" applyFont="1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166" fontId="45" fillId="7" borderId="17" xfId="42" applyNumberFormat="1" applyFont="1" applyFill="1" applyBorder="1" applyAlignment="1">
      <alignment horizontal="right"/>
    </xf>
    <xf numFmtId="0" fontId="48" fillId="7" borderId="0" xfId="0" applyFont="1" applyFill="1" applyBorder="1" applyAlignment="1">
      <alignment horizontal="right"/>
    </xf>
    <xf numFmtId="166" fontId="45" fillId="32" borderId="17" xfId="42" applyNumberFormat="1" applyFont="1" applyFill="1" applyBorder="1" applyAlignment="1">
      <alignment horizontal="right"/>
    </xf>
    <xf numFmtId="43" fontId="86" fillId="0" borderId="15" xfId="42" applyFont="1" applyBorder="1" applyAlignment="1">
      <alignment horizontal="right"/>
    </xf>
    <xf numFmtId="168" fontId="45" fillId="35" borderId="15" xfId="42" applyNumberFormat="1" applyFont="1" applyFill="1" applyBorder="1" applyAlignment="1">
      <alignment horizontal="center"/>
    </xf>
    <xf numFmtId="176" fontId="92" fillId="0" borderId="17" xfId="0" applyNumberFormat="1" applyFont="1" applyFill="1" applyBorder="1" applyAlignment="1">
      <alignment/>
    </xf>
    <xf numFmtId="38" fontId="0" fillId="0" borderId="32" xfId="42" applyNumberFormat="1" applyFont="1" applyBorder="1" applyAlignment="1">
      <alignment/>
    </xf>
    <xf numFmtId="10" fontId="92" fillId="33" borderId="33" xfId="59" applyNumberFormat="1" applyFont="1" applyFill="1" applyBorder="1" applyAlignment="1">
      <alignment/>
    </xf>
    <xf numFmtId="176" fontId="92" fillId="33" borderId="34" xfId="0" applyNumberFormat="1" applyFont="1" applyFill="1" applyBorder="1" applyAlignment="1">
      <alignment/>
    </xf>
    <xf numFmtId="176" fontId="92" fillId="32" borderId="17" xfId="0" applyNumberFormat="1" applyFont="1" applyFill="1" applyBorder="1" applyAlignment="1">
      <alignment horizontal="right"/>
    </xf>
    <xf numFmtId="166" fontId="84" fillId="0" borderId="17" xfId="0" applyNumberFormat="1" applyFont="1" applyFill="1" applyBorder="1" applyAlignment="1">
      <alignment horizontal="center"/>
    </xf>
    <xf numFmtId="167" fontId="0" fillId="32" borderId="17" xfId="59" applyNumberFormat="1" applyFont="1" applyFill="1" applyBorder="1" applyAlignment="1">
      <alignment horizontal="right"/>
    </xf>
    <xf numFmtId="0" fontId="102" fillId="0" borderId="18" xfId="0" applyFont="1" applyFill="1" applyBorder="1" applyAlignment="1">
      <alignment horizontal="right"/>
    </xf>
    <xf numFmtId="0" fontId="102" fillId="0" borderId="15" xfId="0" applyFont="1" applyFill="1" applyBorder="1" applyAlignment="1">
      <alignment horizontal="right"/>
    </xf>
    <xf numFmtId="10" fontId="0" fillId="33" borderId="15" xfId="0" applyNumberFormat="1" applyFill="1" applyBorder="1" applyAlignment="1">
      <alignment horizontal="right"/>
    </xf>
    <xf numFmtId="6" fontId="0" fillId="0" borderId="14" xfId="42" applyNumberFormat="1" applyFont="1" applyBorder="1" applyAlignment="1">
      <alignment/>
    </xf>
    <xf numFmtId="6" fontId="96" fillId="0" borderId="14" xfId="42" applyNumberFormat="1" applyFont="1" applyBorder="1" applyAlignment="1">
      <alignment/>
    </xf>
    <xf numFmtId="6" fontId="0" fillId="0" borderId="35" xfId="0" applyNumberFormat="1" applyBorder="1" applyAlignment="1">
      <alignment/>
    </xf>
    <xf numFmtId="10" fontId="45" fillId="33" borderId="15" xfId="59" applyNumberFormat="1" applyFont="1" applyFill="1" applyBorder="1" applyAlignment="1">
      <alignment/>
    </xf>
    <xf numFmtId="10" fontId="45" fillId="33" borderId="17" xfId="59" applyNumberFormat="1" applyFont="1" applyFill="1" applyBorder="1" applyAlignment="1">
      <alignment/>
    </xf>
    <xf numFmtId="166" fontId="45" fillId="33" borderId="15" xfId="42" applyNumberFormat="1" applyFont="1" applyFill="1" applyBorder="1" applyAlignment="1">
      <alignment horizontal="right"/>
    </xf>
    <xf numFmtId="10" fontId="92" fillId="0" borderId="14" xfId="59" applyNumberFormat="1" applyFont="1" applyBorder="1" applyAlignment="1">
      <alignment/>
    </xf>
    <xf numFmtId="176" fontId="92" fillId="0" borderId="12" xfId="0" applyNumberFormat="1" applyFont="1" applyFill="1" applyBorder="1" applyAlignment="1">
      <alignment/>
    </xf>
    <xf numFmtId="167" fontId="86" fillId="0" borderId="17" xfId="59" applyNumberFormat="1" applyFont="1" applyFill="1" applyBorder="1" applyAlignment="1">
      <alignment/>
    </xf>
    <xf numFmtId="166" fontId="102" fillId="0" borderId="18" xfId="42" applyNumberFormat="1" applyFont="1" applyFill="1" applyBorder="1" applyAlignment="1">
      <alignment horizontal="right"/>
    </xf>
    <xf numFmtId="166" fontId="102" fillId="0" borderId="15" xfId="42" applyNumberFormat="1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40" fontId="81" fillId="0" borderId="36" xfId="0" applyNumberFormat="1" applyFont="1" applyBorder="1" applyAlignment="1">
      <alignment horizontal="center" vertical="center" wrapText="1"/>
    </xf>
    <xf numFmtId="40" fontId="81" fillId="0" borderId="37" xfId="0" applyNumberFormat="1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left"/>
    </xf>
    <xf numFmtId="0" fontId="54" fillId="0" borderId="37" xfId="0" applyFont="1" applyBorder="1" applyAlignment="1">
      <alignment horizontal="left"/>
    </xf>
    <xf numFmtId="0" fontId="103" fillId="34" borderId="38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96" fillId="0" borderId="10" xfId="0" applyFont="1" applyBorder="1" applyAlignment="1">
      <alignment horizontal="left"/>
    </xf>
    <xf numFmtId="0" fontId="96" fillId="0" borderId="25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0" fontId="96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24" xfId="0" applyBorder="1" applyAlignment="1">
      <alignment horizontal="left" indent="2"/>
    </xf>
    <xf numFmtId="0" fontId="0" fillId="0" borderId="19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65" fontId="104" fillId="12" borderId="0" xfId="0" applyNumberFormat="1" applyFont="1" applyFill="1" applyAlignment="1" quotePrefix="1">
      <alignment horizontal="center"/>
    </xf>
    <xf numFmtId="10" fontId="0" fillId="0" borderId="0" xfId="59" applyNumberFormat="1" applyFont="1" applyBorder="1" applyAlignment="1">
      <alignment horizontal="left"/>
    </xf>
    <xf numFmtId="10" fontId="0" fillId="0" borderId="24" xfId="59" applyNumberFormat="1" applyFont="1" applyBorder="1" applyAlignment="1">
      <alignment horizontal="left"/>
    </xf>
    <xf numFmtId="10" fontId="0" fillId="0" borderId="20" xfId="59" applyNumberFormat="1" applyFont="1" applyBorder="1" applyAlignment="1">
      <alignment horizontal="left"/>
    </xf>
    <xf numFmtId="10" fontId="0" fillId="0" borderId="39" xfId="59" applyNumberFormat="1" applyFont="1" applyBorder="1" applyAlignment="1">
      <alignment horizontal="left"/>
    </xf>
    <xf numFmtId="165" fontId="91" fillId="12" borderId="0" xfId="0" applyNumberFormat="1" applyFont="1" applyFill="1" applyAlignment="1" quotePrefix="1">
      <alignment horizontal="center"/>
    </xf>
    <xf numFmtId="0" fontId="0" fillId="0" borderId="20" xfId="0" applyBorder="1" applyAlignment="1">
      <alignment horizontal="left" indent="2"/>
    </xf>
    <xf numFmtId="0" fontId="0" fillId="0" borderId="39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24" xfId="0" applyFill="1" applyBorder="1" applyAlignment="1">
      <alignment horizontal="left" indent="2"/>
    </xf>
    <xf numFmtId="10" fontId="0" fillId="0" borderId="10" xfId="59" applyNumberFormat="1" applyFont="1" applyBorder="1" applyAlignment="1">
      <alignment horizontal="left"/>
    </xf>
    <xf numFmtId="10" fontId="0" fillId="0" borderId="25" xfId="59" applyNumberFormat="1" applyFont="1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105" fillId="0" borderId="36" xfId="0" applyFont="1" applyBorder="1" applyAlignment="1">
      <alignment horizontal="center"/>
    </xf>
    <xf numFmtId="0" fontId="105" fillId="0" borderId="38" xfId="0" applyFont="1" applyBorder="1" applyAlignment="1">
      <alignment horizontal="center"/>
    </xf>
    <xf numFmtId="0" fontId="105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Employees Paid Through OSC ERP</a:t>
            </a:r>
          </a:p>
        </c:rich>
      </c:tx>
      <c:layout>
        <c:manualLayout>
          <c:xMode val="factor"/>
          <c:yMode val="factor"/>
          <c:x val="0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5725"/>
          <c:w val="0.95525"/>
          <c:h val="0.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Data'!$AQ$11:$AV$11</c:f>
              <c:numCache>
                <c:ptCount val="6"/>
                <c:pt idx="0">
                  <c:v>97136.5</c:v>
                </c:pt>
                <c:pt idx="1">
                  <c:v>97004</c:v>
                </c:pt>
                <c:pt idx="2">
                  <c:v>96987</c:v>
                </c:pt>
                <c:pt idx="3">
                  <c:v>96293.33333333333</c:v>
                </c:pt>
                <c:pt idx="4">
                  <c:v>96362</c:v>
                </c:pt>
                <c:pt idx="5">
                  <c:v>95766</c:v>
                </c:pt>
              </c:numCache>
            </c:numRef>
          </c:val>
          <c:smooth val="0"/>
        </c:ser>
        <c:marker val="1"/>
        <c:axId val="66703860"/>
        <c:axId val="63463829"/>
      </c:lineChart>
      <c:dateAx>
        <c:axId val="6670386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638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463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At val="1"/>
        <c:crossBetween val="between"/>
        <c:dispUnits/>
        <c:majorUnit val="20000"/>
      </c:valAx>
      <c:spPr>
        <a:solidFill>
          <a:srgbClr val="E6E0E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OSC ERP Call Center Volumes</a:t>
            </a:r>
          </a:p>
        </c:rich>
      </c:tx>
      <c:layout>
        <c:manualLayout>
          <c:xMode val="factor"/>
          <c:yMode val="factor"/>
          <c:x val="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75"/>
          <c:w val="0.985"/>
          <c:h val="0.9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Data'!$AQ$13:$AV$13</c:f>
              <c:numCache>
                <c:ptCount val="6"/>
                <c:pt idx="0">
                  <c:v>6036</c:v>
                </c:pt>
                <c:pt idx="1">
                  <c:v>5251</c:v>
                </c:pt>
                <c:pt idx="2">
                  <c:v>5387</c:v>
                </c:pt>
                <c:pt idx="3">
                  <c:v>5197</c:v>
                </c:pt>
                <c:pt idx="4">
                  <c:v>4598</c:v>
                </c:pt>
                <c:pt idx="5">
                  <c:v>4480</c:v>
                </c:pt>
              </c:numCache>
            </c:numRef>
          </c:val>
          <c:smooth val="0"/>
        </c:ser>
        <c:marker val="1"/>
        <c:axId val="34303550"/>
        <c:axId val="40296495"/>
      </c:lineChart>
      <c:dateAx>
        <c:axId val="3430355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964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296495"/>
        <c:scaling>
          <c:orientation val="minMax"/>
          <c:min val="2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At val="1"/>
        <c:crossBetween val="between"/>
        <c:dispUnits/>
        <c:minorUnit val="1000"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OSC ERP Call Center Tickets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45"/>
          <c:w val="0.97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Data'!$AP$22</c:f>
              <c:strCache>
                <c:ptCount val="1"/>
                <c:pt idx="0">
                  <c:v>New Tickets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Data'!$AQ$22:$AV$22</c:f>
              <c:numCache>
                <c:ptCount val="6"/>
                <c:pt idx="0">
                  <c:v>8585</c:v>
                </c:pt>
                <c:pt idx="1">
                  <c:v>8315</c:v>
                </c:pt>
                <c:pt idx="2">
                  <c:v>8154</c:v>
                </c:pt>
                <c:pt idx="3">
                  <c:v>7787</c:v>
                </c:pt>
                <c:pt idx="4">
                  <c:v>7093</c:v>
                </c:pt>
                <c:pt idx="5">
                  <c:v>6710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Data'!$AP$28</c:f>
              <c:strCache>
                <c:ptCount val="1"/>
                <c:pt idx="0">
                  <c:v>Resolved Tickets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Data'!$AQ$28:$AV$28</c:f>
              <c:numCache>
                <c:ptCount val="6"/>
                <c:pt idx="0">
                  <c:v>9181</c:v>
                </c:pt>
                <c:pt idx="1">
                  <c:v>8296</c:v>
                </c:pt>
                <c:pt idx="2">
                  <c:v>8747</c:v>
                </c:pt>
                <c:pt idx="3">
                  <c:v>7873</c:v>
                </c:pt>
                <c:pt idx="4">
                  <c:v>7182</c:v>
                </c:pt>
                <c:pt idx="5">
                  <c:v>6898</c:v>
                </c:pt>
              </c:numCache>
            </c:numRef>
          </c:val>
          <c:smooth val="0"/>
        </c:ser>
        <c:marker val="1"/>
        <c:axId val="27124136"/>
        <c:axId val="42790633"/>
      </c:lineChart>
      <c:dateAx>
        <c:axId val="2712413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9063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2790633"/>
        <c:scaling>
          <c:orientation val="minMax"/>
          <c:min val="6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2413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25"/>
          <c:y val="0.95975"/>
          <c:w val="0.2405"/>
          <c:h val="0.026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Payrolls Processed</a:t>
            </a:r>
          </a:p>
        </c:rich>
      </c:tx>
      <c:layout>
        <c:manualLayout>
          <c:xMode val="factor"/>
          <c:yMode val="factor"/>
          <c:x val="0.004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57"/>
          <c:w val="0.955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Data'!$AP$36</c:f>
              <c:strCache>
                <c:ptCount val="1"/>
                <c:pt idx="0">
                  <c:v>Bi Weekly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Data'!$AQ$36:$AV$36</c:f>
              <c:numCache>
                <c:ptCount val="6"/>
                <c:pt idx="0">
                  <c:v>59887</c:v>
                </c:pt>
                <c:pt idx="1">
                  <c:v>59690</c:v>
                </c:pt>
                <c:pt idx="2">
                  <c:v>59698</c:v>
                </c:pt>
                <c:pt idx="3">
                  <c:v>87946</c:v>
                </c:pt>
                <c:pt idx="4">
                  <c:v>58458</c:v>
                </c:pt>
                <c:pt idx="5">
                  <c:v>58198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Data'!$AP$37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Data'!$AQ$37:$AV$37</c:f>
              <c:numCache>
                <c:ptCount val="6"/>
                <c:pt idx="0">
                  <c:v>67193</c:v>
                </c:pt>
                <c:pt idx="1">
                  <c:v>67159</c:v>
                </c:pt>
                <c:pt idx="2">
                  <c:v>67138</c:v>
                </c:pt>
                <c:pt idx="3">
                  <c:v>66978</c:v>
                </c:pt>
                <c:pt idx="4">
                  <c:v>67133</c:v>
                </c:pt>
                <c:pt idx="5">
                  <c:v>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Data'!$AP$38</c:f>
              <c:strCache>
                <c:ptCount val="1"/>
                <c:pt idx="0">
                  <c:v>Total Payrolls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Data'!$AQ$38:$AV$38</c:f>
              <c:numCache>
                <c:ptCount val="6"/>
                <c:pt idx="0">
                  <c:v>127080</c:v>
                </c:pt>
                <c:pt idx="1">
                  <c:v>126849</c:v>
                </c:pt>
                <c:pt idx="2">
                  <c:v>126836</c:v>
                </c:pt>
                <c:pt idx="3">
                  <c:v>154924</c:v>
                </c:pt>
                <c:pt idx="4">
                  <c:v>125591</c:v>
                </c:pt>
                <c:pt idx="5">
                  <c:v>124865</c:v>
                </c:pt>
              </c:numCache>
            </c:numRef>
          </c:val>
          <c:smooth val="0"/>
        </c:ser>
        <c:marker val="1"/>
        <c:axId val="49571378"/>
        <c:axId val="43489219"/>
      </c:lineChart>
      <c:dateAx>
        <c:axId val="4957137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8921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13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5"/>
          <c:y val="0.96"/>
          <c:w val="0.29725"/>
          <c:h val="0.026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Total ERP Cost Per Employee Paid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5975"/>
          <c:w val="0.9472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Data'!$AP$45</c:f>
              <c:strCache>
                <c:ptCount val="1"/>
                <c:pt idx="0">
                  <c:v> Cost Per Employee Paid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\$#,##0.00_);[Red]\(\$#,##0.00\)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Data'!$AQ$45:$AV$45</c:f>
              <c:numCache>
                <c:ptCount val="6"/>
                <c:pt idx="0">
                  <c:v>8.870377252629032</c:v>
                </c:pt>
                <c:pt idx="1">
                  <c:v>9.030758319244567</c:v>
                </c:pt>
                <c:pt idx="2">
                  <c:v>9.500167754441318</c:v>
                </c:pt>
                <c:pt idx="3">
                  <c:v>12.538355649404595</c:v>
                </c:pt>
                <c:pt idx="4">
                  <c:v>7.367387551655771</c:v>
                </c:pt>
                <c:pt idx="5">
                  <c:v>10.517621591318623</c:v>
                </c:pt>
              </c:numCache>
            </c:numRef>
          </c:val>
          <c:smooth val="0"/>
        </c:ser>
        <c:marker val="1"/>
        <c:axId val="55858652"/>
        <c:axId val="32965821"/>
      </c:lineChart>
      <c:dateAx>
        <c:axId val="5585865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6582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2965821"/>
        <c:scaling>
          <c:orientation val="minMax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8652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ERP System Availability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5"/>
          <c:w val="0.968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Data'!$AP$62</c:f>
              <c:strCache>
                <c:ptCount val="1"/>
                <c:pt idx="0">
                  <c:v>ERP Up Time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Data'!$AQ$62:$AV$62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0.9962</c:v>
                </c:pt>
                <c:pt idx="3">
                  <c:v>0.996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Data'!$AP$63</c:f>
              <c:strCache>
                <c:ptCount val="1"/>
                <c:pt idx="0">
                  <c:v>ERP Down 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Data'!$AQ$63:$AV$63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0.0038</c:v>
                </c:pt>
                <c:pt idx="3">
                  <c:v>0.004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8256934"/>
        <c:axId val="52985815"/>
      </c:lineChart>
      <c:dateAx>
        <c:axId val="2825693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8581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6934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95"/>
          <c:y val="0.9635"/>
          <c:w val="0.20225"/>
          <c:h val="0.024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 System Availability</a:t>
            </a:r>
          </a:p>
        </c:rich>
      </c:tx>
      <c:layout>
        <c:manualLayout>
          <c:xMode val="factor"/>
          <c:yMode val="factor"/>
          <c:x val="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5"/>
          <c:w val="0.968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Data'!$AP$64</c:f>
              <c:strCache>
                <c:ptCount val="1"/>
                <c:pt idx="0">
                  <c:v>BI Up Time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Data'!$AQ$64:$AV$64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0.9962</c:v>
                </c:pt>
                <c:pt idx="3">
                  <c:v>0.996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Data'!$AP$65</c:f>
              <c:strCache>
                <c:ptCount val="1"/>
                <c:pt idx="0">
                  <c:v>BI Down 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Data'!$AQ$10:$AV$10</c:f>
              <c:strCache>
                <c:ptCount val="6"/>
                <c:pt idx="0">
                  <c:v>39933</c:v>
                </c:pt>
                <c:pt idx="1">
                  <c:v>39964</c:v>
                </c:pt>
                <c:pt idx="2">
                  <c:v>39994</c:v>
                </c:pt>
                <c:pt idx="3">
                  <c:v>40025</c:v>
                </c:pt>
                <c:pt idx="4">
                  <c:v>40056</c:v>
                </c:pt>
                <c:pt idx="5">
                  <c:v>40086</c:v>
                </c:pt>
              </c:strCache>
            </c:strRef>
          </c:cat>
          <c:val>
            <c:numRef>
              <c:f>'Summary Data'!$AQ$65:$AV$65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0.0038</c:v>
                </c:pt>
                <c:pt idx="3">
                  <c:v>0.004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7110288"/>
        <c:axId val="63992593"/>
      </c:lineChart>
      <c:dateAx>
        <c:axId val="711028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9259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0288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65"/>
          <c:y val="0.9635"/>
          <c:w val="0.186"/>
          <c:h val="0.024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17" right="0.18" top="0.25" bottom="0.26" header="0.3" footer="0.22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5" right="0.34" top="0.34" bottom="0.34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4" right="0.33" top="0.33" bottom="0.3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3" right="0.34" top="0.33" bottom="0.34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42" right="0.45" top="0.45" bottom="0.38" header="0.3" footer="0.3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3" right="0.33" top="0.34" bottom="0.34" header="0.3" footer="0.3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3" right="0.33" top="0.34" bottom="0.34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7296150"/>
    <xdr:graphicFrame>
      <xdr:nvGraphicFramePr>
        <xdr:cNvPr id="1" name="Shape 1025"/>
        <xdr:cNvGraphicFramePr/>
      </xdr:nvGraphicFramePr>
      <xdr:xfrm>
        <a:off x="0" y="0"/>
        <a:ext cx="97059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7086600"/>
    <xdr:graphicFrame>
      <xdr:nvGraphicFramePr>
        <xdr:cNvPr id="1" name="Shape 1025"/>
        <xdr:cNvGraphicFramePr/>
      </xdr:nvGraphicFramePr>
      <xdr:xfrm>
        <a:off x="0" y="0"/>
        <a:ext cx="93821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7134225"/>
    <xdr:graphicFrame>
      <xdr:nvGraphicFramePr>
        <xdr:cNvPr id="1" name="Shape 1025"/>
        <xdr:cNvGraphicFramePr/>
      </xdr:nvGraphicFramePr>
      <xdr:xfrm>
        <a:off x="0" y="0"/>
        <a:ext cx="93440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7143750"/>
    <xdr:graphicFrame>
      <xdr:nvGraphicFramePr>
        <xdr:cNvPr id="1" name="Shape 1025"/>
        <xdr:cNvGraphicFramePr/>
      </xdr:nvGraphicFramePr>
      <xdr:xfrm>
        <a:off x="0" y="0"/>
        <a:ext cx="93535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53525" cy="6838950"/>
    <xdr:graphicFrame>
      <xdr:nvGraphicFramePr>
        <xdr:cNvPr id="1" name="Shape 1025"/>
        <xdr:cNvGraphicFramePr/>
      </xdr:nvGraphicFramePr>
      <xdr:xfrm>
        <a:off x="0" y="0"/>
        <a:ext cx="91535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7086600"/>
    <xdr:graphicFrame>
      <xdr:nvGraphicFramePr>
        <xdr:cNvPr id="1" name="Shape 1025"/>
        <xdr:cNvGraphicFramePr/>
      </xdr:nvGraphicFramePr>
      <xdr:xfrm>
        <a:off x="0" y="0"/>
        <a:ext cx="93726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7086600"/>
    <xdr:graphicFrame>
      <xdr:nvGraphicFramePr>
        <xdr:cNvPr id="1" name="Shape 1025"/>
        <xdr:cNvGraphicFramePr/>
      </xdr:nvGraphicFramePr>
      <xdr:xfrm>
        <a:off x="0" y="0"/>
        <a:ext cx="93726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4"/>
  <sheetViews>
    <sheetView tabSelected="1" zoomScalePageLayoutView="0" workbookViewId="0" topLeftCell="A1">
      <pane xSplit="7" ySplit="10" topLeftCell="W11" activePane="bottomRight" state="frozen"/>
      <selection pane="topLeft" activeCell="A4" sqref="A4"/>
      <selection pane="topRight" activeCell="E4" sqref="E4"/>
      <selection pane="bottomLeft" activeCell="A5" sqref="A5"/>
      <selection pane="bottomRight" activeCell="AA45" activeCellId="5" sqref="AK45 AL45 X45 W45 Z45 AA45"/>
    </sheetView>
  </sheetViews>
  <sheetFormatPr defaultColWidth="9.140625" defaultRowHeight="15" outlineLevelRow="2" outlineLevelCol="1"/>
  <cols>
    <col min="1" max="1" width="4.00390625" style="38" customWidth="1"/>
    <col min="2" max="2" width="2.57421875" style="21" customWidth="1"/>
    <col min="3" max="3" width="2.421875" style="6" customWidth="1"/>
    <col min="4" max="4" width="1.28515625" style="6" customWidth="1"/>
    <col min="5" max="5" width="1.7109375" style="0" customWidth="1"/>
    <col min="6" max="6" width="4.28125" style="0" customWidth="1"/>
    <col min="7" max="7" width="25.00390625" style="0" customWidth="1"/>
    <col min="8" max="10" width="11.421875" style="28" hidden="1" customWidth="1"/>
    <col min="11" max="11" width="11.421875" style="28" hidden="1" customWidth="1" outlineLevel="1"/>
    <col min="12" max="12" width="11.421875" style="36" hidden="1" customWidth="1" outlineLevel="1"/>
    <col min="13" max="13" width="11.421875" style="28" hidden="1" customWidth="1" outlineLevel="1"/>
    <col min="14" max="14" width="11.421875" style="36" hidden="1" customWidth="1" outlineLevel="1"/>
    <col min="15" max="15" width="11.421875" style="28" hidden="1" customWidth="1" outlineLevel="1"/>
    <col min="16" max="16" width="11.421875" style="36" hidden="1" customWidth="1" outlineLevel="1"/>
    <col min="17" max="17" width="11.421875" style="28" hidden="1" customWidth="1" outlineLevel="1"/>
    <col min="18" max="18" width="11.421875" style="36" hidden="1" customWidth="1" outlineLevel="1"/>
    <col min="19" max="19" width="11.421875" style="28" hidden="1" customWidth="1" outlineLevel="1"/>
    <col min="20" max="20" width="11.421875" style="36" hidden="1" customWidth="1" outlineLevel="1"/>
    <col min="21" max="21" width="11.421875" style="28" hidden="1" customWidth="1" outlineLevel="1"/>
    <col min="22" max="22" width="11.421875" style="36" hidden="1" customWidth="1" outlineLevel="1"/>
    <col min="23" max="23" width="11.421875" style="55" customWidth="1" collapsed="1"/>
    <col min="24" max="24" width="11.421875" style="55" customWidth="1"/>
    <col min="25" max="25" width="11.421875" style="28" hidden="1" customWidth="1" outlineLevel="1"/>
    <col min="26" max="26" width="11.421875" style="36" customWidth="1" collapsed="1"/>
    <col min="27" max="27" width="11.421875" style="28" customWidth="1"/>
    <col min="28" max="28" width="11.421875" style="36" hidden="1" customWidth="1" outlineLevel="1"/>
    <col min="29" max="29" width="11.421875" style="28" hidden="1" customWidth="1" outlineLevel="1"/>
    <col min="30" max="30" width="11.421875" style="36" hidden="1" customWidth="1" outlineLevel="1"/>
    <col min="31" max="31" width="11.421875" style="28" hidden="1" customWidth="1" outlineLevel="1"/>
    <col min="32" max="32" width="11.421875" style="36" hidden="1" customWidth="1" outlineLevel="1"/>
    <col min="33" max="33" width="11.421875" style="28" hidden="1" customWidth="1" outlineLevel="1"/>
    <col min="34" max="34" width="11.421875" style="36" hidden="1" customWidth="1" outlineLevel="1"/>
    <col min="35" max="35" width="11.421875" style="28" hidden="1" customWidth="1" outlineLevel="1"/>
    <col min="36" max="36" width="11.421875" style="36" hidden="1" customWidth="1" outlineLevel="1"/>
    <col min="37" max="37" width="11.421875" style="55" customWidth="1" collapsed="1"/>
    <col min="38" max="38" width="11.421875" style="55" customWidth="1"/>
    <col min="39" max="39" width="10.421875" style="0" customWidth="1"/>
    <col min="41" max="41" width="53.00390625" style="0" customWidth="1"/>
    <col min="43" max="57" width="11.421875" style="345" customWidth="1"/>
  </cols>
  <sheetData>
    <row r="1" spans="1:57" s="61" customFormat="1" ht="14.25" customHeight="1" hidden="1" outlineLevel="2" thickBot="1">
      <c r="A1" s="60"/>
      <c r="G1" s="61">
        <v>39873</v>
      </c>
      <c r="H1" s="62">
        <f>DATE(YEAR(G1),MONTH(G1)+1,1)</f>
        <v>39904</v>
      </c>
      <c r="I1" s="62">
        <f>DATE(YEAR(H1),MONTH(H1)+1,1)</f>
        <v>39934</v>
      </c>
      <c r="J1" s="62">
        <f>DATE(YEAR(I1),MONTH(I1)+1,1)</f>
        <v>39965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90"/>
      <c r="X1" s="90"/>
      <c r="Y1" s="62">
        <f>DATE(YEAR(J1),MONTH(J1)+1,1)</f>
        <v>39995</v>
      </c>
      <c r="Z1" s="62">
        <f aca="true" t="shared" si="0" ref="Z1:AJ1">DATE(YEAR(Y1),MONTH(Y1)+1,1)</f>
        <v>40026</v>
      </c>
      <c r="AA1" s="62">
        <f t="shared" si="0"/>
        <v>40057</v>
      </c>
      <c r="AB1" s="62">
        <f t="shared" si="0"/>
        <v>40087</v>
      </c>
      <c r="AC1" s="62">
        <f t="shared" si="0"/>
        <v>40118</v>
      </c>
      <c r="AD1" s="62">
        <f t="shared" si="0"/>
        <v>40148</v>
      </c>
      <c r="AE1" s="62">
        <f t="shared" si="0"/>
        <v>40179</v>
      </c>
      <c r="AF1" s="62">
        <f t="shared" si="0"/>
        <v>40210</v>
      </c>
      <c r="AG1" s="62">
        <f t="shared" si="0"/>
        <v>40238</v>
      </c>
      <c r="AH1" s="62">
        <f t="shared" si="0"/>
        <v>40269</v>
      </c>
      <c r="AI1" s="62">
        <f t="shared" si="0"/>
        <v>40299</v>
      </c>
      <c r="AJ1" s="62">
        <f t="shared" si="0"/>
        <v>40330</v>
      </c>
      <c r="AK1" s="90"/>
      <c r="AL1" s="90"/>
      <c r="AM1" s="390" t="s">
        <v>113</v>
      </c>
      <c r="AN1" s="391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</row>
    <row r="2" spans="1:57" s="61" customFormat="1" ht="12.75" customHeight="1" hidden="1" outlineLevel="2">
      <c r="A2" s="60"/>
      <c r="G2" s="61">
        <f>DATE(YEAR(G1),MONTH(G1)+1,1)</f>
        <v>39904</v>
      </c>
      <c r="H2" s="62">
        <f>DATE(YEAR(H1),MONTH(H1)+1,1)</f>
        <v>39934</v>
      </c>
      <c r="I2" s="62">
        <f>DATE(YEAR(I1),MONTH(I1)+1,1)</f>
        <v>39965</v>
      </c>
      <c r="J2" s="62">
        <f>DATE(YEAR(J1),MONTH(J1)+1,1)</f>
        <v>39995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90"/>
      <c r="X2" s="90"/>
      <c r="Y2" s="62">
        <f aca="true" t="shared" si="1" ref="Y2:AJ2">DATE(YEAR(Y1),MONTH(Y1)+1,1)</f>
        <v>40026</v>
      </c>
      <c r="Z2" s="62">
        <f>DATE(YEAR(Z1),MONTH(Z1)+1,1)-1</f>
        <v>40056</v>
      </c>
      <c r="AA2" s="62">
        <f>DATE(YEAR(AA1),MONTH(AA1)+1,1)-1</f>
        <v>40086</v>
      </c>
      <c r="AB2" s="62">
        <f t="shared" si="1"/>
        <v>40118</v>
      </c>
      <c r="AC2" s="62">
        <f t="shared" si="1"/>
        <v>40148</v>
      </c>
      <c r="AD2" s="62">
        <f t="shared" si="1"/>
        <v>40179</v>
      </c>
      <c r="AE2" s="62">
        <f t="shared" si="1"/>
        <v>40210</v>
      </c>
      <c r="AF2" s="62">
        <f t="shared" si="1"/>
        <v>40238</v>
      </c>
      <c r="AG2" s="62">
        <f t="shared" si="1"/>
        <v>40269</v>
      </c>
      <c r="AH2" s="62">
        <f t="shared" si="1"/>
        <v>40299</v>
      </c>
      <c r="AI2" s="62">
        <f t="shared" si="1"/>
        <v>40330</v>
      </c>
      <c r="AJ2" s="62">
        <f t="shared" si="1"/>
        <v>40360</v>
      </c>
      <c r="AK2" s="90"/>
      <c r="AL2" s="90"/>
      <c r="AN2" s="319"/>
      <c r="AO2" s="319"/>
      <c r="AP2" s="31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</row>
    <row r="3" spans="1:57" s="57" customFormat="1" ht="13.5" customHeight="1" hidden="1" outlineLevel="2">
      <c r="A3" s="56"/>
      <c r="E3" s="58"/>
      <c r="F3" s="58"/>
      <c r="G3" s="58">
        <f>NETWORKDAYS(G1,G2,$A$72:$A$99)-(1)</f>
        <v>22</v>
      </c>
      <c r="H3" s="59">
        <f>NETWORKDAYS(H1,H2,$A$72:$A$99)-(1)</f>
        <v>21</v>
      </c>
      <c r="I3" s="59">
        <f>NETWORKDAYS(I1,I2,$A$72:$A$99)-(1)</f>
        <v>20</v>
      </c>
      <c r="J3" s="59">
        <f>NETWORKDAYS(J1,J2,$A$72:$A$99)-(1)</f>
        <v>22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91"/>
      <c r="X3" s="91"/>
      <c r="Y3" s="59">
        <f aca="true" t="shared" si="2" ref="Y3:AJ3">NETWORKDAYS(Y1,Y2,$A$76:$A$99)</f>
        <v>22</v>
      </c>
      <c r="Z3" s="59">
        <f t="shared" si="2"/>
        <v>21</v>
      </c>
      <c r="AA3" s="59">
        <f t="shared" si="2"/>
        <v>21</v>
      </c>
      <c r="AB3" s="59">
        <f t="shared" si="2"/>
        <v>22</v>
      </c>
      <c r="AC3" s="59">
        <f t="shared" si="2"/>
        <v>19</v>
      </c>
      <c r="AD3" s="59">
        <f t="shared" si="2"/>
        <v>22</v>
      </c>
      <c r="AE3" s="59">
        <f t="shared" si="2"/>
        <v>20</v>
      </c>
      <c r="AF3" s="59">
        <f t="shared" si="2"/>
        <v>20</v>
      </c>
      <c r="AG3" s="59">
        <f t="shared" si="2"/>
        <v>24</v>
      </c>
      <c r="AH3" s="59">
        <f t="shared" si="2"/>
        <v>22</v>
      </c>
      <c r="AI3" s="59">
        <f t="shared" si="2"/>
        <v>21</v>
      </c>
      <c r="AJ3" s="59">
        <f t="shared" si="2"/>
        <v>23</v>
      </c>
      <c r="AK3" s="91"/>
      <c r="AL3" s="91"/>
      <c r="AN3" s="319"/>
      <c r="AO3" s="319"/>
      <c r="AP3" s="319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</row>
    <row r="4" spans="1:57" s="64" customFormat="1" ht="13.5" customHeight="1" hidden="1" outlineLevel="2" thickBot="1">
      <c r="A4" s="63"/>
      <c r="E4" s="65"/>
      <c r="F4" s="65"/>
      <c r="G4" s="65"/>
      <c r="H4" s="66">
        <f>IF(H11&gt;0,1,)</f>
        <v>1</v>
      </c>
      <c r="I4" s="66">
        <f>IF(I11&gt;0,1,)</f>
        <v>1</v>
      </c>
      <c r="J4" s="66">
        <f>IF(J11&gt;0,1,)</f>
        <v>1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92">
        <f>SUM(H4:V4)</f>
        <v>3</v>
      </c>
      <c r="X4" s="92"/>
      <c r="Y4" s="66">
        <f aca="true" t="shared" si="3" ref="Y4:AJ4">IF(Y11&gt;0,1,)</f>
        <v>1</v>
      </c>
      <c r="Z4" s="66">
        <f t="shared" si="3"/>
        <v>1</v>
      </c>
      <c r="AA4" s="66">
        <f t="shared" si="3"/>
        <v>1</v>
      </c>
      <c r="AB4" s="66">
        <f t="shared" si="3"/>
        <v>0</v>
      </c>
      <c r="AC4" s="66">
        <f t="shared" si="3"/>
        <v>0</v>
      </c>
      <c r="AD4" s="66">
        <f t="shared" si="3"/>
        <v>0</v>
      </c>
      <c r="AE4" s="66">
        <f t="shared" si="3"/>
        <v>0</v>
      </c>
      <c r="AF4" s="66">
        <f t="shared" si="3"/>
        <v>0</v>
      </c>
      <c r="AG4" s="66">
        <f t="shared" si="3"/>
        <v>0</v>
      </c>
      <c r="AH4" s="66">
        <f t="shared" si="3"/>
        <v>0</v>
      </c>
      <c r="AI4" s="66">
        <f t="shared" si="3"/>
        <v>0</v>
      </c>
      <c r="AJ4" s="66">
        <f t="shared" si="3"/>
        <v>0</v>
      </c>
      <c r="AK4" s="92">
        <f>SUM(Y4:AJ4)</f>
        <v>3</v>
      </c>
      <c r="AL4" s="370"/>
      <c r="AN4" s="320"/>
      <c r="AO4" s="320"/>
      <c r="AP4" s="320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</row>
    <row r="5" spans="1:57" s="72" customFormat="1" ht="13.5" customHeight="1" hidden="1" outlineLevel="1" collapsed="1">
      <c r="A5" s="67"/>
      <c r="B5" s="68" t="s">
        <v>17</v>
      </c>
      <c r="C5" s="68"/>
      <c r="D5" s="68"/>
      <c r="E5" s="69"/>
      <c r="F5" s="69"/>
      <c r="G5" s="69"/>
      <c r="H5" s="111">
        <f>6+12+60</f>
        <v>78</v>
      </c>
      <c r="I5" s="70">
        <v>50</v>
      </c>
      <c r="J5" s="111">
        <f>46+12+4</f>
        <v>62</v>
      </c>
      <c r="K5" s="70"/>
      <c r="L5" s="111"/>
      <c r="M5" s="70"/>
      <c r="N5" s="111"/>
      <c r="O5" s="70"/>
      <c r="P5" s="111"/>
      <c r="Q5" s="70"/>
      <c r="R5" s="111"/>
      <c r="S5" s="70"/>
      <c r="T5" s="111"/>
      <c r="U5" s="70"/>
      <c r="V5" s="111"/>
      <c r="W5" s="71"/>
      <c r="X5" s="71"/>
      <c r="Y5" s="70">
        <f>23+16</f>
        <v>39</v>
      </c>
      <c r="Z5" s="111">
        <f>27+8</f>
        <v>35</v>
      </c>
      <c r="AA5" s="70">
        <v>150</v>
      </c>
      <c r="AB5" s="111"/>
      <c r="AC5" s="70"/>
      <c r="AD5" s="111"/>
      <c r="AE5" s="70"/>
      <c r="AF5" s="111"/>
      <c r="AG5" s="70"/>
      <c r="AH5" s="111"/>
      <c r="AI5" s="70"/>
      <c r="AJ5" s="111"/>
      <c r="AK5" s="372">
        <f>SUM(Y5:AJ5)</f>
        <v>224</v>
      </c>
      <c r="AL5" s="384">
        <f>SUM(Y5:AJ5)/$AK$4</f>
        <v>74.66666666666667</v>
      </c>
      <c r="AM5" s="243">
        <f>AA5-Z5</f>
        <v>115</v>
      </c>
      <c r="AN5" s="219">
        <f>AM5/Z5</f>
        <v>3.2857142857142856</v>
      </c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</row>
    <row r="6" spans="1:57" s="15" customFormat="1" ht="13.5" customHeight="1" hidden="1" outlineLevel="1">
      <c r="A6" s="40"/>
      <c r="B6" s="73" t="s">
        <v>18</v>
      </c>
      <c r="C6" s="73"/>
      <c r="D6" s="73"/>
      <c r="E6" s="74"/>
      <c r="F6" s="74"/>
      <c r="G6" s="74"/>
      <c r="H6" s="112">
        <v>2938</v>
      </c>
      <c r="I6" s="22">
        <v>2857</v>
      </c>
      <c r="J6" s="112">
        <v>2959</v>
      </c>
      <c r="K6" s="22"/>
      <c r="L6" s="112"/>
      <c r="M6" s="22"/>
      <c r="N6" s="112"/>
      <c r="O6" s="22"/>
      <c r="P6" s="112"/>
      <c r="Q6" s="22"/>
      <c r="R6" s="112"/>
      <c r="S6" s="22"/>
      <c r="T6" s="112"/>
      <c r="U6" s="22"/>
      <c r="V6" s="112"/>
      <c r="W6" s="37"/>
      <c r="X6" s="37"/>
      <c r="Y6" s="22">
        <v>2839</v>
      </c>
      <c r="Z6" s="112">
        <v>2706</v>
      </c>
      <c r="AA6" s="22">
        <v>2478</v>
      </c>
      <c r="AB6" s="112"/>
      <c r="AC6" s="22"/>
      <c r="AD6" s="112"/>
      <c r="AE6" s="22"/>
      <c r="AF6" s="112"/>
      <c r="AG6" s="22"/>
      <c r="AH6" s="112"/>
      <c r="AI6" s="22"/>
      <c r="AJ6" s="112"/>
      <c r="AK6" s="373">
        <f>SUM(Y6:AJ6)</f>
        <v>8023</v>
      </c>
      <c r="AL6" s="385">
        <f>SUM(Y6:AJ6)/$AK$4</f>
        <v>2674.3333333333335</v>
      </c>
      <c r="AM6" s="243">
        <f>AA6-Z6</f>
        <v>-228</v>
      </c>
      <c r="AN6" s="219">
        <f>AM6/Z6</f>
        <v>-0.08425720620842572</v>
      </c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</row>
    <row r="7" spans="1:57" s="15" customFormat="1" ht="13.5" customHeight="1" hidden="1" outlineLevel="1">
      <c r="A7" s="40"/>
      <c r="B7" s="73" t="s">
        <v>19</v>
      </c>
      <c r="C7" s="73"/>
      <c r="D7" s="73"/>
      <c r="E7" s="74"/>
      <c r="F7" s="74"/>
      <c r="G7" s="74"/>
      <c r="H7" s="112">
        <v>156</v>
      </c>
      <c r="I7" s="22">
        <v>136</v>
      </c>
      <c r="J7" s="112">
        <v>130</v>
      </c>
      <c r="K7" s="22"/>
      <c r="L7" s="112"/>
      <c r="M7" s="22"/>
      <c r="N7" s="112"/>
      <c r="O7" s="22"/>
      <c r="P7" s="112"/>
      <c r="Q7" s="22"/>
      <c r="R7" s="112"/>
      <c r="S7" s="22"/>
      <c r="T7" s="112"/>
      <c r="U7" s="22"/>
      <c r="V7" s="112"/>
      <c r="W7" s="37"/>
      <c r="X7" s="37"/>
      <c r="Y7" s="22">
        <v>138</v>
      </c>
      <c r="Z7" s="112">
        <v>138</v>
      </c>
      <c r="AA7" s="22">
        <v>81</v>
      </c>
      <c r="AB7" s="112"/>
      <c r="AC7" s="22"/>
      <c r="AD7" s="112"/>
      <c r="AE7" s="22"/>
      <c r="AF7" s="112"/>
      <c r="AG7" s="22"/>
      <c r="AH7" s="112"/>
      <c r="AI7" s="22"/>
      <c r="AJ7" s="112"/>
      <c r="AK7" s="373">
        <f>SUM(Y7:AJ7)</f>
        <v>357</v>
      </c>
      <c r="AL7" s="373">
        <f>SUM(Y7:AJ7)/$AK$4</f>
        <v>119</v>
      </c>
      <c r="AM7" s="243">
        <f>AA7-Z7</f>
        <v>-57</v>
      </c>
      <c r="AN7" s="219">
        <f>AM7/Z7</f>
        <v>-0.41304347826086957</v>
      </c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</row>
    <row r="8" spans="1:57" s="304" customFormat="1" ht="13.5" customHeight="1" hidden="1" outlineLevel="1" thickBot="1">
      <c r="A8" s="75"/>
      <c r="B8" s="76" t="s">
        <v>20</v>
      </c>
      <c r="C8" s="76"/>
      <c r="D8" s="76"/>
      <c r="E8" s="77"/>
      <c r="F8" s="77"/>
      <c r="G8" s="77"/>
      <c r="H8" s="113">
        <v>94390744</v>
      </c>
      <c r="I8" s="78">
        <v>95750788</v>
      </c>
      <c r="J8" s="113">
        <v>94733314</v>
      </c>
      <c r="K8" s="78"/>
      <c r="L8" s="113"/>
      <c r="M8" s="78"/>
      <c r="N8" s="113"/>
      <c r="O8" s="78"/>
      <c r="P8" s="113"/>
      <c r="Q8" s="78"/>
      <c r="R8" s="113"/>
      <c r="S8" s="78"/>
      <c r="T8" s="113"/>
      <c r="U8" s="78"/>
      <c r="V8" s="113"/>
      <c r="W8" s="78"/>
      <c r="X8" s="78"/>
      <c r="Y8" s="78">
        <f>J8</f>
        <v>94733314</v>
      </c>
      <c r="Z8" s="113">
        <f aca="true" t="shared" si="4" ref="Z8:AL8">Y8</f>
        <v>94733314</v>
      </c>
      <c r="AA8" s="78">
        <f t="shared" si="4"/>
        <v>94733314</v>
      </c>
      <c r="AB8" s="113">
        <f t="shared" si="4"/>
        <v>94733314</v>
      </c>
      <c r="AC8" s="78">
        <f t="shared" si="4"/>
        <v>94733314</v>
      </c>
      <c r="AD8" s="113">
        <f t="shared" si="4"/>
        <v>94733314</v>
      </c>
      <c r="AE8" s="78">
        <f t="shared" si="4"/>
        <v>94733314</v>
      </c>
      <c r="AF8" s="113">
        <f t="shared" si="4"/>
        <v>94733314</v>
      </c>
      <c r="AG8" s="78">
        <f t="shared" si="4"/>
        <v>94733314</v>
      </c>
      <c r="AH8" s="113">
        <f t="shared" si="4"/>
        <v>94733314</v>
      </c>
      <c r="AI8" s="78">
        <f t="shared" si="4"/>
        <v>94733314</v>
      </c>
      <c r="AJ8" s="113">
        <f t="shared" si="4"/>
        <v>94733314</v>
      </c>
      <c r="AK8" s="78">
        <f t="shared" si="4"/>
        <v>94733314</v>
      </c>
      <c r="AL8" s="78">
        <f t="shared" si="4"/>
        <v>94733314</v>
      </c>
      <c r="AN8" s="321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</row>
    <row r="9" spans="2:57" s="234" customFormat="1" ht="22.5" customHeight="1" collapsed="1" thickBot="1">
      <c r="B9" s="397" t="s">
        <v>112</v>
      </c>
      <c r="C9" s="397"/>
      <c r="D9" s="397"/>
      <c r="E9" s="397"/>
      <c r="F9" s="397"/>
      <c r="G9" s="397"/>
      <c r="H9" s="235"/>
      <c r="I9" s="235"/>
      <c r="J9" s="235"/>
      <c r="K9" s="235"/>
      <c r="L9" s="236"/>
      <c r="M9" s="235"/>
      <c r="N9" s="236"/>
      <c r="O9" s="235"/>
      <c r="P9" s="236"/>
      <c r="Q9" s="235"/>
      <c r="R9" s="236"/>
      <c r="S9" s="235"/>
      <c r="T9" s="236"/>
      <c r="U9" s="235"/>
      <c r="V9" s="236"/>
      <c r="W9" s="237"/>
      <c r="X9" s="237"/>
      <c r="Y9" s="235"/>
      <c r="Z9" s="235" t="s">
        <v>115</v>
      </c>
      <c r="AA9" s="235" t="s">
        <v>114</v>
      </c>
      <c r="AB9" s="236"/>
      <c r="AC9" s="235"/>
      <c r="AD9" s="236"/>
      <c r="AE9" s="235"/>
      <c r="AF9" s="236"/>
      <c r="AG9" s="235"/>
      <c r="AH9" s="236"/>
      <c r="AI9" s="235"/>
      <c r="AJ9" s="236"/>
      <c r="AK9" s="237"/>
      <c r="AL9" s="237"/>
      <c r="AQ9" s="361" t="s">
        <v>131</v>
      </c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</row>
    <row r="10" spans="1:57" s="14" customFormat="1" ht="45.75" customHeight="1" thickBot="1">
      <c r="A10" s="392" t="s">
        <v>99</v>
      </c>
      <c r="B10" s="393"/>
      <c r="C10" s="393"/>
      <c r="D10" s="393"/>
      <c r="E10" s="393"/>
      <c r="F10" s="393"/>
      <c r="G10" s="394"/>
      <c r="H10" s="94">
        <v>39933</v>
      </c>
      <c r="I10" s="23">
        <v>39964</v>
      </c>
      <c r="J10" s="94">
        <v>39994</v>
      </c>
      <c r="K10" s="23"/>
      <c r="L10" s="94"/>
      <c r="M10" s="23"/>
      <c r="N10" s="94"/>
      <c r="O10" s="23"/>
      <c r="P10" s="94"/>
      <c r="Q10" s="23"/>
      <c r="R10" s="94"/>
      <c r="S10" s="23"/>
      <c r="T10" s="94"/>
      <c r="U10" s="23"/>
      <c r="V10" s="94"/>
      <c r="W10" s="255" t="s">
        <v>116</v>
      </c>
      <c r="X10" s="277" t="s">
        <v>117</v>
      </c>
      <c r="Y10" s="23">
        <v>39995</v>
      </c>
      <c r="Z10" s="94">
        <v>40056</v>
      </c>
      <c r="AA10" s="23">
        <v>40086</v>
      </c>
      <c r="AB10" s="94">
        <v>40117</v>
      </c>
      <c r="AC10" s="23">
        <v>40147</v>
      </c>
      <c r="AD10" s="94">
        <v>40178</v>
      </c>
      <c r="AE10" s="23">
        <v>40209</v>
      </c>
      <c r="AF10" s="94">
        <v>40237</v>
      </c>
      <c r="AG10" s="23">
        <v>40268</v>
      </c>
      <c r="AH10" s="94">
        <v>40298</v>
      </c>
      <c r="AI10" s="23">
        <v>40329</v>
      </c>
      <c r="AJ10" s="94">
        <v>40359</v>
      </c>
      <c r="AK10" s="255" t="s">
        <v>25</v>
      </c>
      <c r="AL10" s="277" t="s">
        <v>118</v>
      </c>
      <c r="AM10" s="390" t="s">
        <v>119</v>
      </c>
      <c r="AN10" s="391"/>
      <c r="AP10" s="14" t="s">
        <v>129</v>
      </c>
      <c r="AQ10" s="336">
        <v>39933</v>
      </c>
      <c r="AR10" s="336">
        <v>39964</v>
      </c>
      <c r="AS10" s="336">
        <v>39994</v>
      </c>
      <c r="AT10" s="336">
        <v>40025</v>
      </c>
      <c r="AU10" s="336">
        <v>40056</v>
      </c>
      <c r="AV10" s="336">
        <v>40086</v>
      </c>
      <c r="AW10" s="336">
        <v>40117</v>
      </c>
      <c r="AX10" s="336">
        <v>40147</v>
      </c>
      <c r="AY10" s="336">
        <v>40178</v>
      </c>
      <c r="AZ10" s="336">
        <v>40209</v>
      </c>
      <c r="BA10" s="336">
        <v>40237</v>
      </c>
      <c r="BB10" s="336">
        <v>40268</v>
      </c>
      <c r="BC10" s="336">
        <v>40298</v>
      </c>
      <c r="BD10" s="336">
        <v>40329</v>
      </c>
      <c r="BE10" s="336">
        <v>40359</v>
      </c>
    </row>
    <row r="11" spans="1:57" s="204" customFormat="1" ht="15.75" customHeight="1" thickBot="1">
      <c r="A11" s="201">
        <v>1</v>
      </c>
      <c r="B11" s="395" t="s">
        <v>102</v>
      </c>
      <c r="C11" s="395"/>
      <c r="D11" s="395"/>
      <c r="E11" s="395"/>
      <c r="F11" s="395"/>
      <c r="G11" s="396"/>
      <c r="H11" s="200">
        <f>H37+(H36/2)</f>
        <v>97136.5</v>
      </c>
      <c r="I11" s="202">
        <f>I37+(I36/2)</f>
        <v>97004</v>
      </c>
      <c r="J11" s="200">
        <f>J37+(J36/2)</f>
        <v>96987</v>
      </c>
      <c r="K11" s="202">
        <f aca="true" t="shared" si="5" ref="K11:V11">K36+(K37/2)</f>
        <v>0</v>
      </c>
      <c r="L11" s="203">
        <f t="shared" si="5"/>
        <v>0</v>
      </c>
      <c r="M11" s="202">
        <f t="shared" si="5"/>
        <v>0</v>
      </c>
      <c r="N11" s="203">
        <f t="shared" si="5"/>
        <v>0</v>
      </c>
      <c r="O11" s="202">
        <f t="shared" si="5"/>
        <v>0</v>
      </c>
      <c r="P11" s="203">
        <f t="shared" si="5"/>
        <v>0</v>
      </c>
      <c r="Q11" s="202">
        <f t="shared" si="5"/>
        <v>0</v>
      </c>
      <c r="R11" s="203">
        <f t="shared" si="5"/>
        <v>0</v>
      </c>
      <c r="S11" s="202">
        <f t="shared" si="5"/>
        <v>0</v>
      </c>
      <c r="T11" s="203">
        <f t="shared" si="5"/>
        <v>0</v>
      </c>
      <c r="U11" s="202">
        <f t="shared" si="5"/>
        <v>0</v>
      </c>
      <c r="V11" s="203">
        <f t="shared" si="5"/>
        <v>0</v>
      </c>
      <c r="W11" s="256">
        <f>SUM(H11:V11)</f>
        <v>291127.5</v>
      </c>
      <c r="X11" s="278">
        <f>SUM(H11:V11)/$W$4</f>
        <v>97042.5</v>
      </c>
      <c r="Y11" s="202">
        <f>Y37+(Y36/3)</f>
        <v>96293.33333333333</v>
      </c>
      <c r="Z11" s="203">
        <f>Z37+(Z36/2)</f>
        <v>96362</v>
      </c>
      <c r="AA11" s="202">
        <f aca="true" t="shared" si="6" ref="AA11:AJ11">AA37+(AA36/2)</f>
        <v>95766</v>
      </c>
      <c r="AB11" s="203">
        <f t="shared" si="6"/>
        <v>0</v>
      </c>
      <c r="AC11" s="202">
        <f t="shared" si="6"/>
        <v>0</v>
      </c>
      <c r="AD11" s="203">
        <f t="shared" si="6"/>
        <v>0</v>
      </c>
      <c r="AE11" s="202">
        <f t="shared" si="6"/>
        <v>0</v>
      </c>
      <c r="AF11" s="203">
        <f t="shared" si="6"/>
        <v>0</v>
      </c>
      <c r="AG11" s="202">
        <f t="shared" si="6"/>
        <v>0</v>
      </c>
      <c r="AH11" s="203">
        <f t="shared" si="6"/>
        <v>0</v>
      </c>
      <c r="AI11" s="202">
        <f t="shared" si="6"/>
        <v>0</v>
      </c>
      <c r="AJ11" s="203">
        <f t="shared" si="6"/>
        <v>0</v>
      </c>
      <c r="AK11" s="256">
        <f>SUM(Y11:AJ11)</f>
        <v>288421.3333333333</v>
      </c>
      <c r="AL11" s="362">
        <f>SUM(Y11:AJ11)/$AK$4</f>
        <v>96140.44444444444</v>
      </c>
      <c r="AM11" s="305">
        <f>AA11-Z11</f>
        <v>-596</v>
      </c>
      <c r="AN11" s="215">
        <f>AM11/Z11</f>
        <v>-0.006185010688860754</v>
      </c>
      <c r="AQ11" s="360">
        <f>H11</f>
        <v>97136.5</v>
      </c>
      <c r="AR11" s="360">
        <f>I11</f>
        <v>97004</v>
      </c>
      <c r="AS11" s="360">
        <f>J11</f>
        <v>96987</v>
      </c>
      <c r="AT11" s="360">
        <f>Y11</f>
        <v>96293.33333333333</v>
      </c>
      <c r="AU11" s="360">
        <f>Z11</f>
        <v>96362</v>
      </c>
      <c r="AV11" s="360">
        <f>AA11</f>
        <v>95766</v>
      </c>
      <c r="AW11" s="360">
        <f aca="true" t="shared" si="7" ref="AW11:BE11">AB11</f>
        <v>0</v>
      </c>
      <c r="AX11" s="360">
        <f t="shared" si="7"/>
        <v>0</v>
      </c>
      <c r="AY11" s="360">
        <f t="shared" si="7"/>
        <v>0</v>
      </c>
      <c r="AZ11" s="360">
        <f t="shared" si="7"/>
        <v>0</v>
      </c>
      <c r="BA11" s="360">
        <f t="shared" si="7"/>
        <v>0</v>
      </c>
      <c r="BB11" s="360">
        <f t="shared" si="7"/>
        <v>0</v>
      </c>
      <c r="BC11" s="360">
        <f t="shared" si="7"/>
        <v>0</v>
      </c>
      <c r="BD11" s="360">
        <f t="shared" si="7"/>
        <v>0</v>
      </c>
      <c r="BE11" s="360">
        <f t="shared" si="7"/>
        <v>0</v>
      </c>
    </row>
    <row r="12" spans="1:57" s="3" customFormat="1" ht="15.75" customHeight="1">
      <c r="A12" s="12">
        <v>2</v>
      </c>
      <c r="B12" s="5" t="s">
        <v>8</v>
      </c>
      <c r="C12" s="5"/>
      <c r="D12" s="5"/>
      <c r="H12" s="96"/>
      <c r="I12" s="25"/>
      <c r="J12" s="96"/>
      <c r="K12" s="25"/>
      <c r="L12" s="115"/>
      <c r="M12" s="25"/>
      <c r="N12" s="115"/>
      <c r="O12" s="25"/>
      <c r="P12" s="115"/>
      <c r="Q12" s="25"/>
      <c r="R12" s="115"/>
      <c r="S12" s="25"/>
      <c r="T12" s="115"/>
      <c r="U12" s="25"/>
      <c r="V12" s="115"/>
      <c r="W12" s="257"/>
      <c r="X12" s="279"/>
      <c r="Y12" s="25"/>
      <c r="Z12" s="115"/>
      <c r="AA12" s="25"/>
      <c r="AB12" s="115"/>
      <c r="AC12" s="25"/>
      <c r="AD12" s="115"/>
      <c r="AE12" s="25"/>
      <c r="AF12" s="115"/>
      <c r="AG12" s="25"/>
      <c r="AH12" s="115"/>
      <c r="AI12" s="25"/>
      <c r="AJ12" s="115"/>
      <c r="AK12" s="257"/>
      <c r="AL12" s="279"/>
      <c r="AM12" s="216"/>
      <c r="AN12" s="21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</row>
    <row r="13" spans="1:57" ht="15.75">
      <c r="A13" s="13"/>
      <c r="B13" s="79">
        <v>2.1</v>
      </c>
      <c r="C13" s="18"/>
      <c r="D13" s="18"/>
      <c r="E13" s="388" t="s">
        <v>0</v>
      </c>
      <c r="F13" s="388"/>
      <c r="G13" s="389"/>
      <c r="H13" s="103">
        <f>5880+156</f>
        <v>6036</v>
      </c>
      <c r="I13" s="31">
        <v>5251</v>
      </c>
      <c r="J13" s="103">
        <v>5387</v>
      </c>
      <c r="K13" s="31"/>
      <c r="L13" s="120"/>
      <c r="M13" s="31"/>
      <c r="N13" s="120"/>
      <c r="O13" s="31"/>
      <c r="P13" s="120"/>
      <c r="Q13" s="31"/>
      <c r="R13" s="120"/>
      <c r="S13" s="31"/>
      <c r="T13" s="120"/>
      <c r="U13" s="31"/>
      <c r="V13" s="120"/>
      <c r="W13" s="258">
        <f>SUM(H13:V13)</f>
        <v>16674</v>
      </c>
      <c r="X13" s="280">
        <f aca="true" t="shared" si="8" ref="X13:X18">SUM(H13:V13)/$W$4</f>
        <v>5558</v>
      </c>
      <c r="Y13" s="31">
        <v>5197</v>
      </c>
      <c r="Z13" s="120">
        <v>4598</v>
      </c>
      <c r="AA13" s="31">
        <v>4480</v>
      </c>
      <c r="AB13" s="120"/>
      <c r="AC13" s="31"/>
      <c r="AD13" s="120"/>
      <c r="AE13" s="31"/>
      <c r="AF13" s="120"/>
      <c r="AG13" s="31"/>
      <c r="AH13" s="120"/>
      <c r="AI13" s="31"/>
      <c r="AJ13" s="120"/>
      <c r="AK13" s="258">
        <f>SUM(Y13:AJ13)</f>
        <v>14275</v>
      </c>
      <c r="AL13" s="297">
        <f aca="true" t="shared" si="9" ref="AL13:AL20">SUM(Y13:AJ13)/$AK$4</f>
        <v>4758.333333333333</v>
      </c>
      <c r="AM13" s="243">
        <f aca="true" t="shared" si="10" ref="AM13:AM20">AA13-Z13</f>
        <v>-118</v>
      </c>
      <c r="AN13" s="219">
        <f aca="true" t="shared" si="11" ref="AN13:AN20">AM13/Z13</f>
        <v>-0.02566333188342758</v>
      </c>
      <c r="AP13" t="str">
        <f>E13</f>
        <v>Number of Calls</v>
      </c>
      <c r="AQ13" s="338">
        <f aca="true" t="shared" si="12" ref="AQ13:AQ66">H13</f>
        <v>6036</v>
      </c>
      <c r="AR13" s="338">
        <f aca="true" t="shared" si="13" ref="AR13:AR66">I13</f>
        <v>5251</v>
      </c>
      <c r="AS13" s="338">
        <f aca="true" t="shared" si="14" ref="AS13:AS66">J13</f>
        <v>5387</v>
      </c>
      <c r="AT13" s="338">
        <f aca="true" t="shared" si="15" ref="AT13:AV66">Y13</f>
        <v>5197</v>
      </c>
      <c r="AU13" s="338">
        <f t="shared" si="15"/>
        <v>4598</v>
      </c>
      <c r="AV13" s="338">
        <f t="shared" si="15"/>
        <v>4480</v>
      </c>
      <c r="AW13" s="338">
        <f aca="true" t="shared" si="16" ref="AW13:BE20">AB13</f>
        <v>0</v>
      </c>
      <c r="AX13" s="338">
        <f t="shared" si="16"/>
        <v>0</v>
      </c>
      <c r="AY13" s="338">
        <f t="shared" si="16"/>
        <v>0</v>
      </c>
      <c r="AZ13" s="338">
        <f t="shared" si="16"/>
        <v>0</v>
      </c>
      <c r="BA13" s="338">
        <f t="shared" si="16"/>
        <v>0</v>
      </c>
      <c r="BB13" s="338">
        <f t="shared" si="16"/>
        <v>0</v>
      </c>
      <c r="BC13" s="338">
        <f t="shared" si="16"/>
        <v>0</v>
      </c>
      <c r="BD13" s="338">
        <f t="shared" si="16"/>
        <v>0</v>
      </c>
      <c r="BE13" s="338">
        <f t="shared" si="16"/>
        <v>0</v>
      </c>
    </row>
    <row r="14" spans="1:57" ht="15.75">
      <c r="A14" s="13"/>
      <c r="B14" s="79">
        <v>2.2</v>
      </c>
      <c r="C14" s="18"/>
      <c r="D14" s="18"/>
      <c r="E14" s="388" t="s">
        <v>52</v>
      </c>
      <c r="F14" s="388"/>
      <c r="G14" s="389"/>
      <c r="H14" s="207">
        <f>H13/H3</f>
        <v>287.42857142857144</v>
      </c>
      <c r="I14" s="139">
        <f>I13/I3</f>
        <v>262.55</v>
      </c>
      <c r="J14" s="206">
        <f>J13/J3</f>
        <v>244.86363636363637</v>
      </c>
      <c r="K14" s="139"/>
      <c r="L14" s="138"/>
      <c r="M14" s="139"/>
      <c r="N14" s="138"/>
      <c r="O14" s="139"/>
      <c r="P14" s="138"/>
      <c r="Q14" s="139"/>
      <c r="R14" s="138"/>
      <c r="S14" s="139"/>
      <c r="T14" s="138"/>
      <c r="U14" s="139"/>
      <c r="V14" s="138"/>
      <c r="W14" s="259" t="s">
        <v>46</v>
      </c>
      <c r="X14" s="280">
        <f t="shared" si="8"/>
        <v>264.94740259740263</v>
      </c>
      <c r="Y14" s="139">
        <f>Y13/Y3</f>
        <v>236.22727272727272</v>
      </c>
      <c r="Z14" s="138">
        <f>Z13/Z3</f>
        <v>218.95238095238096</v>
      </c>
      <c r="AA14" s="139">
        <f>AA13/AA3</f>
        <v>213.33333333333334</v>
      </c>
      <c r="AB14" s="138"/>
      <c r="AC14" s="139"/>
      <c r="AD14" s="138"/>
      <c r="AE14" s="139"/>
      <c r="AF14" s="138"/>
      <c r="AG14" s="139"/>
      <c r="AH14" s="138"/>
      <c r="AI14" s="139"/>
      <c r="AJ14" s="138"/>
      <c r="AK14" s="259" t="s">
        <v>46</v>
      </c>
      <c r="AL14" s="297">
        <f t="shared" si="9"/>
        <v>222.83766233766235</v>
      </c>
      <c r="AM14" s="243">
        <f t="shared" si="10"/>
        <v>-5.61904761904762</v>
      </c>
      <c r="AN14" s="219">
        <f t="shared" si="11"/>
        <v>-0.025663331883427582</v>
      </c>
      <c r="AP14" t="str">
        <f aca="true" t="shared" si="17" ref="AP14:AP20">E14</f>
        <v>Average Number of Calls/Day</v>
      </c>
      <c r="AQ14" s="338">
        <f t="shared" si="12"/>
        <v>287.42857142857144</v>
      </c>
      <c r="AR14" s="338">
        <f t="shared" si="13"/>
        <v>262.55</v>
      </c>
      <c r="AS14" s="338">
        <f t="shared" si="14"/>
        <v>244.86363636363637</v>
      </c>
      <c r="AT14" s="338">
        <f t="shared" si="15"/>
        <v>236.22727272727272</v>
      </c>
      <c r="AU14" s="338">
        <f t="shared" si="15"/>
        <v>218.95238095238096</v>
      </c>
      <c r="AV14" s="338">
        <f t="shared" si="15"/>
        <v>213.33333333333334</v>
      </c>
      <c r="AW14" s="338">
        <f t="shared" si="16"/>
        <v>0</v>
      </c>
      <c r="AX14" s="338">
        <f t="shared" si="16"/>
        <v>0</v>
      </c>
      <c r="AY14" s="338">
        <f t="shared" si="16"/>
        <v>0</v>
      </c>
      <c r="AZ14" s="338">
        <f t="shared" si="16"/>
        <v>0</v>
      </c>
      <c r="BA14" s="338">
        <f t="shared" si="16"/>
        <v>0</v>
      </c>
      <c r="BB14" s="338">
        <f t="shared" si="16"/>
        <v>0</v>
      </c>
      <c r="BC14" s="338">
        <f t="shared" si="16"/>
        <v>0</v>
      </c>
      <c r="BD14" s="338">
        <f t="shared" si="16"/>
        <v>0</v>
      </c>
      <c r="BE14" s="338">
        <f t="shared" si="16"/>
        <v>0</v>
      </c>
    </row>
    <row r="15" spans="1:57" ht="15.75">
      <c r="A15" s="13"/>
      <c r="B15" s="79">
        <v>2.3</v>
      </c>
      <c r="C15" s="18"/>
      <c r="D15" s="18"/>
      <c r="E15" s="388" t="s">
        <v>50</v>
      </c>
      <c r="F15" s="388"/>
      <c r="G15" s="389"/>
      <c r="H15" s="97">
        <v>20</v>
      </c>
      <c r="I15" s="26">
        <v>19</v>
      </c>
      <c r="J15" s="146">
        <v>18</v>
      </c>
      <c r="K15" s="26"/>
      <c r="L15" s="116"/>
      <c r="M15" s="26"/>
      <c r="N15" s="116"/>
      <c r="O15" s="26"/>
      <c r="P15" s="116"/>
      <c r="Q15" s="26"/>
      <c r="R15" s="116"/>
      <c r="S15" s="26"/>
      <c r="T15" s="116"/>
      <c r="U15" s="26"/>
      <c r="V15" s="116"/>
      <c r="W15" s="260" t="s">
        <v>46</v>
      </c>
      <c r="X15" s="281">
        <f t="shared" si="8"/>
        <v>19</v>
      </c>
      <c r="Y15" s="363">
        <v>16</v>
      </c>
      <c r="Z15" s="146">
        <v>16</v>
      </c>
      <c r="AA15" s="145">
        <v>11</v>
      </c>
      <c r="AB15" s="116"/>
      <c r="AC15" s="26"/>
      <c r="AD15" s="116"/>
      <c r="AE15" s="26"/>
      <c r="AF15" s="116"/>
      <c r="AG15" s="26"/>
      <c r="AH15" s="116"/>
      <c r="AI15" s="26"/>
      <c r="AJ15" s="116"/>
      <c r="AK15" s="260" t="s">
        <v>46</v>
      </c>
      <c r="AL15" s="281">
        <f t="shared" si="9"/>
        <v>14.333333333333334</v>
      </c>
      <c r="AM15" s="243">
        <f t="shared" si="10"/>
        <v>-5</v>
      </c>
      <c r="AN15" s="219">
        <f t="shared" si="11"/>
        <v>-0.3125</v>
      </c>
      <c r="AP15" t="str">
        <f t="shared" si="17"/>
        <v>Average Speed of Answer (Seconds)</v>
      </c>
      <c r="AQ15" s="339">
        <f t="shared" si="12"/>
        <v>20</v>
      </c>
      <c r="AR15" s="339">
        <f t="shared" si="13"/>
        <v>19</v>
      </c>
      <c r="AS15" s="339">
        <f t="shared" si="14"/>
        <v>18</v>
      </c>
      <c r="AT15" s="339">
        <f t="shared" si="15"/>
        <v>16</v>
      </c>
      <c r="AU15" s="339">
        <f t="shared" si="15"/>
        <v>16</v>
      </c>
      <c r="AV15" s="339">
        <f t="shared" si="15"/>
        <v>11</v>
      </c>
      <c r="AW15" s="339">
        <f t="shared" si="16"/>
        <v>0</v>
      </c>
      <c r="AX15" s="339">
        <f t="shared" si="16"/>
        <v>0</v>
      </c>
      <c r="AY15" s="339">
        <f t="shared" si="16"/>
        <v>0</v>
      </c>
      <c r="AZ15" s="339">
        <f t="shared" si="16"/>
        <v>0</v>
      </c>
      <c r="BA15" s="339">
        <f t="shared" si="16"/>
        <v>0</v>
      </c>
      <c r="BB15" s="339">
        <f t="shared" si="16"/>
        <v>0</v>
      </c>
      <c r="BC15" s="339">
        <f t="shared" si="16"/>
        <v>0</v>
      </c>
      <c r="BD15" s="339">
        <f t="shared" si="16"/>
        <v>0</v>
      </c>
      <c r="BE15" s="339">
        <f t="shared" si="16"/>
        <v>0</v>
      </c>
    </row>
    <row r="16" spans="1:57" ht="15.75">
      <c r="A16" s="13"/>
      <c r="B16" s="79">
        <v>2.4</v>
      </c>
      <c r="C16" s="18"/>
      <c r="D16" s="18"/>
      <c r="E16" s="388" t="s">
        <v>51</v>
      </c>
      <c r="F16" s="388"/>
      <c r="G16" s="389"/>
      <c r="H16" s="144">
        <v>8.27</v>
      </c>
      <c r="I16" s="26">
        <v>8.51</v>
      </c>
      <c r="J16" s="97">
        <v>20.44</v>
      </c>
      <c r="K16" s="26"/>
      <c r="L16" s="116"/>
      <c r="M16" s="26"/>
      <c r="N16" s="116"/>
      <c r="O16" s="26"/>
      <c r="P16" s="116"/>
      <c r="Q16" s="26"/>
      <c r="R16" s="116"/>
      <c r="S16" s="26"/>
      <c r="T16" s="116"/>
      <c r="U16" s="26"/>
      <c r="V16" s="116"/>
      <c r="W16" s="260" t="s">
        <v>46</v>
      </c>
      <c r="X16" s="281">
        <f t="shared" si="8"/>
        <v>12.406666666666666</v>
      </c>
      <c r="Y16" s="145">
        <v>11.04</v>
      </c>
      <c r="Z16" s="146">
        <v>9.29</v>
      </c>
      <c r="AA16" s="145">
        <v>24.34</v>
      </c>
      <c r="AB16" s="116"/>
      <c r="AC16" s="26"/>
      <c r="AD16" s="116"/>
      <c r="AE16" s="26"/>
      <c r="AF16" s="116"/>
      <c r="AG16" s="26"/>
      <c r="AH16" s="116"/>
      <c r="AI16" s="26"/>
      <c r="AJ16" s="116"/>
      <c r="AK16" s="260" t="s">
        <v>46</v>
      </c>
      <c r="AL16" s="281">
        <f t="shared" si="9"/>
        <v>14.89</v>
      </c>
      <c r="AM16" s="218">
        <f t="shared" si="10"/>
        <v>15.05</v>
      </c>
      <c r="AN16" s="219">
        <f t="shared" si="11"/>
        <v>1.6200215285252964</v>
      </c>
      <c r="AP16" t="str">
        <f t="shared" si="17"/>
        <v>Maximum Wait Time (Minutes)</v>
      </c>
      <c r="AQ16" s="339">
        <f t="shared" si="12"/>
        <v>8.27</v>
      </c>
      <c r="AR16" s="339">
        <f t="shared" si="13"/>
        <v>8.51</v>
      </c>
      <c r="AS16" s="339">
        <f t="shared" si="14"/>
        <v>20.44</v>
      </c>
      <c r="AT16" s="339">
        <f t="shared" si="15"/>
        <v>11.04</v>
      </c>
      <c r="AU16" s="339">
        <f t="shared" si="15"/>
        <v>9.29</v>
      </c>
      <c r="AV16" s="339">
        <f t="shared" si="15"/>
        <v>24.34</v>
      </c>
      <c r="AW16" s="339">
        <f t="shared" si="16"/>
        <v>0</v>
      </c>
      <c r="AX16" s="339">
        <f t="shared" si="16"/>
        <v>0</v>
      </c>
      <c r="AY16" s="339">
        <f t="shared" si="16"/>
        <v>0</v>
      </c>
      <c r="AZ16" s="339">
        <f t="shared" si="16"/>
        <v>0</v>
      </c>
      <c r="BA16" s="339">
        <f t="shared" si="16"/>
        <v>0</v>
      </c>
      <c r="BB16" s="339">
        <f t="shared" si="16"/>
        <v>0</v>
      </c>
      <c r="BC16" s="339">
        <f t="shared" si="16"/>
        <v>0</v>
      </c>
      <c r="BD16" s="339">
        <f t="shared" si="16"/>
        <v>0</v>
      </c>
      <c r="BE16" s="339">
        <f t="shared" si="16"/>
        <v>0</v>
      </c>
    </row>
    <row r="17" spans="1:57" ht="15.75">
      <c r="A17" s="13"/>
      <c r="B17" s="79">
        <v>2.5</v>
      </c>
      <c r="C17" s="18"/>
      <c r="D17" s="18"/>
      <c r="E17" s="388" t="s">
        <v>7</v>
      </c>
      <c r="F17" s="388"/>
      <c r="G17" s="389"/>
      <c r="H17" s="144">
        <v>10.06</v>
      </c>
      <c r="I17" s="145">
        <v>10.09</v>
      </c>
      <c r="J17" s="144">
        <v>9.46</v>
      </c>
      <c r="K17" s="145"/>
      <c r="L17" s="146"/>
      <c r="M17" s="145"/>
      <c r="N17" s="146"/>
      <c r="O17" s="145"/>
      <c r="P17" s="146"/>
      <c r="Q17" s="145"/>
      <c r="R17" s="146"/>
      <c r="S17" s="145"/>
      <c r="T17" s="146"/>
      <c r="U17" s="145"/>
      <c r="V17" s="146"/>
      <c r="W17" s="261" t="s">
        <v>46</v>
      </c>
      <c r="X17" s="281">
        <f t="shared" si="8"/>
        <v>9.87</v>
      </c>
      <c r="Y17" s="145">
        <v>9.28</v>
      </c>
      <c r="Z17" s="146">
        <v>9.1</v>
      </c>
      <c r="AA17" s="145">
        <v>9.33</v>
      </c>
      <c r="AB17" s="146"/>
      <c r="AC17" s="145"/>
      <c r="AD17" s="146"/>
      <c r="AE17" s="145"/>
      <c r="AF17" s="146"/>
      <c r="AG17" s="145"/>
      <c r="AH17" s="146"/>
      <c r="AI17" s="145"/>
      <c r="AJ17" s="146"/>
      <c r="AK17" s="261" t="s">
        <v>46</v>
      </c>
      <c r="AL17" s="281">
        <f t="shared" si="9"/>
        <v>9.236666666666666</v>
      </c>
      <c r="AM17" s="218">
        <f t="shared" si="10"/>
        <v>0.23000000000000043</v>
      </c>
      <c r="AN17" s="219">
        <f t="shared" si="11"/>
        <v>0.025274725274725324</v>
      </c>
      <c r="AO17" s="147"/>
      <c r="AP17" s="147" t="str">
        <f t="shared" si="17"/>
        <v>Average Call Length (Minutes)</v>
      </c>
      <c r="AQ17" s="339">
        <f t="shared" si="12"/>
        <v>10.06</v>
      </c>
      <c r="AR17" s="339">
        <f t="shared" si="13"/>
        <v>10.09</v>
      </c>
      <c r="AS17" s="339">
        <f t="shared" si="14"/>
        <v>9.46</v>
      </c>
      <c r="AT17" s="339">
        <f t="shared" si="15"/>
        <v>9.28</v>
      </c>
      <c r="AU17" s="339">
        <f t="shared" si="15"/>
        <v>9.1</v>
      </c>
      <c r="AV17" s="339">
        <f t="shared" si="15"/>
        <v>9.33</v>
      </c>
      <c r="AW17" s="339">
        <f t="shared" si="16"/>
        <v>0</v>
      </c>
      <c r="AX17" s="339">
        <f t="shared" si="16"/>
        <v>0</v>
      </c>
      <c r="AY17" s="339">
        <f t="shared" si="16"/>
        <v>0</v>
      </c>
      <c r="AZ17" s="339">
        <f t="shared" si="16"/>
        <v>0</v>
      </c>
      <c r="BA17" s="339">
        <f t="shared" si="16"/>
        <v>0</v>
      </c>
      <c r="BB17" s="339">
        <f t="shared" si="16"/>
        <v>0</v>
      </c>
      <c r="BC17" s="339">
        <f t="shared" si="16"/>
        <v>0</v>
      </c>
      <c r="BD17" s="339">
        <f t="shared" si="16"/>
        <v>0</v>
      </c>
      <c r="BE17" s="339">
        <f t="shared" si="16"/>
        <v>0</v>
      </c>
    </row>
    <row r="18" spans="1:57" ht="15.75" customHeight="1">
      <c r="A18" s="13"/>
      <c r="B18" s="79">
        <v>2.6</v>
      </c>
      <c r="C18" s="18"/>
      <c r="D18" s="18"/>
      <c r="E18" s="388" t="s">
        <v>27</v>
      </c>
      <c r="F18" s="388"/>
      <c r="G18" s="389"/>
      <c r="H18" s="205">
        <f>H6/H13</f>
        <v>0.4867461895294897</v>
      </c>
      <c r="I18" s="212">
        <f>I6/I13</f>
        <v>0.5440868406017901</v>
      </c>
      <c r="J18" s="205">
        <f>J6/J13</f>
        <v>0.5492853165026916</v>
      </c>
      <c r="K18" s="212"/>
      <c r="L18" s="98"/>
      <c r="M18" s="212"/>
      <c r="N18" s="98"/>
      <c r="O18" s="212"/>
      <c r="P18" s="98"/>
      <c r="Q18" s="212"/>
      <c r="R18" s="98"/>
      <c r="S18" s="212"/>
      <c r="T18" s="98"/>
      <c r="U18" s="212"/>
      <c r="V18" s="98"/>
      <c r="W18" s="260" t="s">
        <v>46</v>
      </c>
      <c r="X18" s="282">
        <f t="shared" si="8"/>
        <v>0.5267061155446572</v>
      </c>
      <c r="Y18" s="212">
        <f>Y6/Y13</f>
        <v>0.5462766980950549</v>
      </c>
      <c r="Z18" s="378">
        <f>Z6/Z13</f>
        <v>0.5885167464114832</v>
      </c>
      <c r="AA18" s="212">
        <f>AA6/AA13</f>
        <v>0.553125</v>
      </c>
      <c r="AB18" s="98"/>
      <c r="AC18" s="212"/>
      <c r="AD18" s="98"/>
      <c r="AE18" s="212"/>
      <c r="AF18" s="98"/>
      <c r="AG18" s="212"/>
      <c r="AH18" s="98"/>
      <c r="AI18" s="212"/>
      <c r="AJ18" s="98"/>
      <c r="AK18" s="260" t="s">
        <v>46</v>
      </c>
      <c r="AL18" s="282">
        <f t="shared" si="9"/>
        <v>0.5626394815021794</v>
      </c>
      <c r="AM18" s="244">
        <f t="shared" si="10"/>
        <v>-0.03539174641148324</v>
      </c>
      <c r="AN18" s="219">
        <f t="shared" si="11"/>
        <v>-0.0601371951219512</v>
      </c>
      <c r="AP18" t="str">
        <f t="shared" si="17"/>
        <v>First Call Resolution </v>
      </c>
      <c r="AQ18" s="340">
        <f t="shared" si="12"/>
        <v>0.4867461895294897</v>
      </c>
      <c r="AR18" s="340">
        <f t="shared" si="13"/>
        <v>0.5440868406017901</v>
      </c>
      <c r="AS18" s="340">
        <f t="shared" si="14"/>
        <v>0.5492853165026916</v>
      </c>
      <c r="AT18" s="340">
        <f t="shared" si="15"/>
        <v>0.5462766980950549</v>
      </c>
      <c r="AU18" s="340">
        <f t="shared" si="15"/>
        <v>0.5885167464114832</v>
      </c>
      <c r="AV18" s="340">
        <f t="shared" si="15"/>
        <v>0.553125</v>
      </c>
      <c r="AW18" s="340">
        <f t="shared" si="16"/>
        <v>0</v>
      </c>
      <c r="AX18" s="340">
        <f t="shared" si="16"/>
        <v>0</v>
      </c>
      <c r="AY18" s="340">
        <f t="shared" si="16"/>
        <v>0</v>
      </c>
      <c r="AZ18" s="340">
        <f t="shared" si="16"/>
        <v>0</v>
      </c>
      <c r="BA18" s="340">
        <f t="shared" si="16"/>
        <v>0</v>
      </c>
      <c r="BB18" s="340">
        <f t="shared" si="16"/>
        <v>0</v>
      </c>
      <c r="BC18" s="340">
        <f t="shared" si="16"/>
        <v>0</v>
      </c>
      <c r="BD18" s="340">
        <f t="shared" si="16"/>
        <v>0</v>
      </c>
      <c r="BE18" s="340">
        <f t="shared" si="16"/>
        <v>0</v>
      </c>
    </row>
    <row r="19" spans="1:57" s="2" customFormat="1" ht="15.75" customHeight="1">
      <c r="A19" s="13"/>
      <c r="B19" s="79">
        <v>2.7</v>
      </c>
      <c r="C19" s="18"/>
      <c r="D19" s="18"/>
      <c r="E19" s="388" t="s">
        <v>28</v>
      </c>
      <c r="F19" s="388"/>
      <c r="G19" s="389"/>
      <c r="H19" s="98">
        <f>H7/H13</f>
        <v>0.02584493041749503</v>
      </c>
      <c r="I19" s="212">
        <f>I7/I13</f>
        <v>0.025899828604075414</v>
      </c>
      <c r="J19" s="205">
        <f>J7/J13</f>
        <v>0.024132170038982735</v>
      </c>
      <c r="K19" s="212"/>
      <c r="L19" s="98"/>
      <c r="M19" s="212"/>
      <c r="N19" s="98"/>
      <c r="O19" s="212"/>
      <c r="P19" s="98"/>
      <c r="Q19" s="212"/>
      <c r="R19" s="98"/>
      <c r="S19" s="212"/>
      <c r="T19" s="98"/>
      <c r="U19" s="212"/>
      <c r="V19" s="98"/>
      <c r="W19" s="260" t="s">
        <v>46</v>
      </c>
      <c r="X19" s="282">
        <f>SUM(H19:V19)/$W$4</f>
        <v>0.02529230968685106</v>
      </c>
      <c r="Y19" s="212">
        <f>Y7/Y13</f>
        <v>0.026553781027515874</v>
      </c>
      <c r="Z19" s="378">
        <f>Z7/Z13</f>
        <v>0.03001304915180513</v>
      </c>
      <c r="AA19" s="212">
        <f>AA7/AA13</f>
        <v>0.018080357142857145</v>
      </c>
      <c r="AB19" s="98"/>
      <c r="AC19" s="212"/>
      <c r="AD19" s="98"/>
      <c r="AE19" s="212"/>
      <c r="AF19" s="98"/>
      <c r="AG19" s="212"/>
      <c r="AH19" s="98"/>
      <c r="AI19" s="212"/>
      <c r="AJ19" s="98"/>
      <c r="AK19" s="260" t="s">
        <v>46</v>
      </c>
      <c r="AL19" s="282">
        <f t="shared" si="9"/>
        <v>0.024882395774059384</v>
      </c>
      <c r="AM19" s="244">
        <f t="shared" si="10"/>
        <v>-0.011932692008947986</v>
      </c>
      <c r="AN19" s="219">
        <f t="shared" si="11"/>
        <v>-0.39758346273291917</v>
      </c>
      <c r="AP19" s="2" t="str">
        <f t="shared" si="17"/>
        <v>Calls Abandoned </v>
      </c>
      <c r="AQ19" s="340">
        <f t="shared" si="12"/>
        <v>0.02584493041749503</v>
      </c>
      <c r="AR19" s="340">
        <f t="shared" si="13"/>
        <v>0.025899828604075414</v>
      </c>
      <c r="AS19" s="340">
        <f t="shared" si="14"/>
        <v>0.024132170038982735</v>
      </c>
      <c r="AT19" s="340">
        <f t="shared" si="15"/>
        <v>0.026553781027515874</v>
      </c>
      <c r="AU19" s="340">
        <f t="shared" si="15"/>
        <v>0.03001304915180513</v>
      </c>
      <c r="AV19" s="340">
        <f t="shared" si="15"/>
        <v>0.018080357142857145</v>
      </c>
      <c r="AW19" s="340">
        <f t="shared" si="16"/>
        <v>0</v>
      </c>
      <c r="AX19" s="340">
        <f t="shared" si="16"/>
        <v>0</v>
      </c>
      <c r="AY19" s="340">
        <f t="shared" si="16"/>
        <v>0</v>
      </c>
      <c r="AZ19" s="340">
        <f t="shared" si="16"/>
        <v>0</v>
      </c>
      <c r="BA19" s="340">
        <f t="shared" si="16"/>
        <v>0</v>
      </c>
      <c r="BB19" s="340">
        <f t="shared" si="16"/>
        <v>0</v>
      </c>
      <c r="BC19" s="340">
        <f t="shared" si="16"/>
        <v>0</v>
      </c>
      <c r="BD19" s="340">
        <f t="shared" si="16"/>
        <v>0</v>
      </c>
      <c r="BE19" s="340">
        <f t="shared" si="16"/>
        <v>0</v>
      </c>
    </row>
    <row r="20" spans="1:57" s="1" customFormat="1" ht="16.5" thickBot="1">
      <c r="A20" s="11"/>
      <c r="B20" s="80">
        <v>2.8</v>
      </c>
      <c r="C20" s="19"/>
      <c r="D20" s="19"/>
      <c r="E20" s="386" t="s">
        <v>93</v>
      </c>
      <c r="F20" s="386"/>
      <c r="G20" s="387"/>
      <c r="H20" s="306">
        <f>H13/H11</f>
        <v>0.06213936059050923</v>
      </c>
      <c r="I20" s="213">
        <f>I13/I11</f>
        <v>0.05413178837986062</v>
      </c>
      <c r="J20" s="302">
        <f>J13/J11</f>
        <v>0.05554352645199872</v>
      </c>
      <c r="K20" s="213"/>
      <c r="L20" s="99"/>
      <c r="M20" s="213"/>
      <c r="N20" s="99"/>
      <c r="O20" s="213"/>
      <c r="P20" s="99"/>
      <c r="Q20" s="213"/>
      <c r="R20" s="99"/>
      <c r="S20" s="213"/>
      <c r="T20" s="99"/>
      <c r="U20" s="213"/>
      <c r="V20" s="99"/>
      <c r="W20" s="256" t="s">
        <v>46</v>
      </c>
      <c r="X20" s="283">
        <f aca="true" t="shared" si="18" ref="X20:X30">SUM(H20:V20)/$W$4</f>
        <v>0.05727155847412286</v>
      </c>
      <c r="Y20" s="213">
        <f>Y13/Y11</f>
        <v>0.05397050678482415</v>
      </c>
      <c r="Z20" s="379">
        <f>Z13/Z11</f>
        <v>0.04771590460970092</v>
      </c>
      <c r="AA20" s="213">
        <f>AA13/AA11</f>
        <v>0.046780694609778004</v>
      </c>
      <c r="AB20" s="99"/>
      <c r="AC20" s="213"/>
      <c r="AD20" s="99"/>
      <c r="AE20" s="213"/>
      <c r="AF20" s="99"/>
      <c r="AG20" s="213"/>
      <c r="AH20" s="99"/>
      <c r="AI20" s="213"/>
      <c r="AJ20" s="99"/>
      <c r="AK20" s="256" t="s">
        <v>46</v>
      </c>
      <c r="AL20" s="283">
        <f t="shared" si="9"/>
        <v>0.04948903533476769</v>
      </c>
      <c r="AM20" s="220">
        <f t="shared" si="10"/>
        <v>-0.0009352099999229146</v>
      </c>
      <c r="AN20" s="221">
        <f t="shared" si="11"/>
        <v>-0.01959954458733621</v>
      </c>
      <c r="AO20" s="208"/>
      <c r="AP20" s="1" t="str">
        <f t="shared" si="17"/>
        <v>Average Calls per Employee Served</v>
      </c>
      <c r="AQ20" s="341">
        <f t="shared" si="12"/>
        <v>0.06213936059050923</v>
      </c>
      <c r="AR20" s="341">
        <f t="shared" si="13"/>
        <v>0.05413178837986062</v>
      </c>
      <c r="AS20" s="341">
        <f t="shared" si="14"/>
        <v>0.05554352645199872</v>
      </c>
      <c r="AT20" s="341">
        <f t="shared" si="15"/>
        <v>0.05397050678482415</v>
      </c>
      <c r="AU20" s="341">
        <f t="shared" si="15"/>
        <v>0.04771590460970092</v>
      </c>
      <c r="AV20" s="341">
        <f t="shared" si="15"/>
        <v>0.046780694609778004</v>
      </c>
      <c r="AW20" s="341">
        <f t="shared" si="16"/>
        <v>0</v>
      </c>
      <c r="AX20" s="341">
        <f t="shared" si="16"/>
        <v>0</v>
      </c>
      <c r="AY20" s="341">
        <f t="shared" si="16"/>
        <v>0</v>
      </c>
      <c r="AZ20" s="341">
        <f t="shared" si="16"/>
        <v>0</v>
      </c>
      <c r="BA20" s="341">
        <f t="shared" si="16"/>
        <v>0</v>
      </c>
      <c r="BB20" s="341">
        <f t="shared" si="16"/>
        <v>0</v>
      </c>
      <c r="BC20" s="341">
        <f t="shared" si="16"/>
        <v>0</v>
      </c>
      <c r="BD20" s="341">
        <f t="shared" si="16"/>
        <v>0</v>
      </c>
      <c r="BE20" s="341">
        <f t="shared" si="16"/>
        <v>0</v>
      </c>
    </row>
    <row r="21" spans="1:57" ht="15.75" customHeight="1">
      <c r="A21" s="12">
        <v>3</v>
      </c>
      <c r="B21" s="5" t="s">
        <v>11</v>
      </c>
      <c r="C21" s="209"/>
      <c r="D21" s="209"/>
      <c r="E21" s="3"/>
      <c r="F21" s="3"/>
      <c r="G21" s="3"/>
      <c r="H21" s="96"/>
      <c r="I21" s="25"/>
      <c r="J21" s="96"/>
      <c r="K21" s="25"/>
      <c r="L21" s="115"/>
      <c r="M21" s="25"/>
      <c r="N21" s="115"/>
      <c r="O21" s="25"/>
      <c r="P21" s="115"/>
      <c r="Q21" s="25"/>
      <c r="R21" s="115"/>
      <c r="S21" s="25"/>
      <c r="T21" s="115"/>
      <c r="U21" s="25"/>
      <c r="V21" s="115"/>
      <c r="W21" s="257"/>
      <c r="X21" s="279"/>
      <c r="Y21" s="25"/>
      <c r="Z21" s="115"/>
      <c r="AA21" s="25"/>
      <c r="AB21" s="115"/>
      <c r="AC21" s="25"/>
      <c r="AD21" s="115"/>
      <c r="AE21" s="25"/>
      <c r="AF21" s="115"/>
      <c r="AG21" s="25"/>
      <c r="AH21" s="115"/>
      <c r="AI21" s="25"/>
      <c r="AJ21" s="115"/>
      <c r="AK21" s="257"/>
      <c r="AL21" s="279"/>
      <c r="AM21" s="222"/>
      <c r="AN21" s="219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</row>
    <row r="22" spans="1:57" ht="15.75">
      <c r="A22" s="13"/>
      <c r="B22" s="79">
        <v>3.1</v>
      </c>
      <c r="C22" s="7"/>
      <c r="D22" s="388" t="s">
        <v>91</v>
      </c>
      <c r="E22" s="388"/>
      <c r="F22" s="388"/>
      <c r="G22" s="389"/>
      <c r="H22" s="206">
        <f>SUM(H23:H27)</f>
        <v>8585</v>
      </c>
      <c r="I22" s="46">
        <f>SUM(I23:I27)</f>
        <v>8315</v>
      </c>
      <c r="J22" s="206">
        <f>SUM(J23:J27)</f>
        <v>8154</v>
      </c>
      <c r="K22" s="46"/>
      <c r="L22" s="120"/>
      <c r="M22" s="46"/>
      <c r="N22" s="120"/>
      <c r="O22" s="46"/>
      <c r="P22" s="120"/>
      <c r="Q22" s="46"/>
      <c r="R22" s="120"/>
      <c r="S22" s="46"/>
      <c r="T22" s="120"/>
      <c r="U22" s="46"/>
      <c r="V22" s="120"/>
      <c r="W22" s="258">
        <f aca="true" t="shared" si="19" ref="W22:W28">SUM(H22:V22)</f>
        <v>25054</v>
      </c>
      <c r="X22" s="280">
        <f t="shared" si="18"/>
        <v>8351.333333333334</v>
      </c>
      <c r="Y22" s="46">
        <f>SUM(Y23:Y27)</f>
        <v>7787</v>
      </c>
      <c r="Z22" s="380">
        <f>SUM(Z23:Z27)</f>
        <v>7093</v>
      </c>
      <c r="AA22" s="46">
        <f>SUM(AA23:AA27)</f>
        <v>6710</v>
      </c>
      <c r="AB22" s="120"/>
      <c r="AC22" s="46"/>
      <c r="AD22" s="120"/>
      <c r="AE22" s="46"/>
      <c r="AF22" s="120"/>
      <c r="AG22" s="46"/>
      <c r="AH22" s="120"/>
      <c r="AI22" s="46"/>
      <c r="AJ22" s="120"/>
      <c r="AK22" s="258">
        <f>SUM(Y22:AJ22)</f>
        <v>21590</v>
      </c>
      <c r="AL22" s="297">
        <f aca="true" t="shared" si="20" ref="AL22:AL30">SUM(Y22:AJ22)/$AK$4</f>
        <v>7196.666666666667</v>
      </c>
      <c r="AM22" s="243">
        <f aca="true" t="shared" si="21" ref="AM22:AM30">AA22-Z22</f>
        <v>-383</v>
      </c>
      <c r="AN22" s="219">
        <f aca="true" t="shared" si="22" ref="AN22:AN30">AM22/Z22</f>
        <v>-0.0539968983504864</v>
      </c>
      <c r="AP22" t="s">
        <v>130</v>
      </c>
      <c r="AQ22" s="338">
        <f t="shared" si="12"/>
        <v>8585</v>
      </c>
      <c r="AR22" s="338">
        <f t="shared" si="13"/>
        <v>8315</v>
      </c>
      <c r="AS22" s="338">
        <f t="shared" si="14"/>
        <v>8154</v>
      </c>
      <c r="AT22" s="338">
        <f t="shared" si="15"/>
        <v>7787</v>
      </c>
      <c r="AU22" s="338">
        <f t="shared" si="15"/>
        <v>7093</v>
      </c>
      <c r="AV22" s="338">
        <f t="shared" si="15"/>
        <v>6710</v>
      </c>
      <c r="AW22" s="338">
        <f aca="true" t="shared" si="23" ref="AW22:AW30">AB22</f>
        <v>0</v>
      </c>
      <c r="AX22" s="338">
        <f aca="true" t="shared" si="24" ref="AX22:AX30">AC22</f>
        <v>0</v>
      </c>
      <c r="AY22" s="338">
        <f aca="true" t="shared" si="25" ref="AY22:AY30">AD22</f>
        <v>0</v>
      </c>
      <c r="AZ22" s="338">
        <f aca="true" t="shared" si="26" ref="AZ22:AZ30">AE22</f>
        <v>0</v>
      </c>
      <c r="BA22" s="338">
        <f aca="true" t="shared" si="27" ref="BA22:BA30">AF22</f>
        <v>0</v>
      </c>
      <c r="BB22" s="338">
        <f aca="true" t="shared" si="28" ref="BB22:BB30">AG22</f>
        <v>0</v>
      </c>
      <c r="BC22" s="338">
        <f aca="true" t="shared" si="29" ref="BC22:BC30">AH22</f>
        <v>0</v>
      </c>
      <c r="BD22" s="338">
        <f aca="true" t="shared" si="30" ref="BD22:BD30">AI22</f>
        <v>0</v>
      </c>
      <c r="BE22" s="338">
        <f aca="true" t="shared" si="31" ref="BE22:BE30">AJ22</f>
        <v>0</v>
      </c>
    </row>
    <row r="23" spans="1:57" ht="15.75">
      <c r="A23" s="13"/>
      <c r="B23" s="79"/>
      <c r="C23" s="79" t="s">
        <v>54</v>
      </c>
      <c r="D23" s="7"/>
      <c r="E23" s="388" t="s">
        <v>59</v>
      </c>
      <c r="F23" s="388"/>
      <c r="G23" s="389"/>
      <c r="H23" s="103">
        <v>4495</v>
      </c>
      <c r="I23" s="31">
        <v>4146</v>
      </c>
      <c r="J23" s="103">
        <v>4335</v>
      </c>
      <c r="K23" s="31"/>
      <c r="L23" s="120"/>
      <c r="M23" s="31"/>
      <c r="N23" s="120"/>
      <c r="O23" s="31"/>
      <c r="P23" s="120"/>
      <c r="Q23" s="31"/>
      <c r="R23" s="120"/>
      <c r="S23" s="31"/>
      <c r="T23" s="120"/>
      <c r="U23" s="31"/>
      <c r="V23" s="120"/>
      <c r="W23" s="317">
        <f t="shared" si="19"/>
        <v>12976</v>
      </c>
      <c r="X23" s="280">
        <f t="shared" si="18"/>
        <v>4325.333333333333</v>
      </c>
      <c r="Y23" s="31">
        <v>4330</v>
      </c>
      <c r="Z23" s="120">
        <v>3945</v>
      </c>
      <c r="AA23" s="31">
        <v>3762</v>
      </c>
      <c r="AB23" s="120"/>
      <c r="AC23" s="31"/>
      <c r="AD23" s="120"/>
      <c r="AE23" s="31"/>
      <c r="AF23" s="120"/>
      <c r="AG23" s="31"/>
      <c r="AH23" s="120"/>
      <c r="AI23" s="31"/>
      <c r="AJ23" s="120"/>
      <c r="AK23" s="258">
        <f aca="true" t="shared" si="32" ref="AK23:AK28">SUM(Y23:AJ23)</f>
        <v>12037</v>
      </c>
      <c r="AL23" s="297">
        <f t="shared" si="20"/>
        <v>4012.3333333333335</v>
      </c>
      <c r="AM23" s="243">
        <f t="shared" si="21"/>
        <v>-183</v>
      </c>
      <c r="AN23" s="219">
        <f t="shared" si="22"/>
        <v>-0.04638783269961977</v>
      </c>
      <c r="AP23" t="str">
        <f aca="true" t="shared" si="33" ref="AP23:AP30">E23</f>
        <v>Reported Source - Telephone</v>
      </c>
      <c r="AQ23" s="338">
        <f t="shared" si="12"/>
        <v>4495</v>
      </c>
      <c r="AR23" s="338">
        <f t="shared" si="13"/>
        <v>4146</v>
      </c>
      <c r="AS23" s="338">
        <f t="shared" si="14"/>
        <v>4335</v>
      </c>
      <c r="AT23" s="338">
        <f t="shared" si="15"/>
        <v>4330</v>
      </c>
      <c r="AU23" s="338">
        <f t="shared" si="15"/>
        <v>3945</v>
      </c>
      <c r="AV23" s="338">
        <f t="shared" si="15"/>
        <v>3762</v>
      </c>
      <c r="AW23" s="338">
        <f t="shared" si="23"/>
        <v>0</v>
      </c>
      <c r="AX23" s="338">
        <f t="shared" si="24"/>
        <v>0</v>
      </c>
      <c r="AY23" s="338">
        <f t="shared" si="25"/>
        <v>0</v>
      </c>
      <c r="AZ23" s="338">
        <f t="shared" si="26"/>
        <v>0</v>
      </c>
      <c r="BA23" s="338">
        <f t="shared" si="27"/>
        <v>0</v>
      </c>
      <c r="BB23" s="338">
        <f t="shared" si="28"/>
        <v>0</v>
      </c>
      <c r="BC23" s="338">
        <f t="shared" si="29"/>
        <v>0</v>
      </c>
      <c r="BD23" s="338">
        <f t="shared" si="30"/>
        <v>0</v>
      </c>
      <c r="BE23" s="338">
        <f t="shared" si="31"/>
        <v>0</v>
      </c>
    </row>
    <row r="24" spans="1:57" ht="15.75">
      <c r="A24" s="13"/>
      <c r="B24" s="79"/>
      <c r="C24" s="79" t="s">
        <v>55</v>
      </c>
      <c r="D24" s="7"/>
      <c r="E24" s="388" t="s">
        <v>60</v>
      </c>
      <c r="F24" s="388"/>
      <c r="G24" s="389"/>
      <c r="H24" s="103">
        <v>2074</v>
      </c>
      <c r="I24" s="31">
        <v>1658</v>
      </c>
      <c r="J24" s="103">
        <v>1701</v>
      </c>
      <c r="K24" s="31"/>
      <c r="L24" s="120"/>
      <c r="M24" s="31"/>
      <c r="N24" s="120"/>
      <c r="O24" s="31"/>
      <c r="P24" s="120"/>
      <c r="Q24" s="31"/>
      <c r="R24" s="120"/>
      <c r="S24" s="31"/>
      <c r="T24" s="120"/>
      <c r="U24" s="31"/>
      <c r="V24" s="120"/>
      <c r="W24" s="317">
        <f t="shared" si="19"/>
        <v>5433</v>
      </c>
      <c r="X24" s="280">
        <f t="shared" si="18"/>
        <v>1811</v>
      </c>
      <c r="Y24" s="31">
        <v>1872</v>
      </c>
      <c r="Z24" s="120">
        <v>1576</v>
      </c>
      <c r="AA24" s="31">
        <v>1459</v>
      </c>
      <c r="AB24" s="120"/>
      <c r="AC24" s="31"/>
      <c r="AD24" s="120"/>
      <c r="AE24" s="31"/>
      <c r="AF24" s="120"/>
      <c r="AG24" s="31"/>
      <c r="AH24" s="120"/>
      <c r="AI24" s="31"/>
      <c r="AJ24" s="120"/>
      <c r="AK24" s="258">
        <f t="shared" si="32"/>
        <v>4907</v>
      </c>
      <c r="AL24" s="297">
        <f t="shared" si="20"/>
        <v>1635.6666666666667</v>
      </c>
      <c r="AM24" s="243">
        <f t="shared" si="21"/>
        <v>-117</v>
      </c>
      <c r="AN24" s="219">
        <f t="shared" si="22"/>
        <v>-0.07423857868020305</v>
      </c>
      <c r="AP24" t="str">
        <f t="shared" si="33"/>
        <v>Reported Source - Email</v>
      </c>
      <c r="AQ24" s="338">
        <f t="shared" si="12"/>
        <v>2074</v>
      </c>
      <c r="AR24" s="338">
        <f t="shared" si="13"/>
        <v>1658</v>
      </c>
      <c r="AS24" s="338">
        <f t="shared" si="14"/>
        <v>1701</v>
      </c>
      <c r="AT24" s="338">
        <f t="shared" si="15"/>
        <v>1872</v>
      </c>
      <c r="AU24" s="338">
        <f t="shared" si="15"/>
        <v>1576</v>
      </c>
      <c r="AV24" s="338">
        <f t="shared" si="15"/>
        <v>1459</v>
      </c>
      <c r="AW24" s="338">
        <f t="shared" si="23"/>
        <v>0</v>
      </c>
      <c r="AX24" s="338">
        <f t="shared" si="24"/>
        <v>0</v>
      </c>
      <c r="AY24" s="338">
        <f t="shared" si="25"/>
        <v>0</v>
      </c>
      <c r="AZ24" s="338">
        <f t="shared" si="26"/>
        <v>0</v>
      </c>
      <c r="BA24" s="338">
        <f t="shared" si="27"/>
        <v>0</v>
      </c>
      <c r="BB24" s="338">
        <f t="shared" si="28"/>
        <v>0</v>
      </c>
      <c r="BC24" s="338">
        <f t="shared" si="29"/>
        <v>0</v>
      </c>
      <c r="BD24" s="338">
        <f t="shared" si="30"/>
        <v>0</v>
      </c>
      <c r="BE24" s="338">
        <f t="shared" si="31"/>
        <v>0</v>
      </c>
    </row>
    <row r="25" spans="1:57" ht="15.75">
      <c r="A25" s="13"/>
      <c r="B25" s="79"/>
      <c r="C25" s="79" t="s">
        <v>56</v>
      </c>
      <c r="D25" s="7"/>
      <c r="E25" s="388" t="s">
        <v>61</v>
      </c>
      <c r="F25" s="388"/>
      <c r="G25" s="389"/>
      <c r="H25" s="103">
        <v>1075</v>
      </c>
      <c r="I25" s="31">
        <v>1723</v>
      </c>
      <c r="J25" s="103">
        <v>1327</v>
      </c>
      <c r="K25" s="31"/>
      <c r="L25" s="120"/>
      <c r="M25" s="31"/>
      <c r="N25" s="120"/>
      <c r="O25" s="31"/>
      <c r="P25" s="120"/>
      <c r="Q25" s="31"/>
      <c r="R25" s="120"/>
      <c r="S25" s="31"/>
      <c r="T25" s="120"/>
      <c r="U25" s="31"/>
      <c r="V25" s="120"/>
      <c r="W25" s="317">
        <f t="shared" si="19"/>
        <v>4125</v>
      </c>
      <c r="X25" s="280">
        <f t="shared" si="18"/>
        <v>1375</v>
      </c>
      <c r="Y25" s="31">
        <v>951</v>
      </c>
      <c r="Z25" s="120">
        <v>1054</v>
      </c>
      <c r="AA25" s="31">
        <v>968</v>
      </c>
      <c r="AB25" s="120"/>
      <c r="AC25" s="31"/>
      <c r="AD25" s="120"/>
      <c r="AE25" s="31"/>
      <c r="AF25" s="120"/>
      <c r="AG25" s="31"/>
      <c r="AH25" s="120"/>
      <c r="AI25" s="31"/>
      <c r="AJ25" s="120"/>
      <c r="AK25" s="258">
        <f t="shared" si="32"/>
        <v>2973</v>
      </c>
      <c r="AL25" s="297">
        <f t="shared" si="20"/>
        <v>991</v>
      </c>
      <c r="AM25" s="243">
        <f t="shared" si="21"/>
        <v>-86</v>
      </c>
      <c r="AN25" s="219">
        <f t="shared" si="22"/>
        <v>-0.08159392789373814</v>
      </c>
      <c r="AP25" t="str">
        <f t="shared" si="33"/>
        <v>Reported Source - Fax</v>
      </c>
      <c r="AQ25" s="338">
        <f t="shared" si="12"/>
        <v>1075</v>
      </c>
      <c r="AR25" s="338">
        <f t="shared" si="13"/>
        <v>1723</v>
      </c>
      <c r="AS25" s="338">
        <f t="shared" si="14"/>
        <v>1327</v>
      </c>
      <c r="AT25" s="338">
        <f t="shared" si="15"/>
        <v>951</v>
      </c>
      <c r="AU25" s="338">
        <f t="shared" si="15"/>
        <v>1054</v>
      </c>
      <c r="AV25" s="338">
        <f t="shared" si="15"/>
        <v>968</v>
      </c>
      <c r="AW25" s="338">
        <f t="shared" si="23"/>
        <v>0</v>
      </c>
      <c r="AX25" s="338">
        <f t="shared" si="24"/>
        <v>0</v>
      </c>
      <c r="AY25" s="338">
        <f t="shared" si="25"/>
        <v>0</v>
      </c>
      <c r="AZ25" s="338">
        <f t="shared" si="26"/>
        <v>0</v>
      </c>
      <c r="BA25" s="338">
        <f t="shared" si="27"/>
        <v>0</v>
      </c>
      <c r="BB25" s="338">
        <f t="shared" si="28"/>
        <v>0</v>
      </c>
      <c r="BC25" s="338">
        <f t="shared" si="29"/>
        <v>0</v>
      </c>
      <c r="BD25" s="338">
        <f t="shared" si="30"/>
        <v>0</v>
      </c>
      <c r="BE25" s="338">
        <f t="shared" si="31"/>
        <v>0</v>
      </c>
    </row>
    <row r="26" spans="1:57" ht="15.75">
      <c r="A26" s="13"/>
      <c r="B26" s="79"/>
      <c r="C26" s="79" t="s">
        <v>57</v>
      </c>
      <c r="D26" s="7"/>
      <c r="E26" s="388" t="s">
        <v>62</v>
      </c>
      <c r="F26" s="388"/>
      <c r="G26" s="389"/>
      <c r="H26" s="103">
        <v>569</v>
      </c>
      <c r="I26" s="31">
        <v>602</v>
      </c>
      <c r="J26" s="103">
        <v>592</v>
      </c>
      <c r="K26" s="31"/>
      <c r="L26" s="120"/>
      <c r="M26" s="31"/>
      <c r="N26" s="120"/>
      <c r="O26" s="31"/>
      <c r="P26" s="120"/>
      <c r="Q26" s="31"/>
      <c r="R26" s="120"/>
      <c r="S26" s="31"/>
      <c r="T26" s="120"/>
      <c r="U26" s="31"/>
      <c r="V26" s="120"/>
      <c r="W26" s="317">
        <f t="shared" si="19"/>
        <v>1763</v>
      </c>
      <c r="X26" s="280">
        <f t="shared" si="18"/>
        <v>587.6666666666666</v>
      </c>
      <c r="Y26" s="31">
        <v>412</v>
      </c>
      <c r="Z26" s="120">
        <v>473</v>
      </c>
      <c r="AA26" s="31">
        <v>476</v>
      </c>
      <c r="AB26" s="120"/>
      <c r="AC26" s="31"/>
      <c r="AD26" s="120"/>
      <c r="AE26" s="31"/>
      <c r="AF26" s="120"/>
      <c r="AG26" s="31"/>
      <c r="AH26" s="120"/>
      <c r="AI26" s="31"/>
      <c r="AJ26" s="120"/>
      <c r="AK26" s="258">
        <f t="shared" si="32"/>
        <v>1361</v>
      </c>
      <c r="AL26" s="297">
        <f t="shared" si="20"/>
        <v>453.6666666666667</v>
      </c>
      <c r="AM26" s="243">
        <f t="shared" si="21"/>
        <v>3</v>
      </c>
      <c r="AN26" s="219">
        <f t="shared" si="22"/>
        <v>0.006342494714587738</v>
      </c>
      <c r="AP26" t="str">
        <f t="shared" si="33"/>
        <v>Reported Source - US Mail</v>
      </c>
      <c r="AQ26" s="338">
        <f t="shared" si="12"/>
        <v>569</v>
      </c>
      <c r="AR26" s="338">
        <f t="shared" si="13"/>
        <v>602</v>
      </c>
      <c r="AS26" s="338">
        <f t="shared" si="14"/>
        <v>592</v>
      </c>
      <c r="AT26" s="338">
        <f t="shared" si="15"/>
        <v>412</v>
      </c>
      <c r="AU26" s="338">
        <f t="shared" si="15"/>
        <v>473</v>
      </c>
      <c r="AV26" s="338">
        <f t="shared" si="15"/>
        <v>476</v>
      </c>
      <c r="AW26" s="338">
        <f t="shared" si="23"/>
        <v>0</v>
      </c>
      <c r="AX26" s="338">
        <f t="shared" si="24"/>
        <v>0</v>
      </c>
      <c r="AY26" s="338">
        <f t="shared" si="25"/>
        <v>0</v>
      </c>
      <c r="AZ26" s="338">
        <f t="shared" si="26"/>
        <v>0</v>
      </c>
      <c r="BA26" s="338">
        <f t="shared" si="27"/>
        <v>0</v>
      </c>
      <c r="BB26" s="338">
        <f t="shared" si="28"/>
        <v>0</v>
      </c>
      <c r="BC26" s="338">
        <f t="shared" si="29"/>
        <v>0</v>
      </c>
      <c r="BD26" s="338">
        <f t="shared" si="30"/>
        <v>0</v>
      </c>
      <c r="BE26" s="338">
        <f t="shared" si="31"/>
        <v>0</v>
      </c>
    </row>
    <row r="27" spans="1:57" ht="15.75">
      <c r="A27" s="13"/>
      <c r="B27" s="133"/>
      <c r="C27" s="133" t="s">
        <v>58</v>
      </c>
      <c r="D27" s="43"/>
      <c r="E27" s="404" t="s">
        <v>63</v>
      </c>
      <c r="F27" s="404"/>
      <c r="G27" s="405"/>
      <c r="H27" s="136">
        <v>372</v>
      </c>
      <c r="I27" s="44">
        <v>186</v>
      </c>
      <c r="J27" s="136">
        <v>199</v>
      </c>
      <c r="K27" s="44"/>
      <c r="L27" s="137"/>
      <c r="M27" s="44"/>
      <c r="N27" s="137"/>
      <c r="O27" s="44"/>
      <c r="P27" s="137"/>
      <c r="Q27" s="44"/>
      <c r="R27" s="137"/>
      <c r="S27" s="44"/>
      <c r="T27" s="137"/>
      <c r="U27" s="44"/>
      <c r="V27" s="137"/>
      <c r="W27" s="318">
        <f t="shared" si="19"/>
        <v>757</v>
      </c>
      <c r="X27" s="284">
        <f t="shared" si="18"/>
        <v>252.33333333333334</v>
      </c>
      <c r="Y27" s="44">
        <v>222</v>
      </c>
      <c r="Z27" s="137">
        <v>45</v>
      </c>
      <c r="AA27" s="44">
        <v>45</v>
      </c>
      <c r="AB27" s="137"/>
      <c r="AC27" s="44"/>
      <c r="AD27" s="137"/>
      <c r="AE27" s="44"/>
      <c r="AF27" s="137"/>
      <c r="AG27" s="44"/>
      <c r="AH27" s="137"/>
      <c r="AI27" s="44"/>
      <c r="AJ27" s="137"/>
      <c r="AK27" s="274">
        <f t="shared" si="32"/>
        <v>312</v>
      </c>
      <c r="AL27" s="298">
        <f t="shared" si="20"/>
        <v>104</v>
      </c>
      <c r="AM27" s="366">
        <f t="shared" si="21"/>
        <v>0</v>
      </c>
      <c r="AN27" s="230">
        <f t="shared" si="22"/>
        <v>0</v>
      </c>
      <c r="AP27" t="str">
        <f t="shared" si="33"/>
        <v>Reported Source - Other</v>
      </c>
      <c r="AQ27" s="342">
        <f t="shared" si="12"/>
        <v>372</v>
      </c>
      <c r="AR27" s="342">
        <f t="shared" si="13"/>
        <v>186</v>
      </c>
      <c r="AS27" s="342">
        <f t="shared" si="14"/>
        <v>199</v>
      </c>
      <c r="AT27" s="342">
        <f t="shared" si="15"/>
        <v>222</v>
      </c>
      <c r="AU27" s="342">
        <f t="shared" si="15"/>
        <v>45</v>
      </c>
      <c r="AV27" s="342">
        <f t="shared" si="15"/>
        <v>45</v>
      </c>
      <c r="AW27" s="342">
        <f t="shared" si="23"/>
        <v>0</v>
      </c>
      <c r="AX27" s="342">
        <f t="shared" si="24"/>
        <v>0</v>
      </c>
      <c r="AY27" s="342">
        <f t="shared" si="25"/>
        <v>0</v>
      </c>
      <c r="AZ27" s="342">
        <f t="shared" si="26"/>
        <v>0</v>
      </c>
      <c r="BA27" s="342">
        <f t="shared" si="27"/>
        <v>0</v>
      </c>
      <c r="BB27" s="342">
        <f t="shared" si="28"/>
        <v>0</v>
      </c>
      <c r="BC27" s="342">
        <f t="shared" si="29"/>
        <v>0</v>
      </c>
      <c r="BD27" s="342">
        <f t="shared" si="30"/>
        <v>0</v>
      </c>
      <c r="BE27" s="342">
        <f t="shared" si="31"/>
        <v>0</v>
      </c>
    </row>
    <row r="28" spans="1:57" ht="15.75">
      <c r="A28" s="13"/>
      <c r="B28" s="79">
        <v>3.2</v>
      </c>
      <c r="C28" s="7"/>
      <c r="D28" s="7"/>
      <c r="E28" s="410" t="s">
        <v>64</v>
      </c>
      <c r="F28" s="410"/>
      <c r="G28" s="411"/>
      <c r="H28" s="103">
        <v>9181</v>
      </c>
      <c r="I28" s="31">
        <v>8296</v>
      </c>
      <c r="J28" s="103">
        <v>8747</v>
      </c>
      <c r="K28" s="31"/>
      <c r="L28" s="120"/>
      <c r="M28" s="31"/>
      <c r="N28" s="120"/>
      <c r="O28" s="31"/>
      <c r="P28" s="120"/>
      <c r="Q28" s="31"/>
      <c r="R28" s="120"/>
      <c r="S28" s="31"/>
      <c r="T28" s="120"/>
      <c r="U28" s="31"/>
      <c r="V28" s="120"/>
      <c r="W28" s="258">
        <f t="shared" si="19"/>
        <v>26224</v>
      </c>
      <c r="X28" s="280">
        <f t="shared" si="18"/>
        <v>8741.333333333334</v>
      </c>
      <c r="Y28" s="31">
        <v>7873</v>
      </c>
      <c r="Z28" s="120">
        <v>7182</v>
      </c>
      <c r="AA28" s="31">
        <v>6898</v>
      </c>
      <c r="AB28" s="120"/>
      <c r="AC28" s="31"/>
      <c r="AD28" s="120"/>
      <c r="AE28" s="31"/>
      <c r="AF28" s="120"/>
      <c r="AG28" s="31"/>
      <c r="AH28" s="120"/>
      <c r="AI28" s="31"/>
      <c r="AJ28" s="120"/>
      <c r="AK28" s="258">
        <f t="shared" si="32"/>
        <v>21953</v>
      </c>
      <c r="AL28" s="297">
        <f t="shared" si="20"/>
        <v>7317.666666666667</v>
      </c>
      <c r="AM28" s="243">
        <f t="shared" si="21"/>
        <v>-284</v>
      </c>
      <c r="AN28" s="219">
        <f t="shared" si="22"/>
        <v>-0.039543302701197436</v>
      </c>
      <c r="AP28" t="str">
        <f t="shared" si="33"/>
        <v>Resolved Tickets</v>
      </c>
      <c r="AQ28" s="338">
        <f t="shared" si="12"/>
        <v>9181</v>
      </c>
      <c r="AR28" s="338">
        <f t="shared" si="13"/>
        <v>8296</v>
      </c>
      <c r="AS28" s="338">
        <f t="shared" si="14"/>
        <v>8747</v>
      </c>
      <c r="AT28" s="338">
        <f t="shared" si="15"/>
        <v>7873</v>
      </c>
      <c r="AU28" s="338">
        <f t="shared" si="15"/>
        <v>7182</v>
      </c>
      <c r="AV28" s="338">
        <f t="shared" si="15"/>
        <v>6898</v>
      </c>
      <c r="AW28" s="338">
        <f t="shared" si="23"/>
        <v>0</v>
      </c>
      <c r="AX28" s="338">
        <f t="shared" si="24"/>
        <v>0</v>
      </c>
      <c r="AY28" s="338">
        <f t="shared" si="25"/>
        <v>0</v>
      </c>
      <c r="AZ28" s="338">
        <f t="shared" si="26"/>
        <v>0</v>
      </c>
      <c r="BA28" s="338">
        <f t="shared" si="27"/>
        <v>0</v>
      </c>
      <c r="BB28" s="338">
        <f t="shared" si="28"/>
        <v>0</v>
      </c>
      <c r="BC28" s="338">
        <f t="shared" si="29"/>
        <v>0</v>
      </c>
      <c r="BD28" s="338">
        <f t="shared" si="30"/>
        <v>0</v>
      </c>
      <c r="BE28" s="338">
        <f t="shared" si="31"/>
        <v>0</v>
      </c>
    </row>
    <row r="29" spans="1:57" ht="15.75">
      <c r="A29" s="13"/>
      <c r="B29" s="79">
        <v>3.3</v>
      </c>
      <c r="C29" s="7"/>
      <c r="D29" s="7"/>
      <c r="E29" s="398" t="s">
        <v>65</v>
      </c>
      <c r="F29" s="398"/>
      <c r="G29" s="399"/>
      <c r="H29" s="141">
        <v>6.6</v>
      </c>
      <c r="I29" s="142">
        <v>4.6</v>
      </c>
      <c r="J29" s="141">
        <v>4.9</v>
      </c>
      <c r="K29" s="142"/>
      <c r="L29" s="303"/>
      <c r="M29" s="142"/>
      <c r="N29" s="303"/>
      <c r="O29" s="142"/>
      <c r="P29" s="303"/>
      <c r="Q29" s="142"/>
      <c r="R29" s="303"/>
      <c r="S29" s="142"/>
      <c r="T29" s="303"/>
      <c r="U29" s="142"/>
      <c r="V29" s="303"/>
      <c r="W29" s="259" t="s">
        <v>46</v>
      </c>
      <c r="X29" s="285">
        <f t="shared" si="18"/>
        <v>5.366666666666667</v>
      </c>
      <c r="Y29" s="142">
        <v>4.3</v>
      </c>
      <c r="Z29" s="303">
        <v>3.3</v>
      </c>
      <c r="AA29" s="142">
        <v>2.8</v>
      </c>
      <c r="AB29" s="303"/>
      <c r="AC29" s="142"/>
      <c r="AD29" s="303"/>
      <c r="AE29" s="142"/>
      <c r="AF29" s="303"/>
      <c r="AG29" s="142"/>
      <c r="AH29" s="303"/>
      <c r="AI29" s="142"/>
      <c r="AJ29" s="303"/>
      <c r="AK29" s="364">
        <v>0</v>
      </c>
      <c r="AL29" s="285">
        <f t="shared" si="20"/>
        <v>3.4666666666666663</v>
      </c>
      <c r="AM29" s="242">
        <f t="shared" si="21"/>
        <v>-0.5</v>
      </c>
      <c r="AN29" s="219">
        <f t="shared" si="22"/>
        <v>-0.15151515151515152</v>
      </c>
      <c r="AP29" t="str">
        <f t="shared" si="33"/>
        <v>Average Time to Resolve (Days)</v>
      </c>
      <c r="AQ29" s="343">
        <f t="shared" si="12"/>
        <v>6.6</v>
      </c>
      <c r="AR29" s="343">
        <f t="shared" si="13"/>
        <v>4.6</v>
      </c>
      <c r="AS29" s="343">
        <f t="shared" si="14"/>
        <v>4.9</v>
      </c>
      <c r="AT29" s="343">
        <f t="shared" si="15"/>
        <v>4.3</v>
      </c>
      <c r="AU29" s="343">
        <f t="shared" si="15"/>
        <v>3.3</v>
      </c>
      <c r="AV29" s="343">
        <f t="shared" si="15"/>
        <v>2.8</v>
      </c>
      <c r="AW29" s="343">
        <f t="shared" si="23"/>
        <v>0</v>
      </c>
      <c r="AX29" s="343">
        <f t="shared" si="24"/>
        <v>0</v>
      </c>
      <c r="AY29" s="343">
        <f t="shared" si="25"/>
        <v>0</v>
      </c>
      <c r="AZ29" s="343">
        <f t="shared" si="26"/>
        <v>0</v>
      </c>
      <c r="BA29" s="343">
        <f t="shared" si="27"/>
        <v>0</v>
      </c>
      <c r="BB29" s="343">
        <f t="shared" si="28"/>
        <v>0</v>
      </c>
      <c r="BC29" s="343">
        <f t="shared" si="29"/>
        <v>0</v>
      </c>
      <c r="BD29" s="343">
        <f t="shared" si="30"/>
        <v>0</v>
      </c>
      <c r="BE29" s="343">
        <f t="shared" si="31"/>
        <v>0</v>
      </c>
    </row>
    <row r="30" spans="1:57" ht="16.5" thickBot="1">
      <c r="A30" s="11"/>
      <c r="B30" s="80">
        <v>3.4</v>
      </c>
      <c r="C30" s="4"/>
      <c r="D30" s="4"/>
      <c r="E30" s="386" t="s">
        <v>66</v>
      </c>
      <c r="F30" s="386"/>
      <c r="G30" s="387"/>
      <c r="H30" s="95">
        <v>1631</v>
      </c>
      <c r="I30" s="24">
        <v>1656</v>
      </c>
      <c r="J30" s="95">
        <v>1065</v>
      </c>
      <c r="K30" s="24"/>
      <c r="L30" s="114"/>
      <c r="M30" s="24"/>
      <c r="N30" s="114"/>
      <c r="O30" s="24"/>
      <c r="P30" s="114"/>
      <c r="Q30" s="24"/>
      <c r="R30" s="114"/>
      <c r="S30" s="24"/>
      <c r="T30" s="114"/>
      <c r="U30" s="24"/>
      <c r="V30" s="114"/>
      <c r="W30" s="262" t="s">
        <v>46</v>
      </c>
      <c r="X30" s="286">
        <f t="shared" si="18"/>
        <v>1450.6666666666667</v>
      </c>
      <c r="Y30" s="24">
        <v>998</v>
      </c>
      <c r="Z30" s="114">
        <v>942</v>
      </c>
      <c r="AA30" s="24">
        <v>758</v>
      </c>
      <c r="AB30" s="114"/>
      <c r="AC30" s="24"/>
      <c r="AD30" s="114"/>
      <c r="AE30" s="24"/>
      <c r="AF30" s="114"/>
      <c r="AG30" s="24"/>
      <c r="AH30" s="114"/>
      <c r="AI30" s="24"/>
      <c r="AJ30" s="114"/>
      <c r="AK30" s="262">
        <v>0</v>
      </c>
      <c r="AL30" s="299">
        <f t="shared" si="20"/>
        <v>899.3333333333334</v>
      </c>
      <c r="AM30" s="246">
        <f t="shared" si="21"/>
        <v>-184</v>
      </c>
      <c r="AN30" s="224">
        <f t="shared" si="22"/>
        <v>-0.19532908704883228</v>
      </c>
      <c r="AP30" t="str">
        <f t="shared" si="33"/>
        <v>Open Tickets at Month End</v>
      </c>
      <c r="AQ30" s="344">
        <f t="shared" si="12"/>
        <v>1631</v>
      </c>
      <c r="AR30" s="344">
        <f t="shared" si="13"/>
        <v>1656</v>
      </c>
      <c r="AS30" s="344">
        <f t="shared" si="14"/>
        <v>1065</v>
      </c>
      <c r="AT30" s="344">
        <f t="shared" si="15"/>
        <v>998</v>
      </c>
      <c r="AU30" s="344">
        <f t="shared" si="15"/>
        <v>942</v>
      </c>
      <c r="AV30" s="344">
        <f t="shared" si="15"/>
        <v>758</v>
      </c>
      <c r="AW30" s="344">
        <f t="shared" si="23"/>
        <v>0</v>
      </c>
      <c r="AX30" s="344">
        <f t="shared" si="24"/>
        <v>0</v>
      </c>
      <c r="AY30" s="344">
        <f t="shared" si="25"/>
        <v>0</v>
      </c>
      <c r="AZ30" s="344">
        <f t="shared" si="26"/>
        <v>0</v>
      </c>
      <c r="BA30" s="344">
        <f t="shared" si="27"/>
        <v>0</v>
      </c>
      <c r="BB30" s="344">
        <f t="shared" si="28"/>
        <v>0</v>
      </c>
      <c r="BC30" s="344">
        <f t="shared" si="29"/>
        <v>0</v>
      </c>
      <c r="BD30" s="344">
        <f t="shared" si="30"/>
        <v>0</v>
      </c>
      <c r="BE30" s="344">
        <f t="shared" si="31"/>
        <v>0</v>
      </c>
    </row>
    <row r="31" spans="1:40" ht="15.75" customHeight="1">
      <c r="A31" s="13">
        <v>4</v>
      </c>
      <c r="B31" s="7" t="s">
        <v>95</v>
      </c>
      <c r="C31" s="10"/>
      <c r="D31" s="10"/>
      <c r="E31" s="2"/>
      <c r="F31" s="2"/>
      <c r="G31" s="2"/>
      <c r="H31" s="181"/>
      <c r="J31" s="100"/>
      <c r="L31" s="117"/>
      <c r="N31" s="117"/>
      <c r="P31" s="117"/>
      <c r="R31" s="117"/>
      <c r="T31" s="117"/>
      <c r="V31" s="117"/>
      <c r="W31" s="260"/>
      <c r="X31" s="287"/>
      <c r="Z31" s="117"/>
      <c r="AB31" s="117"/>
      <c r="AD31" s="117"/>
      <c r="AF31" s="117"/>
      <c r="AH31" s="117"/>
      <c r="AJ31" s="117"/>
      <c r="AK31" s="260"/>
      <c r="AL31" s="287"/>
      <c r="AM31" s="218"/>
      <c r="AN31" s="219"/>
    </row>
    <row r="32" spans="1:57" ht="15.75">
      <c r="A32" s="13"/>
      <c r="B32" s="79">
        <v>4.1</v>
      </c>
      <c r="C32" s="7"/>
      <c r="D32" s="7"/>
      <c r="E32" s="388" t="s">
        <v>24</v>
      </c>
      <c r="F32" s="388"/>
      <c r="G32" s="389"/>
      <c r="H32" s="144">
        <v>63</v>
      </c>
      <c r="I32" s="182">
        <v>64</v>
      </c>
      <c r="J32" s="101">
        <v>63</v>
      </c>
      <c r="K32" s="182"/>
      <c r="L32" s="118"/>
      <c r="M32" s="182"/>
      <c r="N32" s="118"/>
      <c r="O32" s="182"/>
      <c r="P32" s="118"/>
      <c r="Q32" s="182"/>
      <c r="R32" s="118"/>
      <c r="S32" s="182"/>
      <c r="T32" s="118"/>
      <c r="U32" s="182"/>
      <c r="V32" s="118"/>
      <c r="W32" s="260" t="s">
        <v>46</v>
      </c>
      <c r="X32" s="281">
        <f>SUM(H32:V32)/$W$4</f>
        <v>63.333333333333336</v>
      </c>
      <c r="Y32" s="182">
        <v>63</v>
      </c>
      <c r="Z32" s="118">
        <v>63</v>
      </c>
      <c r="AA32" s="182">
        <v>61</v>
      </c>
      <c r="AB32" s="118"/>
      <c r="AC32" s="182"/>
      <c r="AD32" s="118"/>
      <c r="AE32" s="182"/>
      <c r="AF32" s="118"/>
      <c r="AG32" s="182"/>
      <c r="AH32" s="118"/>
      <c r="AI32" s="182"/>
      <c r="AJ32" s="118"/>
      <c r="AK32" s="260" t="s">
        <v>46</v>
      </c>
      <c r="AL32" s="281">
        <f>SUM(Y32:AJ32)/$AK$4</f>
        <v>62.333333333333336</v>
      </c>
      <c r="AM32" s="218">
        <f>AA32-Z32</f>
        <v>-2</v>
      </c>
      <c r="AN32" s="219">
        <f>AM32/Z32</f>
        <v>-0.031746031746031744</v>
      </c>
      <c r="AP32" t="str">
        <f>E32</f>
        <v>Number Call Center Agents</v>
      </c>
      <c r="AQ32" s="339">
        <f t="shared" si="12"/>
        <v>63</v>
      </c>
      <c r="AR32" s="339">
        <f t="shared" si="13"/>
        <v>64</v>
      </c>
      <c r="AS32" s="339">
        <f t="shared" si="14"/>
        <v>63</v>
      </c>
      <c r="AT32" s="339">
        <f t="shared" si="15"/>
        <v>63</v>
      </c>
      <c r="AU32" s="339">
        <f t="shared" si="15"/>
        <v>63</v>
      </c>
      <c r="AV32" s="339">
        <f t="shared" si="15"/>
        <v>61</v>
      </c>
      <c r="AW32" s="339">
        <f aca="true" t="shared" si="34" ref="AW32:BE34">AB32</f>
        <v>0</v>
      </c>
      <c r="AX32" s="339">
        <f t="shared" si="34"/>
        <v>0</v>
      </c>
      <c r="AY32" s="339">
        <f t="shared" si="34"/>
        <v>0</v>
      </c>
      <c r="AZ32" s="339">
        <f t="shared" si="34"/>
        <v>0</v>
      </c>
      <c r="BA32" s="339">
        <f t="shared" si="34"/>
        <v>0</v>
      </c>
      <c r="BB32" s="339">
        <f t="shared" si="34"/>
        <v>0</v>
      </c>
      <c r="BC32" s="339">
        <f t="shared" si="34"/>
        <v>0</v>
      </c>
      <c r="BD32" s="339">
        <f t="shared" si="34"/>
        <v>0</v>
      </c>
      <c r="BE32" s="339">
        <f t="shared" si="34"/>
        <v>0</v>
      </c>
    </row>
    <row r="33" spans="1:57" s="188" customFormat="1" ht="15.75">
      <c r="A33" s="183"/>
      <c r="B33" s="184">
        <v>4.2</v>
      </c>
      <c r="C33" s="178"/>
      <c r="D33" s="178"/>
      <c r="E33" s="402" t="s">
        <v>89</v>
      </c>
      <c r="F33" s="402"/>
      <c r="G33" s="403"/>
      <c r="H33" s="185">
        <f>H13/H32</f>
        <v>95.80952380952381</v>
      </c>
      <c r="I33" s="186">
        <f>I13/I32</f>
        <v>82.046875</v>
      </c>
      <c r="J33" s="185">
        <f>J13/J32</f>
        <v>85.5079365079365</v>
      </c>
      <c r="K33" s="186"/>
      <c r="L33" s="187"/>
      <c r="M33" s="186"/>
      <c r="N33" s="187"/>
      <c r="O33" s="186"/>
      <c r="P33" s="187"/>
      <c r="Q33" s="186"/>
      <c r="R33" s="187"/>
      <c r="S33" s="186"/>
      <c r="T33" s="187"/>
      <c r="U33" s="186"/>
      <c r="V33" s="187"/>
      <c r="W33" s="263" t="s">
        <v>46</v>
      </c>
      <c r="X33" s="288">
        <f>SUM(H33:V33)/$W$4</f>
        <v>87.78811177248677</v>
      </c>
      <c r="Y33" s="186">
        <f>Y13/Y32</f>
        <v>82.4920634920635</v>
      </c>
      <c r="Z33" s="187">
        <f>Z13/Z32</f>
        <v>72.98412698412699</v>
      </c>
      <c r="AA33" s="186">
        <f>AA13/AA32</f>
        <v>73.44262295081967</v>
      </c>
      <c r="AB33" s="187"/>
      <c r="AC33" s="186"/>
      <c r="AD33" s="187"/>
      <c r="AE33" s="186"/>
      <c r="AF33" s="187"/>
      <c r="AG33" s="186"/>
      <c r="AH33" s="187"/>
      <c r="AI33" s="186"/>
      <c r="AJ33" s="187"/>
      <c r="AK33" s="263" t="s">
        <v>46</v>
      </c>
      <c r="AL33" s="288">
        <f>SUM(Y33:AJ33)/$AK$4</f>
        <v>76.30627114233671</v>
      </c>
      <c r="AM33" s="218">
        <f>AA33-Z33</f>
        <v>0.45849596669268067</v>
      </c>
      <c r="AN33" s="219">
        <f>AM33/Z33</f>
        <v>0.006282132644984533</v>
      </c>
      <c r="AP33" s="188" t="str">
        <f>E33</f>
        <v>Average Number of Calls/Agent</v>
      </c>
      <c r="AQ33" s="346">
        <f t="shared" si="12"/>
        <v>95.80952380952381</v>
      </c>
      <c r="AR33" s="346">
        <f t="shared" si="13"/>
        <v>82.046875</v>
      </c>
      <c r="AS33" s="346">
        <f t="shared" si="14"/>
        <v>85.5079365079365</v>
      </c>
      <c r="AT33" s="346">
        <f t="shared" si="15"/>
        <v>82.4920634920635</v>
      </c>
      <c r="AU33" s="346">
        <f t="shared" si="15"/>
        <v>72.98412698412699</v>
      </c>
      <c r="AV33" s="346">
        <f t="shared" si="15"/>
        <v>73.44262295081967</v>
      </c>
      <c r="AW33" s="346">
        <f t="shared" si="34"/>
        <v>0</v>
      </c>
      <c r="AX33" s="346">
        <f t="shared" si="34"/>
        <v>0</v>
      </c>
      <c r="AY33" s="346">
        <f t="shared" si="34"/>
        <v>0</v>
      </c>
      <c r="AZ33" s="346">
        <f t="shared" si="34"/>
        <v>0</v>
      </c>
      <c r="BA33" s="346">
        <f t="shared" si="34"/>
        <v>0</v>
      </c>
      <c r="BB33" s="346">
        <f t="shared" si="34"/>
        <v>0</v>
      </c>
      <c r="BC33" s="346">
        <f t="shared" si="34"/>
        <v>0</v>
      </c>
      <c r="BD33" s="346">
        <f t="shared" si="34"/>
        <v>0</v>
      </c>
      <c r="BE33" s="346">
        <f t="shared" si="34"/>
        <v>0</v>
      </c>
    </row>
    <row r="34" spans="1:57" s="191" customFormat="1" ht="16.5" thickBot="1">
      <c r="A34" s="189"/>
      <c r="B34" s="190">
        <v>4.3</v>
      </c>
      <c r="E34" s="400" t="s">
        <v>47</v>
      </c>
      <c r="F34" s="400"/>
      <c r="G34" s="401"/>
      <c r="H34" s="192">
        <f>H11/H32</f>
        <v>1541.8492063492063</v>
      </c>
      <c r="I34" s="193">
        <f>I11/I32</f>
        <v>1515.6875</v>
      </c>
      <c r="J34" s="192">
        <f>J11/J32</f>
        <v>1539.4761904761904</v>
      </c>
      <c r="K34" s="193"/>
      <c r="L34" s="194"/>
      <c r="M34" s="193"/>
      <c r="N34" s="194"/>
      <c r="O34" s="193"/>
      <c r="P34" s="194"/>
      <c r="Q34" s="193"/>
      <c r="R34" s="194"/>
      <c r="S34" s="193"/>
      <c r="T34" s="194"/>
      <c r="U34" s="193"/>
      <c r="V34" s="194"/>
      <c r="W34" s="264" t="s">
        <v>46</v>
      </c>
      <c r="X34" s="289">
        <f>X11/X32</f>
        <v>1532.25</v>
      </c>
      <c r="Y34" s="193">
        <f>Y11/Y32</f>
        <v>1528.4656084656083</v>
      </c>
      <c r="Z34" s="194">
        <f>Z11/Z32</f>
        <v>1529.5555555555557</v>
      </c>
      <c r="AA34" s="193">
        <f>AA11/AA32</f>
        <v>1569.9344262295083</v>
      </c>
      <c r="AB34" s="194"/>
      <c r="AC34" s="193"/>
      <c r="AD34" s="194"/>
      <c r="AE34" s="193"/>
      <c r="AF34" s="194"/>
      <c r="AG34" s="193"/>
      <c r="AH34" s="194"/>
      <c r="AI34" s="193"/>
      <c r="AJ34" s="194"/>
      <c r="AK34" s="264" t="s">
        <v>46</v>
      </c>
      <c r="AL34" s="289">
        <f>AL11/AL32</f>
        <v>1542.3600713012477</v>
      </c>
      <c r="AM34" s="223">
        <f>AA34-Z34</f>
        <v>40.37887067395263</v>
      </c>
      <c r="AN34" s="224">
        <f>AM34/Z34</f>
        <v>0.026399087321340525</v>
      </c>
      <c r="AP34" s="191" t="str">
        <f>E34</f>
        <v>Employees Supported/Call Agent</v>
      </c>
      <c r="AQ34" s="347">
        <f t="shared" si="12"/>
        <v>1541.8492063492063</v>
      </c>
      <c r="AR34" s="347">
        <f t="shared" si="13"/>
        <v>1515.6875</v>
      </c>
      <c r="AS34" s="347">
        <f t="shared" si="14"/>
        <v>1539.4761904761904</v>
      </c>
      <c r="AT34" s="347">
        <f t="shared" si="15"/>
        <v>1528.4656084656083</v>
      </c>
      <c r="AU34" s="347">
        <f t="shared" si="15"/>
        <v>1529.5555555555557</v>
      </c>
      <c r="AV34" s="347">
        <f t="shared" si="15"/>
        <v>1569.9344262295083</v>
      </c>
      <c r="AW34" s="347">
        <f t="shared" si="34"/>
        <v>0</v>
      </c>
      <c r="AX34" s="347">
        <f t="shared" si="34"/>
        <v>0</v>
      </c>
      <c r="AY34" s="347">
        <f t="shared" si="34"/>
        <v>0</v>
      </c>
      <c r="AZ34" s="347">
        <f t="shared" si="34"/>
        <v>0</v>
      </c>
      <c r="BA34" s="347">
        <f t="shared" si="34"/>
        <v>0</v>
      </c>
      <c r="BB34" s="347">
        <f t="shared" si="34"/>
        <v>0</v>
      </c>
      <c r="BC34" s="347">
        <f t="shared" si="34"/>
        <v>0</v>
      </c>
      <c r="BD34" s="347">
        <f t="shared" si="34"/>
        <v>0</v>
      </c>
      <c r="BE34" s="347">
        <f t="shared" si="34"/>
        <v>0</v>
      </c>
    </row>
    <row r="35" spans="1:57" ht="14.25" customHeight="1">
      <c r="A35" s="13">
        <v>5</v>
      </c>
      <c r="B35" s="7" t="s">
        <v>1</v>
      </c>
      <c r="C35" s="10"/>
      <c r="D35" s="10"/>
      <c r="E35" s="2"/>
      <c r="F35" s="2"/>
      <c r="G35" s="2"/>
      <c r="H35" s="100"/>
      <c r="J35" s="100"/>
      <c r="L35" s="117"/>
      <c r="N35" s="117"/>
      <c r="P35" s="117"/>
      <c r="R35" s="117"/>
      <c r="T35" s="117"/>
      <c r="V35" s="117"/>
      <c r="W35" s="265"/>
      <c r="X35" s="290"/>
      <c r="Z35" s="117"/>
      <c r="AB35" s="117"/>
      <c r="AD35" s="117"/>
      <c r="AF35" s="117"/>
      <c r="AH35" s="117"/>
      <c r="AJ35" s="117"/>
      <c r="AK35" s="265"/>
      <c r="AL35" s="290"/>
      <c r="AM35" s="222"/>
      <c r="AN35" s="219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</row>
    <row r="36" spans="1:57" ht="15.75">
      <c r="A36" s="13"/>
      <c r="B36" s="79">
        <v>5.1</v>
      </c>
      <c r="C36" s="7"/>
      <c r="D36" s="232"/>
      <c r="E36" s="398" t="s">
        <v>2</v>
      </c>
      <c r="F36" s="398"/>
      <c r="G36" s="399"/>
      <c r="H36" s="103">
        <f>29941+29946</f>
        <v>59887</v>
      </c>
      <c r="I36" s="31">
        <f>29929+29761</f>
        <v>59690</v>
      </c>
      <c r="J36" s="103">
        <f>29633+30065</f>
        <v>59698</v>
      </c>
      <c r="K36" s="31"/>
      <c r="L36" s="120"/>
      <c r="M36" s="31"/>
      <c r="N36" s="120"/>
      <c r="O36" s="31"/>
      <c r="P36" s="120"/>
      <c r="Q36" s="31"/>
      <c r="R36" s="120"/>
      <c r="S36" s="31"/>
      <c r="T36" s="120"/>
      <c r="U36" s="31"/>
      <c r="V36" s="120"/>
      <c r="W36" s="265">
        <f>SUM(H36:V36)</f>
        <v>179275</v>
      </c>
      <c r="X36" s="280">
        <f>SUM(H36:V36)/$W$4</f>
        <v>59758.333333333336</v>
      </c>
      <c r="Y36" s="31">
        <f>29352+29294+29300</f>
        <v>87946</v>
      </c>
      <c r="Z36" s="120">
        <f>29290+29168</f>
        <v>58458</v>
      </c>
      <c r="AA36" s="31">
        <f>29097+29101</f>
        <v>58198</v>
      </c>
      <c r="AB36" s="120"/>
      <c r="AC36" s="31"/>
      <c r="AD36" s="120"/>
      <c r="AE36" s="31"/>
      <c r="AF36" s="120"/>
      <c r="AG36" s="31"/>
      <c r="AH36" s="120"/>
      <c r="AI36" s="31"/>
      <c r="AJ36" s="120"/>
      <c r="AK36" s="265">
        <f>SUM(Y36:AJ36)</f>
        <v>204602</v>
      </c>
      <c r="AL36" s="297">
        <f>SUM(Y36:AJ36)/$AK$4</f>
        <v>68200.66666666667</v>
      </c>
      <c r="AM36" s="239">
        <f>AA36-Z36</f>
        <v>-260</v>
      </c>
      <c r="AN36" s="219">
        <f>AM36/Z36</f>
        <v>-0.004447637620171747</v>
      </c>
      <c r="AP36" t="str">
        <f>E36</f>
        <v>Bi Weekly</v>
      </c>
      <c r="AQ36" s="338">
        <f t="shared" si="12"/>
        <v>59887</v>
      </c>
      <c r="AR36" s="338">
        <f t="shared" si="13"/>
        <v>59690</v>
      </c>
      <c r="AS36" s="338">
        <f t="shared" si="14"/>
        <v>59698</v>
      </c>
      <c r="AT36" s="338">
        <f t="shared" si="15"/>
        <v>87946</v>
      </c>
      <c r="AU36" s="338">
        <f t="shared" si="15"/>
        <v>58458</v>
      </c>
      <c r="AV36" s="338">
        <f t="shared" si="15"/>
        <v>58198</v>
      </c>
      <c r="AW36" s="338">
        <f aca="true" t="shared" si="35" ref="AW36:BE39">AB36</f>
        <v>0</v>
      </c>
      <c r="AX36" s="338">
        <f t="shared" si="35"/>
        <v>0</v>
      </c>
      <c r="AY36" s="338">
        <f t="shared" si="35"/>
        <v>0</v>
      </c>
      <c r="AZ36" s="338">
        <f t="shared" si="35"/>
        <v>0</v>
      </c>
      <c r="BA36" s="338">
        <f t="shared" si="35"/>
        <v>0</v>
      </c>
      <c r="BB36" s="338">
        <f t="shared" si="35"/>
        <v>0</v>
      </c>
      <c r="BC36" s="338">
        <f t="shared" si="35"/>
        <v>0</v>
      </c>
      <c r="BD36" s="338">
        <f t="shared" si="35"/>
        <v>0</v>
      </c>
      <c r="BE36" s="338">
        <f t="shared" si="35"/>
        <v>0</v>
      </c>
    </row>
    <row r="37" spans="1:57" s="2" customFormat="1" ht="15.75">
      <c r="A37" s="13"/>
      <c r="B37" s="79">
        <v>5.2</v>
      </c>
      <c r="C37" s="7"/>
      <c r="D37" s="232"/>
      <c r="E37" s="398" t="s">
        <v>3</v>
      </c>
      <c r="F37" s="398"/>
      <c r="G37" s="399"/>
      <c r="H37" s="103">
        <v>67193</v>
      </c>
      <c r="I37" s="31">
        <v>67159</v>
      </c>
      <c r="J37" s="103">
        <v>67138</v>
      </c>
      <c r="K37" s="31"/>
      <c r="L37" s="120"/>
      <c r="M37" s="31"/>
      <c r="N37" s="120"/>
      <c r="O37" s="31"/>
      <c r="P37" s="120"/>
      <c r="Q37" s="31"/>
      <c r="R37" s="120"/>
      <c r="S37" s="31"/>
      <c r="T37" s="120"/>
      <c r="U37" s="31"/>
      <c r="V37" s="120"/>
      <c r="W37" s="265">
        <f>SUM(H37:V37)</f>
        <v>201490</v>
      </c>
      <c r="X37" s="280">
        <f>SUM(H37:V37)/$W$4</f>
        <v>67163.33333333333</v>
      </c>
      <c r="Y37" s="31">
        <v>66978</v>
      </c>
      <c r="Z37" s="120">
        <v>67133</v>
      </c>
      <c r="AA37" s="31">
        <v>66667</v>
      </c>
      <c r="AB37" s="120"/>
      <c r="AC37" s="31"/>
      <c r="AD37" s="120"/>
      <c r="AE37" s="31"/>
      <c r="AF37" s="120"/>
      <c r="AG37" s="31"/>
      <c r="AH37" s="120"/>
      <c r="AI37" s="31"/>
      <c r="AJ37" s="120"/>
      <c r="AK37" s="265">
        <f>SUM(Y37:AJ37)</f>
        <v>200778</v>
      </c>
      <c r="AL37" s="297">
        <f>SUM(Y37:AJ37)/$AK$4</f>
        <v>66926</v>
      </c>
      <c r="AM37" s="239">
        <f>AA37-Z37</f>
        <v>-466</v>
      </c>
      <c r="AN37" s="219">
        <f>AM37/Z37</f>
        <v>-0.006941444595057572</v>
      </c>
      <c r="AP37" s="2" t="str">
        <f>E37</f>
        <v>Monthly</v>
      </c>
      <c r="AQ37" s="338">
        <f t="shared" si="12"/>
        <v>67193</v>
      </c>
      <c r="AR37" s="338">
        <f t="shared" si="13"/>
        <v>67159</v>
      </c>
      <c r="AS37" s="338">
        <f t="shared" si="14"/>
        <v>67138</v>
      </c>
      <c r="AT37" s="338">
        <f t="shared" si="15"/>
        <v>66978</v>
      </c>
      <c r="AU37" s="338">
        <f t="shared" si="15"/>
        <v>67133</v>
      </c>
      <c r="AV37" s="338">
        <f t="shared" si="15"/>
        <v>66667</v>
      </c>
      <c r="AW37" s="338">
        <f t="shared" si="35"/>
        <v>0</v>
      </c>
      <c r="AX37" s="338">
        <f t="shared" si="35"/>
        <v>0</v>
      </c>
      <c r="AY37" s="338">
        <f t="shared" si="35"/>
        <v>0</v>
      </c>
      <c r="AZ37" s="338">
        <f t="shared" si="35"/>
        <v>0</v>
      </c>
      <c r="BA37" s="338">
        <f t="shared" si="35"/>
        <v>0</v>
      </c>
      <c r="BB37" s="338">
        <f t="shared" si="35"/>
        <v>0</v>
      </c>
      <c r="BC37" s="338">
        <f t="shared" si="35"/>
        <v>0</v>
      </c>
      <c r="BD37" s="338">
        <f t="shared" si="35"/>
        <v>0</v>
      </c>
      <c r="BE37" s="338">
        <f t="shared" si="35"/>
        <v>0</v>
      </c>
    </row>
    <row r="38" spans="1:57" s="42" customFormat="1" ht="15.75">
      <c r="A38" s="13"/>
      <c r="B38" s="81">
        <v>5.3</v>
      </c>
      <c r="C38" s="41"/>
      <c r="D38" s="233"/>
      <c r="E38" s="408" t="s">
        <v>31</v>
      </c>
      <c r="F38" s="408"/>
      <c r="G38" s="409"/>
      <c r="H38" s="104">
        <f>SUM(H36:H37)</f>
        <v>127080</v>
      </c>
      <c r="I38" s="47">
        <f>SUM(I36:I37)</f>
        <v>126849</v>
      </c>
      <c r="J38" s="104">
        <f>SUM(J36:J37)</f>
        <v>126836</v>
      </c>
      <c r="K38" s="47"/>
      <c r="L38" s="121"/>
      <c r="M38" s="47"/>
      <c r="N38" s="121"/>
      <c r="O38" s="47"/>
      <c r="P38" s="121"/>
      <c r="Q38" s="47"/>
      <c r="R38" s="121"/>
      <c r="S38" s="47"/>
      <c r="T38" s="121"/>
      <c r="U38" s="47"/>
      <c r="V38" s="121"/>
      <c r="W38" s="266">
        <f>SUM(H38:V38)</f>
        <v>380765</v>
      </c>
      <c r="X38" s="291">
        <f>SUM(H38:V38)/$W$4</f>
        <v>126921.66666666667</v>
      </c>
      <c r="Y38" s="47">
        <f>SUM(Y36:Y37)</f>
        <v>154924</v>
      </c>
      <c r="Z38" s="121">
        <f>SUM(Z36:Z37)</f>
        <v>125591</v>
      </c>
      <c r="AA38" s="47">
        <f>SUM(AA36:AA37)</f>
        <v>124865</v>
      </c>
      <c r="AB38" s="121"/>
      <c r="AC38" s="47"/>
      <c r="AD38" s="121"/>
      <c r="AE38" s="47"/>
      <c r="AF38" s="121"/>
      <c r="AG38" s="47"/>
      <c r="AH38" s="121"/>
      <c r="AI38" s="47"/>
      <c r="AJ38" s="121"/>
      <c r="AK38" s="266">
        <f>SUM(Y38:AJ38)</f>
        <v>405380</v>
      </c>
      <c r="AL38" s="291">
        <f>SUM(Y38:AJ38)/$AK$4</f>
        <v>135126.66666666666</v>
      </c>
      <c r="AM38" s="377">
        <f>AA38-Z38</f>
        <v>-726</v>
      </c>
      <c r="AN38" s="225">
        <f>AM38/Z38</f>
        <v>-0.005780668996982268</v>
      </c>
      <c r="AP38" s="42" t="str">
        <f>E38</f>
        <v>Total Payrolls</v>
      </c>
      <c r="AQ38" s="349">
        <f t="shared" si="12"/>
        <v>127080</v>
      </c>
      <c r="AR38" s="349">
        <f t="shared" si="13"/>
        <v>126849</v>
      </c>
      <c r="AS38" s="349">
        <f t="shared" si="14"/>
        <v>126836</v>
      </c>
      <c r="AT38" s="349">
        <f t="shared" si="15"/>
        <v>154924</v>
      </c>
      <c r="AU38" s="349">
        <f t="shared" si="15"/>
        <v>125591</v>
      </c>
      <c r="AV38" s="349">
        <f t="shared" si="15"/>
        <v>124865</v>
      </c>
      <c r="AW38" s="349">
        <f t="shared" si="35"/>
        <v>0</v>
      </c>
      <c r="AX38" s="349">
        <f t="shared" si="35"/>
        <v>0</v>
      </c>
      <c r="AY38" s="349">
        <f t="shared" si="35"/>
        <v>0</v>
      </c>
      <c r="AZ38" s="349">
        <f t="shared" si="35"/>
        <v>0</v>
      </c>
      <c r="BA38" s="349">
        <f t="shared" si="35"/>
        <v>0</v>
      </c>
      <c r="BB38" s="349">
        <f t="shared" si="35"/>
        <v>0</v>
      </c>
      <c r="BC38" s="349">
        <f t="shared" si="35"/>
        <v>0</v>
      </c>
      <c r="BD38" s="349">
        <f t="shared" si="35"/>
        <v>0</v>
      </c>
      <c r="BE38" s="349">
        <f t="shared" si="35"/>
        <v>0</v>
      </c>
    </row>
    <row r="39" spans="1:57" s="1" customFormat="1" ht="16.5" thickBot="1">
      <c r="A39" s="11"/>
      <c r="B39" s="80">
        <v>5.4</v>
      </c>
      <c r="C39" s="4"/>
      <c r="D39" s="4"/>
      <c r="E39" s="386" t="s">
        <v>26</v>
      </c>
      <c r="F39" s="386"/>
      <c r="G39" s="387"/>
      <c r="H39" s="99">
        <f>H5/H38</f>
        <v>0.0006137865911237016</v>
      </c>
      <c r="I39" s="214">
        <f>I5/I38</f>
        <v>0.00039416944556125785</v>
      </c>
      <c r="J39" s="105">
        <f>J5/J38</f>
        <v>0.0004888202087735343</v>
      </c>
      <c r="K39" s="214"/>
      <c r="L39" s="105"/>
      <c r="M39" s="214"/>
      <c r="N39" s="105"/>
      <c r="O39" s="214"/>
      <c r="P39" s="105"/>
      <c r="Q39" s="214"/>
      <c r="R39" s="105"/>
      <c r="S39" s="214"/>
      <c r="T39" s="105"/>
      <c r="U39" s="214"/>
      <c r="V39" s="105"/>
      <c r="W39" s="267">
        <f>SUM(H39:V39)</f>
        <v>0.0014967762454584938</v>
      </c>
      <c r="X39" s="292">
        <f>SUM(H39:V39)/$W$4</f>
        <v>0.0004989254151528313</v>
      </c>
      <c r="Y39" s="214">
        <f>Y5/Y38</f>
        <v>0.0002517363352353412</v>
      </c>
      <c r="Z39" s="105">
        <f>Z5/Z38</f>
        <v>0.0002786823896616796</v>
      </c>
      <c r="AA39" s="383">
        <f>AA5/AA38</f>
        <v>0.0012012974011932887</v>
      </c>
      <c r="AB39" s="105"/>
      <c r="AC39" s="214"/>
      <c r="AD39" s="105"/>
      <c r="AE39" s="214"/>
      <c r="AF39" s="105"/>
      <c r="AG39" s="214"/>
      <c r="AH39" s="105"/>
      <c r="AI39" s="214"/>
      <c r="AJ39" s="105"/>
      <c r="AK39" s="267">
        <f>AK5/AK38</f>
        <v>0.0005525679609255514</v>
      </c>
      <c r="AL39" s="371">
        <f>AL5/AL38</f>
        <v>0.0005525679609255514</v>
      </c>
      <c r="AM39" s="247">
        <f>AA39-Z39</f>
        <v>0.0009226150115316091</v>
      </c>
      <c r="AN39" s="224">
        <f>AM39/Z39</f>
        <v>3.3106326260933234</v>
      </c>
      <c r="AP39" s="1" t="str">
        <f>E39</f>
        <v>Payrolls Processed Off-Cycle %</v>
      </c>
      <c r="AQ39" s="350">
        <f t="shared" si="12"/>
        <v>0.0006137865911237016</v>
      </c>
      <c r="AR39" s="350">
        <f t="shared" si="13"/>
        <v>0.00039416944556125785</v>
      </c>
      <c r="AS39" s="350">
        <f t="shared" si="14"/>
        <v>0.0004888202087735343</v>
      </c>
      <c r="AT39" s="350">
        <f t="shared" si="15"/>
        <v>0.0002517363352353412</v>
      </c>
      <c r="AU39" s="350">
        <f t="shared" si="15"/>
        <v>0.0002786823896616796</v>
      </c>
      <c r="AV39" s="350">
        <f t="shared" si="15"/>
        <v>0.0012012974011932887</v>
      </c>
      <c r="AW39" s="350">
        <f t="shared" si="35"/>
        <v>0</v>
      </c>
      <c r="AX39" s="350">
        <f t="shared" si="35"/>
        <v>0</v>
      </c>
      <c r="AY39" s="350">
        <f t="shared" si="35"/>
        <v>0</v>
      </c>
      <c r="AZ39" s="350">
        <f t="shared" si="35"/>
        <v>0</v>
      </c>
      <c r="BA39" s="350">
        <f t="shared" si="35"/>
        <v>0</v>
      </c>
      <c r="BB39" s="350">
        <f t="shared" si="35"/>
        <v>0</v>
      </c>
      <c r="BC39" s="350">
        <f t="shared" si="35"/>
        <v>0</v>
      </c>
      <c r="BD39" s="350">
        <f t="shared" si="35"/>
        <v>0</v>
      </c>
      <c r="BE39" s="350">
        <f t="shared" si="35"/>
        <v>0</v>
      </c>
    </row>
    <row r="40" spans="1:40" ht="15.75" customHeight="1">
      <c r="A40" s="13">
        <v>6</v>
      </c>
      <c r="B40" s="7" t="s">
        <v>22</v>
      </c>
      <c r="C40" s="10"/>
      <c r="D40" s="10"/>
      <c r="E40" s="2"/>
      <c r="F40" s="2"/>
      <c r="G40" s="2"/>
      <c r="H40" s="100"/>
      <c r="J40" s="100"/>
      <c r="L40" s="117"/>
      <c r="N40" s="117"/>
      <c r="P40" s="117"/>
      <c r="R40" s="117"/>
      <c r="T40" s="117"/>
      <c r="V40" s="117"/>
      <c r="W40" s="268"/>
      <c r="X40" s="287"/>
      <c r="Z40" s="117"/>
      <c r="AB40" s="117"/>
      <c r="AD40" s="117"/>
      <c r="AF40" s="117"/>
      <c r="AH40" s="117"/>
      <c r="AJ40" s="117"/>
      <c r="AK40" s="268"/>
      <c r="AL40" s="287"/>
      <c r="AM40" s="222"/>
      <c r="AN40" s="219"/>
    </row>
    <row r="41" spans="1:57" ht="15.75">
      <c r="A41" s="13"/>
      <c r="B41" s="79">
        <v>6.1</v>
      </c>
      <c r="C41" s="79"/>
      <c r="D41" s="79"/>
      <c r="E41" s="388" t="s">
        <v>21</v>
      </c>
      <c r="F41" s="388"/>
      <c r="G41" s="389"/>
      <c r="H41" s="101">
        <v>126</v>
      </c>
      <c r="I41" s="29">
        <v>127</v>
      </c>
      <c r="J41" s="101">
        <v>126</v>
      </c>
      <c r="K41" s="29"/>
      <c r="L41" s="118"/>
      <c r="M41" s="29"/>
      <c r="N41" s="118"/>
      <c r="O41" s="29"/>
      <c r="P41" s="118"/>
      <c r="Q41" s="29"/>
      <c r="R41" s="118"/>
      <c r="S41" s="29"/>
      <c r="T41" s="118"/>
      <c r="U41" s="29"/>
      <c r="V41" s="118"/>
      <c r="W41" s="260" t="s">
        <v>46</v>
      </c>
      <c r="X41" s="281">
        <f>SUM(H41:V41)/$W$4</f>
        <v>126.33333333333333</v>
      </c>
      <c r="Y41" s="29">
        <v>120.5</v>
      </c>
      <c r="Z41" s="118">
        <v>121.3</v>
      </c>
      <c r="AA41" s="29">
        <v>120.3</v>
      </c>
      <c r="AB41" s="118"/>
      <c r="AC41" s="29"/>
      <c r="AD41" s="118"/>
      <c r="AE41" s="29"/>
      <c r="AF41" s="118"/>
      <c r="AG41" s="29"/>
      <c r="AH41" s="118"/>
      <c r="AI41" s="29"/>
      <c r="AJ41" s="118"/>
      <c r="AK41" s="260" t="s">
        <v>46</v>
      </c>
      <c r="AL41" s="281">
        <f>SUM(Y41:AJ41)/$AK$4</f>
        <v>120.7</v>
      </c>
      <c r="AM41" s="222">
        <f>AA41-Z41</f>
        <v>-1</v>
      </c>
      <c r="AN41" s="219">
        <f>AM41/Z41</f>
        <v>-0.008244023083264633</v>
      </c>
      <c r="AP41" t="str">
        <f>E41</f>
        <v>Total Number ERP Employees</v>
      </c>
      <c r="AQ41" s="339">
        <f t="shared" si="12"/>
        <v>126</v>
      </c>
      <c r="AR41" s="339">
        <f t="shared" si="13"/>
        <v>127</v>
      </c>
      <c r="AS41" s="339">
        <f t="shared" si="14"/>
        <v>126</v>
      </c>
      <c r="AT41" s="339">
        <f t="shared" si="15"/>
        <v>120.5</v>
      </c>
      <c r="AU41" s="339">
        <f t="shared" si="15"/>
        <v>121.3</v>
      </c>
      <c r="AV41" s="339">
        <f t="shared" si="15"/>
        <v>120.3</v>
      </c>
      <c r="AW41" s="339">
        <f aca="true" t="shared" si="36" ref="AW41:BE42">AB41</f>
        <v>0</v>
      </c>
      <c r="AX41" s="339">
        <f t="shared" si="36"/>
        <v>0</v>
      </c>
      <c r="AY41" s="339">
        <f t="shared" si="36"/>
        <v>0</v>
      </c>
      <c r="AZ41" s="339">
        <f t="shared" si="36"/>
        <v>0</v>
      </c>
      <c r="BA41" s="339">
        <f t="shared" si="36"/>
        <v>0</v>
      </c>
      <c r="BB41" s="339">
        <f t="shared" si="36"/>
        <v>0</v>
      </c>
      <c r="BC41" s="339">
        <f t="shared" si="36"/>
        <v>0</v>
      </c>
      <c r="BD41" s="339">
        <f t="shared" si="36"/>
        <v>0</v>
      </c>
      <c r="BE41" s="339">
        <f t="shared" si="36"/>
        <v>0</v>
      </c>
    </row>
    <row r="42" spans="1:57" s="1" customFormat="1" ht="16.5" thickBot="1">
      <c r="A42" s="11"/>
      <c r="B42" s="80">
        <v>6.2</v>
      </c>
      <c r="C42" s="80"/>
      <c r="D42" s="80"/>
      <c r="E42" s="386" t="s">
        <v>23</v>
      </c>
      <c r="F42" s="386"/>
      <c r="G42" s="387"/>
      <c r="H42" s="102">
        <f>H11/H41</f>
        <v>770.9246031746031</v>
      </c>
      <c r="I42" s="30">
        <f>I11/I41</f>
        <v>763.8110236220473</v>
      </c>
      <c r="J42" s="238">
        <f>J11/J41</f>
        <v>769.7380952380952</v>
      </c>
      <c r="K42" s="30"/>
      <c r="L42" s="119"/>
      <c r="M42" s="30"/>
      <c r="N42" s="119"/>
      <c r="O42" s="30"/>
      <c r="P42" s="119"/>
      <c r="Q42" s="30"/>
      <c r="R42" s="119"/>
      <c r="S42" s="30"/>
      <c r="T42" s="119"/>
      <c r="U42" s="30"/>
      <c r="V42" s="119"/>
      <c r="W42" s="256" t="s">
        <v>46</v>
      </c>
      <c r="X42" s="283">
        <f>SUM(H42:V42)/$W$4</f>
        <v>768.1579073449152</v>
      </c>
      <c r="Y42" s="30">
        <f>Y11/Y41</f>
        <v>799.1147994467497</v>
      </c>
      <c r="Z42" s="119">
        <f>Z11/Z41</f>
        <v>794.4105523495466</v>
      </c>
      <c r="AA42" s="30">
        <f>AA11/AA41</f>
        <v>796.0598503740648</v>
      </c>
      <c r="AB42" s="119"/>
      <c r="AC42" s="30"/>
      <c r="AD42" s="119"/>
      <c r="AE42" s="30"/>
      <c r="AF42" s="119"/>
      <c r="AG42" s="30"/>
      <c r="AH42" s="119"/>
      <c r="AI42" s="30"/>
      <c r="AJ42" s="119"/>
      <c r="AK42" s="256" t="s">
        <v>46</v>
      </c>
      <c r="AL42" s="283">
        <f>SUM(Y42:AJ42)/$AK$4</f>
        <v>796.5284007234537</v>
      </c>
      <c r="AM42" s="226">
        <f>AA42-Z42</f>
        <v>1.6492980245182025</v>
      </c>
      <c r="AN42" s="224">
        <f>AM42/Z42</f>
        <v>0.0020761280419050866</v>
      </c>
      <c r="AP42" s="1" t="str">
        <f>E42</f>
        <v>Employees Supported/ERP Employee</v>
      </c>
      <c r="AQ42" s="341">
        <f t="shared" si="12"/>
        <v>770.9246031746031</v>
      </c>
      <c r="AR42" s="341">
        <f t="shared" si="13"/>
        <v>763.8110236220473</v>
      </c>
      <c r="AS42" s="341">
        <f t="shared" si="14"/>
        <v>769.7380952380952</v>
      </c>
      <c r="AT42" s="341">
        <f t="shared" si="15"/>
        <v>799.1147994467497</v>
      </c>
      <c r="AU42" s="341">
        <f t="shared" si="15"/>
        <v>794.4105523495466</v>
      </c>
      <c r="AV42" s="341">
        <f t="shared" si="15"/>
        <v>796.0598503740648</v>
      </c>
      <c r="AW42" s="341">
        <f t="shared" si="36"/>
        <v>0</v>
      </c>
      <c r="AX42" s="341">
        <f t="shared" si="36"/>
        <v>0</v>
      </c>
      <c r="AY42" s="341">
        <f t="shared" si="36"/>
        <v>0</v>
      </c>
      <c r="AZ42" s="341">
        <f t="shared" si="36"/>
        <v>0</v>
      </c>
      <c r="BA42" s="341">
        <f t="shared" si="36"/>
        <v>0</v>
      </c>
      <c r="BB42" s="341">
        <f t="shared" si="36"/>
        <v>0</v>
      </c>
      <c r="BC42" s="341">
        <f t="shared" si="36"/>
        <v>0</v>
      </c>
      <c r="BD42" s="341">
        <f t="shared" si="36"/>
        <v>0</v>
      </c>
      <c r="BE42" s="341">
        <f t="shared" si="36"/>
        <v>0</v>
      </c>
    </row>
    <row r="43" spans="1:40" ht="15.75" customHeight="1">
      <c r="A43" s="13">
        <v>7</v>
      </c>
      <c r="B43" s="7" t="s">
        <v>85</v>
      </c>
      <c r="C43" s="10"/>
      <c r="D43" s="10"/>
      <c r="E43" s="2"/>
      <c r="F43" s="2"/>
      <c r="G43" s="2"/>
      <c r="H43" s="100"/>
      <c r="J43" s="100"/>
      <c r="L43" s="117"/>
      <c r="N43" s="117"/>
      <c r="P43" s="117"/>
      <c r="R43" s="117"/>
      <c r="T43" s="117"/>
      <c r="V43" s="117"/>
      <c r="W43" s="268"/>
      <c r="X43" s="287"/>
      <c r="Z43" s="117"/>
      <c r="AB43" s="117"/>
      <c r="AD43" s="117"/>
      <c r="AF43" s="117"/>
      <c r="AH43" s="117"/>
      <c r="AJ43" s="117"/>
      <c r="AK43" s="268"/>
      <c r="AL43" s="287"/>
      <c r="AM43" s="222"/>
      <c r="AN43" s="219"/>
    </row>
    <row r="44" spans="1:57" ht="15.75">
      <c r="A44" s="13"/>
      <c r="B44" s="79">
        <v>7.1</v>
      </c>
      <c r="C44" s="7"/>
      <c r="D44" s="7"/>
      <c r="E44" s="388" t="s">
        <v>81</v>
      </c>
      <c r="F44" s="388"/>
      <c r="G44" s="389"/>
      <c r="H44" s="106">
        <f>529200.53+340087.45-7650.58</f>
        <v>861637.4</v>
      </c>
      <c r="I44" s="32">
        <f>546664.13+I47</f>
        <v>876019.6799999999</v>
      </c>
      <c r="J44" s="106">
        <f>601571.14+J47</f>
        <v>921392.77</v>
      </c>
      <c r="K44" s="32"/>
      <c r="L44" s="122"/>
      <c r="M44" s="32"/>
      <c r="N44" s="122"/>
      <c r="O44" s="32"/>
      <c r="P44" s="122"/>
      <c r="Q44" s="32"/>
      <c r="R44" s="122"/>
      <c r="S44" s="32"/>
      <c r="T44" s="122"/>
      <c r="U44" s="32"/>
      <c r="V44" s="122"/>
      <c r="W44" s="269">
        <f>SUM(H44:V44)</f>
        <v>2659049.85</v>
      </c>
      <c r="X44" s="293">
        <f>SUM(H44:V44)/$W$4</f>
        <v>886349.9500000001</v>
      </c>
      <c r="Y44" s="32">
        <f>215406.1+632944.77+347940.3+11068.89</f>
        <v>1207360.0599999998</v>
      </c>
      <c r="Z44" s="122">
        <v>925277.57</v>
      </c>
      <c r="AA44" s="32">
        <f>706298.45+356582.2+244807.86+5594.31</f>
        <v>1313282.8199999998</v>
      </c>
      <c r="AB44" s="122"/>
      <c r="AC44" s="32"/>
      <c r="AD44" s="122"/>
      <c r="AE44" s="32"/>
      <c r="AF44" s="122"/>
      <c r="AG44" s="32"/>
      <c r="AH44" s="122"/>
      <c r="AI44" s="32"/>
      <c r="AJ44" s="122"/>
      <c r="AK44" s="269">
        <f>SUM(Y44:AJ44)</f>
        <v>3445920.4499999997</v>
      </c>
      <c r="AL44" s="293">
        <f>SUM(Y44:AJ44)/$AK$4</f>
        <v>1148640.15</v>
      </c>
      <c r="AM44" s="375">
        <f aca="true" t="shared" si="37" ref="AM44:AM49">AA44-Z44</f>
        <v>388005.2499999999</v>
      </c>
      <c r="AN44" s="219">
        <f aca="true" t="shared" si="38" ref="AN44:AN49">AM44/Z44</f>
        <v>0.4193393016108668</v>
      </c>
      <c r="AP44" t="str">
        <f aca="true" t="shared" si="39" ref="AP44:AP49">E44</f>
        <v>Total ERP Costs</v>
      </c>
      <c r="AQ44" s="351">
        <f t="shared" si="12"/>
        <v>861637.4</v>
      </c>
      <c r="AR44" s="351">
        <f t="shared" si="13"/>
        <v>876019.6799999999</v>
      </c>
      <c r="AS44" s="351">
        <f t="shared" si="14"/>
        <v>921392.77</v>
      </c>
      <c r="AT44" s="351">
        <f t="shared" si="15"/>
        <v>1207360.0599999998</v>
      </c>
      <c r="AU44" s="351">
        <f t="shared" si="15"/>
        <v>925277.57</v>
      </c>
      <c r="AV44" s="351">
        <f t="shared" si="15"/>
        <v>1313282.8199999998</v>
      </c>
      <c r="AW44" s="351">
        <f aca="true" t="shared" si="40" ref="AW44:BE49">AB44</f>
        <v>0</v>
      </c>
      <c r="AX44" s="351">
        <f t="shared" si="40"/>
        <v>0</v>
      </c>
      <c r="AY44" s="351">
        <f t="shared" si="40"/>
        <v>0</v>
      </c>
      <c r="AZ44" s="351">
        <f t="shared" si="40"/>
        <v>0</v>
      </c>
      <c r="BA44" s="351">
        <f t="shared" si="40"/>
        <v>0</v>
      </c>
      <c r="BB44" s="351">
        <f t="shared" si="40"/>
        <v>0</v>
      </c>
      <c r="BC44" s="351">
        <f t="shared" si="40"/>
        <v>0</v>
      </c>
      <c r="BD44" s="351">
        <f t="shared" si="40"/>
        <v>0</v>
      </c>
      <c r="BE44" s="351">
        <f t="shared" si="40"/>
        <v>0</v>
      </c>
    </row>
    <row r="45" spans="1:57" s="2" customFormat="1" ht="15.75">
      <c r="A45" s="13"/>
      <c r="B45" s="79">
        <v>7.2</v>
      </c>
      <c r="C45" s="7"/>
      <c r="D45" s="7"/>
      <c r="E45" s="388" t="s">
        <v>45</v>
      </c>
      <c r="F45" s="388"/>
      <c r="G45" s="389"/>
      <c r="H45" s="107">
        <f>H44/H11</f>
        <v>8.870377252629032</v>
      </c>
      <c r="I45" s="33">
        <f>I44/I11</f>
        <v>9.030758319244567</v>
      </c>
      <c r="J45" s="107">
        <f>J44/J11</f>
        <v>9.500167754441318</v>
      </c>
      <c r="K45" s="33"/>
      <c r="L45" s="107"/>
      <c r="M45" s="33"/>
      <c r="N45" s="107"/>
      <c r="O45" s="33"/>
      <c r="P45" s="107"/>
      <c r="Q45" s="33"/>
      <c r="R45" s="107"/>
      <c r="S45" s="33"/>
      <c r="T45" s="107"/>
      <c r="U45" s="33"/>
      <c r="V45" s="107"/>
      <c r="W45" s="270">
        <f>W44/W38</f>
        <v>6.983440836211312</v>
      </c>
      <c r="X45" s="294">
        <f>X44/X38</f>
        <v>6.983440836211312</v>
      </c>
      <c r="Y45" s="33">
        <f>Y44/Y11</f>
        <v>12.538355649404595</v>
      </c>
      <c r="Z45" s="107">
        <f>Z44/Z38</f>
        <v>7.367387551655771</v>
      </c>
      <c r="AA45" s="33">
        <f>AA44/AA38</f>
        <v>10.517621591318623</v>
      </c>
      <c r="AB45" s="107"/>
      <c r="AC45" s="33"/>
      <c r="AD45" s="107"/>
      <c r="AE45" s="33"/>
      <c r="AF45" s="107"/>
      <c r="AG45" s="33"/>
      <c r="AH45" s="107"/>
      <c r="AI45" s="33"/>
      <c r="AJ45" s="107"/>
      <c r="AK45" s="270">
        <f>AK44/AK38</f>
        <v>8.500469806107848</v>
      </c>
      <c r="AL45" s="294">
        <f>AL44/AL38</f>
        <v>8.50046980610785</v>
      </c>
      <c r="AM45" s="375">
        <f t="shared" si="37"/>
        <v>3.150234039662852</v>
      </c>
      <c r="AN45" s="219">
        <f t="shared" si="38"/>
        <v>0.4275917369047401</v>
      </c>
      <c r="AP45" s="2" t="str">
        <f t="shared" si="39"/>
        <v> Cost Per Employee Paid</v>
      </c>
      <c r="AQ45" s="352">
        <f t="shared" si="12"/>
        <v>8.870377252629032</v>
      </c>
      <c r="AR45" s="352">
        <f t="shared" si="13"/>
        <v>9.030758319244567</v>
      </c>
      <c r="AS45" s="352">
        <f t="shared" si="14"/>
        <v>9.500167754441318</v>
      </c>
      <c r="AT45" s="352">
        <f t="shared" si="15"/>
        <v>12.538355649404595</v>
      </c>
      <c r="AU45" s="352">
        <f t="shared" si="15"/>
        <v>7.367387551655771</v>
      </c>
      <c r="AV45" s="352">
        <f t="shared" si="15"/>
        <v>10.517621591318623</v>
      </c>
      <c r="AW45" s="352">
        <f t="shared" si="40"/>
        <v>0</v>
      </c>
      <c r="AX45" s="352">
        <f t="shared" si="40"/>
        <v>0</v>
      </c>
      <c r="AY45" s="352">
        <f t="shared" si="40"/>
        <v>0</v>
      </c>
      <c r="AZ45" s="352">
        <f t="shared" si="40"/>
        <v>0</v>
      </c>
      <c r="BA45" s="352">
        <f t="shared" si="40"/>
        <v>0</v>
      </c>
      <c r="BB45" s="352">
        <f t="shared" si="40"/>
        <v>0</v>
      </c>
      <c r="BC45" s="352">
        <f t="shared" si="40"/>
        <v>0</v>
      </c>
      <c r="BD45" s="352">
        <f t="shared" si="40"/>
        <v>0</v>
      </c>
      <c r="BE45" s="352">
        <f t="shared" si="40"/>
        <v>0</v>
      </c>
    </row>
    <row r="46" spans="1:57" s="2" customFormat="1" ht="15.75">
      <c r="A46" s="13"/>
      <c r="B46" s="133">
        <v>7.3</v>
      </c>
      <c r="C46" s="43"/>
      <c r="D46" s="43"/>
      <c r="E46" s="404" t="s">
        <v>4</v>
      </c>
      <c r="F46" s="404"/>
      <c r="G46" s="405"/>
      <c r="H46" s="195">
        <f>H44/H8</f>
        <v>0.009128409878833035</v>
      </c>
      <c r="I46" s="196">
        <f>I44/I8</f>
        <v>0.009148955306769903</v>
      </c>
      <c r="J46" s="195">
        <f>J44/J8</f>
        <v>0.009726174785778106</v>
      </c>
      <c r="K46" s="196"/>
      <c r="L46" s="195"/>
      <c r="M46" s="196"/>
      <c r="N46" s="195"/>
      <c r="O46" s="196"/>
      <c r="P46" s="195"/>
      <c r="Q46" s="196"/>
      <c r="R46" s="195"/>
      <c r="S46" s="196"/>
      <c r="T46" s="195"/>
      <c r="U46" s="196"/>
      <c r="V46" s="195"/>
      <c r="W46" s="271">
        <f>SUM(H46:V46)</f>
        <v>0.028003539971381046</v>
      </c>
      <c r="X46" s="295">
        <f>SUM(H46:V46)/$W$4</f>
        <v>0.009334513323793682</v>
      </c>
      <c r="Y46" s="196">
        <f>Y44/Y8</f>
        <v>0.012744830820549568</v>
      </c>
      <c r="Z46" s="195">
        <f>Z44/Z8</f>
        <v>0.009767182535174479</v>
      </c>
      <c r="AA46" s="196">
        <f>AA44/AA8</f>
        <v>0.0138629460381804</v>
      </c>
      <c r="AB46" s="195"/>
      <c r="AC46" s="196"/>
      <c r="AD46" s="195"/>
      <c r="AE46" s="196"/>
      <c r="AF46" s="195"/>
      <c r="AG46" s="196"/>
      <c r="AH46" s="195"/>
      <c r="AI46" s="196"/>
      <c r="AJ46" s="195"/>
      <c r="AK46" s="271">
        <f>AK44/AK8</f>
        <v>0.03637495939390445</v>
      </c>
      <c r="AL46" s="295">
        <f>AL44/AL8</f>
        <v>0.012124986464634816</v>
      </c>
      <c r="AM46" s="327">
        <f t="shared" si="37"/>
        <v>0.004095763503005922</v>
      </c>
      <c r="AN46" s="230">
        <f t="shared" si="38"/>
        <v>0.4193393016108669</v>
      </c>
      <c r="AP46" s="2" t="str">
        <f t="shared" si="39"/>
        <v>Cost as % of System Implementation</v>
      </c>
      <c r="AQ46" s="353">
        <f t="shared" si="12"/>
        <v>0.009128409878833035</v>
      </c>
      <c r="AR46" s="353">
        <f t="shared" si="13"/>
        <v>0.009148955306769903</v>
      </c>
      <c r="AS46" s="353">
        <f t="shared" si="14"/>
        <v>0.009726174785778106</v>
      </c>
      <c r="AT46" s="353">
        <f t="shared" si="15"/>
        <v>0.012744830820549568</v>
      </c>
      <c r="AU46" s="353">
        <f t="shared" si="15"/>
        <v>0.009767182535174479</v>
      </c>
      <c r="AV46" s="353">
        <f t="shared" si="15"/>
        <v>0.0138629460381804</v>
      </c>
      <c r="AW46" s="353">
        <f t="shared" si="40"/>
        <v>0</v>
      </c>
      <c r="AX46" s="353">
        <f t="shared" si="40"/>
        <v>0</v>
      </c>
      <c r="AY46" s="353">
        <f t="shared" si="40"/>
        <v>0</v>
      </c>
      <c r="AZ46" s="353">
        <f t="shared" si="40"/>
        <v>0</v>
      </c>
      <c r="BA46" s="353">
        <f t="shared" si="40"/>
        <v>0</v>
      </c>
      <c r="BB46" s="353">
        <f t="shared" si="40"/>
        <v>0</v>
      </c>
      <c r="BC46" s="353">
        <f t="shared" si="40"/>
        <v>0</v>
      </c>
      <c r="BD46" s="353">
        <f t="shared" si="40"/>
        <v>0</v>
      </c>
      <c r="BE46" s="353">
        <f t="shared" si="40"/>
        <v>0</v>
      </c>
    </row>
    <row r="47" spans="1:57" s="2" customFormat="1" ht="15.75">
      <c r="A47" s="13"/>
      <c r="B47" s="79">
        <v>7.4</v>
      </c>
      <c r="C47" s="7"/>
      <c r="D47" s="7"/>
      <c r="E47" s="388" t="s">
        <v>80</v>
      </c>
      <c r="F47" s="388"/>
      <c r="G47" s="389"/>
      <c r="H47" s="106">
        <f>340087.45-7650.58</f>
        <v>332436.87</v>
      </c>
      <c r="I47" s="32">
        <f>337006.13-7650.58</f>
        <v>329355.55</v>
      </c>
      <c r="J47" s="106">
        <v>319821.63</v>
      </c>
      <c r="K47" s="32"/>
      <c r="L47" s="122"/>
      <c r="M47" s="32"/>
      <c r="N47" s="122"/>
      <c r="O47" s="32"/>
      <c r="P47" s="122"/>
      <c r="Q47" s="32"/>
      <c r="R47" s="122"/>
      <c r="S47" s="32"/>
      <c r="T47" s="122"/>
      <c r="U47" s="32"/>
      <c r="V47" s="122"/>
      <c r="W47" s="269">
        <f>SUM(H47:V47)</f>
        <v>981614.0499999999</v>
      </c>
      <c r="X47" s="293">
        <f>SUM(H47:V47)/$W$4</f>
        <v>327204.6833333333</v>
      </c>
      <c r="Y47" s="32">
        <v>359009.19</v>
      </c>
      <c r="Z47" s="122">
        <v>384146.67</v>
      </c>
      <c r="AA47" s="32">
        <f>356582.28+5594.31</f>
        <v>362176.59</v>
      </c>
      <c r="AB47" s="122"/>
      <c r="AC47" s="32"/>
      <c r="AD47" s="122"/>
      <c r="AE47" s="32"/>
      <c r="AF47" s="122"/>
      <c r="AG47" s="32"/>
      <c r="AH47" s="122"/>
      <c r="AI47" s="32"/>
      <c r="AJ47" s="122"/>
      <c r="AK47" s="269">
        <f>SUM(Y47:AJ47)</f>
        <v>1105332.45</v>
      </c>
      <c r="AL47" s="293">
        <f>SUM(Y47:AJ47)/$AK$4</f>
        <v>368444.14999999997</v>
      </c>
      <c r="AM47" s="243">
        <f t="shared" si="37"/>
        <v>-21970.079999999958</v>
      </c>
      <c r="AN47" s="219">
        <f t="shared" si="38"/>
        <v>-0.057191905373017965</v>
      </c>
      <c r="AP47" s="2" t="str">
        <f t="shared" si="39"/>
        <v>Call Center Costs</v>
      </c>
      <c r="AQ47" s="351">
        <f t="shared" si="12"/>
        <v>332436.87</v>
      </c>
      <c r="AR47" s="351">
        <f t="shared" si="13"/>
        <v>329355.55</v>
      </c>
      <c r="AS47" s="351">
        <f t="shared" si="14"/>
        <v>319821.63</v>
      </c>
      <c r="AT47" s="351">
        <f t="shared" si="15"/>
        <v>359009.19</v>
      </c>
      <c r="AU47" s="351">
        <f t="shared" si="15"/>
        <v>384146.67</v>
      </c>
      <c r="AV47" s="351">
        <f t="shared" si="15"/>
        <v>362176.59</v>
      </c>
      <c r="AW47" s="351">
        <f t="shared" si="40"/>
        <v>0</v>
      </c>
      <c r="AX47" s="351">
        <f t="shared" si="40"/>
        <v>0</v>
      </c>
      <c r="AY47" s="351">
        <f t="shared" si="40"/>
        <v>0</v>
      </c>
      <c r="AZ47" s="351">
        <f t="shared" si="40"/>
        <v>0</v>
      </c>
      <c r="BA47" s="351">
        <f t="shared" si="40"/>
        <v>0</v>
      </c>
      <c r="BB47" s="351">
        <f t="shared" si="40"/>
        <v>0</v>
      </c>
      <c r="BC47" s="351">
        <f t="shared" si="40"/>
        <v>0</v>
      </c>
      <c r="BD47" s="351">
        <f t="shared" si="40"/>
        <v>0</v>
      </c>
      <c r="BE47" s="351">
        <f t="shared" si="40"/>
        <v>0</v>
      </c>
    </row>
    <row r="48" spans="1:57" s="178" customFormat="1" ht="15.75">
      <c r="A48" s="174"/>
      <c r="B48" s="175">
        <v>7.5</v>
      </c>
      <c r="C48" s="176"/>
      <c r="D48" s="176"/>
      <c r="E48" s="402" t="s">
        <v>87</v>
      </c>
      <c r="F48" s="402"/>
      <c r="G48" s="403"/>
      <c r="H48" s="177">
        <f>H47/H13</f>
        <v>55.07569085487077</v>
      </c>
      <c r="I48" s="179">
        <f>I47/I13</f>
        <v>62.722443344124926</v>
      </c>
      <c r="J48" s="177">
        <f>J47/J13</f>
        <v>59.36915351772787</v>
      </c>
      <c r="K48" s="179"/>
      <c r="L48" s="180"/>
      <c r="M48" s="179"/>
      <c r="N48" s="180"/>
      <c r="O48" s="179"/>
      <c r="P48" s="180"/>
      <c r="Q48" s="179"/>
      <c r="R48" s="180"/>
      <c r="S48" s="179"/>
      <c r="T48" s="180"/>
      <c r="U48" s="179"/>
      <c r="V48" s="180"/>
      <c r="W48" s="272">
        <f>W47/W13</f>
        <v>58.87093978649394</v>
      </c>
      <c r="X48" s="296">
        <f>X47/X13</f>
        <v>58.870939786493935</v>
      </c>
      <c r="Y48" s="179">
        <f>Y47/Y13</f>
        <v>69.08008274004233</v>
      </c>
      <c r="Z48" s="180">
        <f>Z47/Z13</f>
        <v>83.5464702044367</v>
      </c>
      <c r="AA48" s="179">
        <f>AA47/AA13</f>
        <v>80.84298883928572</v>
      </c>
      <c r="AB48" s="180"/>
      <c r="AC48" s="179"/>
      <c r="AD48" s="180"/>
      <c r="AE48" s="179"/>
      <c r="AF48" s="180"/>
      <c r="AG48" s="179"/>
      <c r="AH48" s="180"/>
      <c r="AI48" s="179"/>
      <c r="AJ48" s="180"/>
      <c r="AK48" s="272">
        <f>AK47/AK13</f>
        <v>77.43134500875657</v>
      </c>
      <c r="AL48" s="296">
        <f>AL47/AL13</f>
        <v>77.43134500875657</v>
      </c>
      <c r="AM48" s="376">
        <f t="shared" si="37"/>
        <v>-2.703481365150978</v>
      </c>
      <c r="AN48" s="227">
        <f t="shared" si="38"/>
        <v>-0.032359013594896444</v>
      </c>
      <c r="AP48" s="178" t="str">
        <f t="shared" si="39"/>
        <v>Call Center Costs Per Call</v>
      </c>
      <c r="AQ48" s="354">
        <f t="shared" si="12"/>
        <v>55.07569085487077</v>
      </c>
      <c r="AR48" s="354">
        <f t="shared" si="13"/>
        <v>62.722443344124926</v>
      </c>
      <c r="AS48" s="354">
        <f t="shared" si="14"/>
        <v>59.36915351772787</v>
      </c>
      <c r="AT48" s="354">
        <f t="shared" si="15"/>
        <v>69.08008274004233</v>
      </c>
      <c r="AU48" s="354">
        <f t="shared" si="15"/>
        <v>83.5464702044367</v>
      </c>
      <c r="AV48" s="354">
        <f t="shared" si="15"/>
        <v>80.84298883928572</v>
      </c>
      <c r="AW48" s="354">
        <f t="shared" si="40"/>
        <v>0</v>
      </c>
      <c r="AX48" s="354">
        <f t="shared" si="40"/>
        <v>0</v>
      </c>
      <c r="AY48" s="354">
        <f t="shared" si="40"/>
        <v>0</v>
      </c>
      <c r="AZ48" s="354">
        <f t="shared" si="40"/>
        <v>0</v>
      </c>
      <c r="BA48" s="354">
        <f t="shared" si="40"/>
        <v>0</v>
      </c>
      <c r="BB48" s="354">
        <f t="shared" si="40"/>
        <v>0</v>
      </c>
      <c r="BC48" s="354">
        <f t="shared" si="40"/>
        <v>0</v>
      </c>
      <c r="BD48" s="354">
        <f t="shared" si="40"/>
        <v>0</v>
      </c>
      <c r="BE48" s="354">
        <f t="shared" si="40"/>
        <v>0</v>
      </c>
    </row>
    <row r="49" spans="1:57" s="1" customFormat="1" ht="16.5" thickBot="1">
      <c r="A49" s="11"/>
      <c r="B49" s="80">
        <v>7.6</v>
      </c>
      <c r="C49" s="4"/>
      <c r="D49" s="4"/>
      <c r="E49" s="386" t="s">
        <v>82</v>
      </c>
      <c r="F49" s="386"/>
      <c r="G49" s="387"/>
      <c r="H49" s="108">
        <f>H47/H44</f>
        <v>0.3858199168234805</v>
      </c>
      <c r="I49" s="34">
        <f>I47/I44</f>
        <v>0.3759682088420662</v>
      </c>
      <c r="J49" s="108">
        <f>J47/J44</f>
        <v>0.3471067284367773</v>
      </c>
      <c r="K49" s="34"/>
      <c r="L49" s="108"/>
      <c r="M49" s="34"/>
      <c r="N49" s="108"/>
      <c r="O49" s="34"/>
      <c r="P49" s="108"/>
      <c r="Q49" s="34"/>
      <c r="R49" s="108"/>
      <c r="S49" s="34"/>
      <c r="T49" s="108"/>
      <c r="U49" s="34"/>
      <c r="V49" s="108"/>
      <c r="W49" s="273">
        <f>W47/W44</f>
        <v>0.3691597019138246</v>
      </c>
      <c r="X49" s="292">
        <f>X47/X44</f>
        <v>0.3691597019138245</v>
      </c>
      <c r="Y49" s="34">
        <f>Y47/Y44</f>
        <v>0.2973505600309489</v>
      </c>
      <c r="Z49" s="108">
        <f>Z47/Z44</f>
        <v>0.4151691151445506</v>
      </c>
      <c r="AA49" s="34">
        <f>AA47/AA44</f>
        <v>0.27577958417212833</v>
      </c>
      <c r="AB49" s="108"/>
      <c r="AC49" s="34"/>
      <c r="AD49" s="108"/>
      <c r="AE49" s="34"/>
      <c r="AF49" s="108"/>
      <c r="AG49" s="34"/>
      <c r="AH49" s="108"/>
      <c r="AI49" s="34"/>
      <c r="AJ49" s="108"/>
      <c r="AK49" s="273">
        <f>AK47/AK44</f>
        <v>0.32076551564038575</v>
      </c>
      <c r="AL49" s="292">
        <f>AL47/AL44</f>
        <v>0.3207655156403857</v>
      </c>
      <c r="AM49" s="245">
        <f t="shared" si="37"/>
        <v>-0.1393895309724223</v>
      </c>
      <c r="AN49" s="224">
        <f t="shared" si="38"/>
        <v>-0.33574157105566643</v>
      </c>
      <c r="AP49" s="1" t="str">
        <f t="shared" si="39"/>
        <v>Call Center Costs % of Total Costs</v>
      </c>
      <c r="AQ49" s="350">
        <f t="shared" si="12"/>
        <v>0.3858199168234805</v>
      </c>
      <c r="AR49" s="350">
        <f t="shared" si="13"/>
        <v>0.3759682088420662</v>
      </c>
      <c r="AS49" s="350">
        <f t="shared" si="14"/>
        <v>0.3471067284367773</v>
      </c>
      <c r="AT49" s="350">
        <f t="shared" si="15"/>
        <v>0.2973505600309489</v>
      </c>
      <c r="AU49" s="350">
        <f t="shared" si="15"/>
        <v>0.4151691151445506</v>
      </c>
      <c r="AV49" s="350">
        <f t="shared" si="15"/>
        <v>0.27577958417212833</v>
      </c>
      <c r="AW49" s="350">
        <f t="shared" si="40"/>
        <v>0</v>
      </c>
      <c r="AX49" s="350">
        <f t="shared" si="40"/>
        <v>0</v>
      </c>
      <c r="AY49" s="350">
        <f t="shared" si="40"/>
        <v>0</v>
      </c>
      <c r="AZ49" s="350">
        <f t="shared" si="40"/>
        <v>0</v>
      </c>
      <c r="BA49" s="350">
        <f t="shared" si="40"/>
        <v>0</v>
      </c>
      <c r="BB49" s="350">
        <f t="shared" si="40"/>
        <v>0</v>
      </c>
      <c r="BC49" s="350">
        <f t="shared" si="40"/>
        <v>0</v>
      </c>
      <c r="BD49" s="350">
        <f t="shared" si="40"/>
        <v>0</v>
      </c>
      <c r="BE49" s="350">
        <f t="shared" si="40"/>
        <v>0</v>
      </c>
    </row>
    <row r="50" spans="1:42" ht="15.75" customHeight="1">
      <c r="A50" s="13">
        <v>8</v>
      </c>
      <c r="B50" s="7" t="s">
        <v>10</v>
      </c>
      <c r="C50" s="10"/>
      <c r="D50" s="10"/>
      <c r="E50" s="2"/>
      <c r="F50" s="2"/>
      <c r="G50" s="2"/>
      <c r="H50" s="100"/>
      <c r="J50" s="100"/>
      <c r="L50" s="117"/>
      <c r="N50" s="117"/>
      <c r="P50" s="117"/>
      <c r="R50" s="117"/>
      <c r="T50" s="117"/>
      <c r="V50" s="117"/>
      <c r="W50" s="268"/>
      <c r="X50" s="287"/>
      <c r="Z50" s="374"/>
      <c r="AB50" s="117"/>
      <c r="AD50" s="117"/>
      <c r="AF50" s="117"/>
      <c r="AH50" s="117"/>
      <c r="AJ50" s="117"/>
      <c r="AK50" s="268"/>
      <c r="AL50" s="287"/>
      <c r="AM50" s="228"/>
      <c r="AN50" s="229"/>
      <c r="AO50" s="9"/>
      <c r="AP50" s="9"/>
    </row>
    <row r="51" spans="2:57" ht="15.75">
      <c r="B51" s="79">
        <v>8.1</v>
      </c>
      <c r="C51" s="7"/>
      <c r="D51" s="7"/>
      <c r="E51" s="398" t="s">
        <v>108</v>
      </c>
      <c r="F51" s="398"/>
      <c r="G51" s="399"/>
      <c r="H51" s="134">
        <f>SUM(H52:H58)</f>
        <v>27</v>
      </c>
      <c r="I51" s="46">
        <f>SUM(I52:I58)</f>
        <v>26</v>
      </c>
      <c r="J51" s="206">
        <f>SUM(J52:J58)</f>
        <v>17</v>
      </c>
      <c r="K51" s="46"/>
      <c r="L51" s="135"/>
      <c r="M51" s="46"/>
      <c r="N51" s="135"/>
      <c r="O51" s="46"/>
      <c r="P51" s="135"/>
      <c r="Q51" s="46"/>
      <c r="R51" s="135"/>
      <c r="S51" s="46"/>
      <c r="T51" s="135"/>
      <c r="U51" s="46"/>
      <c r="V51" s="135"/>
      <c r="W51" s="258">
        <f aca="true" t="shared" si="41" ref="W51:W59">SUM(H51:V51)</f>
        <v>70</v>
      </c>
      <c r="X51" s="297">
        <f aca="true" t="shared" si="42" ref="X51:X59">SUM(H51:V51)/$W$4</f>
        <v>23.333333333333332</v>
      </c>
      <c r="Y51" s="46">
        <f>SUM(Y52:Y58)</f>
        <v>14</v>
      </c>
      <c r="Z51" s="135">
        <f>SUM(Z52:Z58)</f>
        <v>21</v>
      </c>
      <c r="AA51" s="46">
        <f>SUM(AA52:AA58)</f>
        <v>24</v>
      </c>
      <c r="AB51" s="135"/>
      <c r="AC51" s="46"/>
      <c r="AD51" s="135"/>
      <c r="AE51" s="46"/>
      <c r="AF51" s="135"/>
      <c r="AG51" s="46"/>
      <c r="AH51" s="135"/>
      <c r="AI51" s="46"/>
      <c r="AJ51" s="135"/>
      <c r="AK51" s="258">
        <f aca="true" t="shared" si="43" ref="AK51:AK60">SUM(Y51:AJ51)</f>
        <v>59</v>
      </c>
      <c r="AL51" s="297">
        <f aca="true" t="shared" si="44" ref="AL51:AL60">SUM(Y51:AJ51)/$AK$4</f>
        <v>19.666666666666668</v>
      </c>
      <c r="AM51" s="239">
        <f aca="true" t="shared" si="45" ref="AM51:AM60">AA51-Z51</f>
        <v>3</v>
      </c>
      <c r="AN51" s="219">
        <f aca="true" t="shared" si="46" ref="AN51:AN60">AM51/Z51</f>
        <v>0.14285714285714285</v>
      </c>
      <c r="AP51" t="str">
        <f aca="true" t="shared" si="47" ref="AP51:AP59">E51</f>
        <v>Number of Classes Offered</v>
      </c>
      <c r="AQ51" s="338">
        <f t="shared" si="12"/>
        <v>27</v>
      </c>
      <c r="AR51" s="338">
        <f t="shared" si="13"/>
        <v>26</v>
      </c>
      <c r="AS51" s="338">
        <f t="shared" si="14"/>
        <v>17</v>
      </c>
      <c r="AT51" s="338">
        <f t="shared" si="15"/>
        <v>14</v>
      </c>
      <c r="AU51" s="338">
        <f t="shared" si="15"/>
        <v>21</v>
      </c>
      <c r="AV51" s="338">
        <f t="shared" si="15"/>
        <v>24</v>
      </c>
      <c r="AW51" s="338">
        <f aca="true" t="shared" si="48" ref="AW51:AW60">AB51</f>
        <v>0</v>
      </c>
      <c r="AX51" s="338">
        <f aca="true" t="shared" si="49" ref="AX51:AX60">AC51</f>
        <v>0</v>
      </c>
      <c r="AY51" s="338">
        <f aca="true" t="shared" si="50" ref="AY51:AY60">AD51</f>
        <v>0</v>
      </c>
      <c r="AZ51" s="338">
        <f aca="true" t="shared" si="51" ref="AZ51:AZ60">AE51</f>
        <v>0</v>
      </c>
      <c r="BA51" s="338">
        <f aca="true" t="shared" si="52" ref="BA51:BA60">AF51</f>
        <v>0</v>
      </c>
      <c r="BB51" s="338">
        <f aca="true" t="shared" si="53" ref="BB51:BB60">AG51</f>
        <v>0</v>
      </c>
      <c r="BC51" s="338">
        <f aca="true" t="shared" si="54" ref="BC51:BC60">AH51</f>
        <v>0</v>
      </c>
      <c r="BD51" s="338">
        <f aca="true" t="shared" si="55" ref="BD51:BD60">AI51</f>
        <v>0</v>
      </c>
      <c r="BE51" s="338">
        <f aca="true" t="shared" si="56" ref="BE51:BE60">AJ51</f>
        <v>0</v>
      </c>
    </row>
    <row r="52" spans="1:57" ht="15.75">
      <c r="A52" s="13"/>
      <c r="B52" s="79">
        <v>8.2</v>
      </c>
      <c r="C52" s="7"/>
      <c r="D52" s="7"/>
      <c r="E52" s="406" t="s">
        <v>12</v>
      </c>
      <c r="F52" s="406"/>
      <c r="G52" s="407"/>
      <c r="H52" s="103">
        <v>1</v>
      </c>
      <c r="I52" s="31">
        <v>1</v>
      </c>
      <c r="J52" s="103">
        <v>1</v>
      </c>
      <c r="K52" s="31"/>
      <c r="L52" s="120"/>
      <c r="M52" s="31"/>
      <c r="N52" s="120"/>
      <c r="O52" s="31"/>
      <c r="P52" s="120"/>
      <c r="Q52" s="31"/>
      <c r="R52" s="120"/>
      <c r="S52" s="31"/>
      <c r="T52" s="120"/>
      <c r="U52" s="31"/>
      <c r="V52" s="120"/>
      <c r="W52" s="258">
        <f t="shared" si="41"/>
        <v>3</v>
      </c>
      <c r="X52" s="297">
        <f t="shared" si="42"/>
        <v>1</v>
      </c>
      <c r="Y52" s="31">
        <v>1</v>
      </c>
      <c r="Z52" s="120">
        <f>1+0</f>
        <v>1</v>
      </c>
      <c r="AA52" s="31">
        <f>0+0</f>
        <v>0</v>
      </c>
      <c r="AB52" s="120"/>
      <c r="AC52" s="31"/>
      <c r="AD52" s="120"/>
      <c r="AE52" s="31"/>
      <c r="AF52" s="120"/>
      <c r="AG52" s="31"/>
      <c r="AH52" s="120"/>
      <c r="AI52" s="31"/>
      <c r="AJ52" s="120"/>
      <c r="AK52" s="258">
        <f t="shared" si="43"/>
        <v>2</v>
      </c>
      <c r="AL52" s="297">
        <f t="shared" si="44"/>
        <v>0.6666666666666666</v>
      </c>
      <c r="AM52" s="239">
        <f t="shared" si="45"/>
        <v>-1</v>
      </c>
      <c r="AN52" s="219">
        <f t="shared" si="46"/>
        <v>-1</v>
      </c>
      <c r="AP52" t="str">
        <f t="shared" si="47"/>
        <v>Benefits</v>
      </c>
      <c r="AQ52" s="338">
        <f t="shared" si="12"/>
        <v>1</v>
      </c>
      <c r="AR52" s="338">
        <f t="shared" si="13"/>
        <v>1</v>
      </c>
      <c r="AS52" s="338">
        <f t="shared" si="14"/>
        <v>1</v>
      </c>
      <c r="AT52" s="338">
        <f t="shared" si="15"/>
        <v>1</v>
      </c>
      <c r="AU52" s="338">
        <f t="shared" si="15"/>
        <v>1</v>
      </c>
      <c r="AV52" s="338">
        <f t="shared" si="15"/>
        <v>0</v>
      </c>
      <c r="AW52" s="338">
        <f t="shared" si="48"/>
        <v>0</v>
      </c>
      <c r="AX52" s="338">
        <f t="shared" si="49"/>
        <v>0</v>
      </c>
      <c r="AY52" s="338">
        <f t="shared" si="50"/>
        <v>0</v>
      </c>
      <c r="AZ52" s="338">
        <f t="shared" si="51"/>
        <v>0</v>
      </c>
      <c r="BA52" s="338">
        <f t="shared" si="52"/>
        <v>0</v>
      </c>
      <c r="BB52" s="338">
        <f t="shared" si="53"/>
        <v>0</v>
      </c>
      <c r="BC52" s="338">
        <f t="shared" si="54"/>
        <v>0</v>
      </c>
      <c r="BD52" s="338">
        <f t="shared" si="55"/>
        <v>0</v>
      </c>
      <c r="BE52" s="338">
        <f t="shared" si="56"/>
        <v>0</v>
      </c>
    </row>
    <row r="53" spans="1:57" ht="15.75">
      <c r="A53" s="13"/>
      <c r="B53" s="79">
        <v>8.3</v>
      </c>
      <c r="C53" s="7"/>
      <c r="D53" s="7"/>
      <c r="E53" s="406" t="s">
        <v>13</v>
      </c>
      <c r="F53" s="406"/>
      <c r="G53" s="407"/>
      <c r="H53" s="103">
        <v>4</v>
      </c>
      <c r="I53" s="31">
        <v>6</v>
      </c>
      <c r="J53" s="103">
        <v>1</v>
      </c>
      <c r="K53" s="31"/>
      <c r="L53" s="120"/>
      <c r="M53" s="31"/>
      <c r="N53" s="120"/>
      <c r="O53" s="31"/>
      <c r="P53" s="120"/>
      <c r="Q53" s="31"/>
      <c r="R53" s="120"/>
      <c r="S53" s="31"/>
      <c r="T53" s="120"/>
      <c r="U53" s="31"/>
      <c r="V53" s="120"/>
      <c r="W53" s="258">
        <f t="shared" si="41"/>
        <v>11</v>
      </c>
      <c r="X53" s="297">
        <f t="shared" si="42"/>
        <v>3.6666666666666665</v>
      </c>
      <c r="Y53" s="31">
        <v>1</v>
      </c>
      <c r="Z53" s="120">
        <f>1+0</f>
        <v>1</v>
      </c>
      <c r="AA53" s="31">
        <f>0+5</f>
        <v>5</v>
      </c>
      <c r="AB53" s="120"/>
      <c r="AC53" s="31"/>
      <c r="AD53" s="120"/>
      <c r="AE53" s="31"/>
      <c r="AF53" s="120"/>
      <c r="AG53" s="31"/>
      <c r="AH53" s="120"/>
      <c r="AI53" s="31"/>
      <c r="AJ53" s="120"/>
      <c r="AK53" s="258">
        <f t="shared" si="43"/>
        <v>7</v>
      </c>
      <c r="AL53" s="297">
        <f t="shared" si="44"/>
        <v>2.3333333333333335</v>
      </c>
      <c r="AM53" s="239">
        <f t="shared" si="45"/>
        <v>4</v>
      </c>
      <c r="AN53" s="219">
        <f t="shared" si="46"/>
        <v>4</v>
      </c>
      <c r="AP53" t="str">
        <f t="shared" si="47"/>
        <v>BI </v>
      </c>
      <c r="AQ53" s="338">
        <f t="shared" si="12"/>
        <v>4</v>
      </c>
      <c r="AR53" s="338">
        <f t="shared" si="13"/>
        <v>6</v>
      </c>
      <c r="AS53" s="338">
        <f t="shared" si="14"/>
        <v>1</v>
      </c>
      <c r="AT53" s="338">
        <f t="shared" si="15"/>
        <v>1</v>
      </c>
      <c r="AU53" s="338">
        <f t="shared" si="15"/>
        <v>1</v>
      </c>
      <c r="AV53" s="338">
        <f t="shared" si="15"/>
        <v>5</v>
      </c>
      <c r="AW53" s="338">
        <f t="shared" si="48"/>
        <v>0</v>
      </c>
      <c r="AX53" s="338">
        <f t="shared" si="49"/>
        <v>0</v>
      </c>
      <c r="AY53" s="338">
        <f t="shared" si="50"/>
        <v>0</v>
      </c>
      <c r="AZ53" s="338">
        <f t="shared" si="51"/>
        <v>0</v>
      </c>
      <c r="BA53" s="338">
        <f t="shared" si="52"/>
        <v>0</v>
      </c>
      <c r="BB53" s="338">
        <f t="shared" si="53"/>
        <v>0</v>
      </c>
      <c r="BC53" s="338">
        <f t="shared" si="54"/>
        <v>0</v>
      </c>
      <c r="BD53" s="338">
        <f t="shared" si="55"/>
        <v>0</v>
      </c>
      <c r="BE53" s="338">
        <f t="shared" si="56"/>
        <v>0</v>
      </c>
    </row>
    <row r="54" spans="1:57" ht="15.75">
      <c r="A54" s="13"/>
      <c r="B54" s="79">
        <v>8.4</v>
      </c>
      <c r="C54" s="7"/>
      <c r="D54" s="7"/>
      <c r="E54" s="420" t="s">
        <v>14</v>
      </c>
      <c r="F54" s="420"/>
      <c r="G54" s="421"/>
      <c r="H54" s="103">
        <v>4</v>
      </c>
      <c r="I54" s="31">
        <v>3</v>
      </c>
      <c r="J54" s="103">
        <v>3</v>
      </c>
      <c r="K54" s="31"/>
      <c r="L54" s="120"/>
      <c r="M54" s="31"/>
      <c r="N54" s="120"/>
      <c r="O54" s="31"/>
      <c r="P54" s="120"/>
      <c r="Q54" s="31"/>
      <c r="R54" s="120"/>
      <c r="S54" s="31"/>
      <c r="T54" s="120"/>
      <c r="U54" s="31"/>
      <c r="V54" s="120"/>
      <c r="W54" s="258">
        <f t="shared" si="41"/>
        <v>10</v>
      </c>
      <c r="X54" s="297">
        <f t="shared" si="42"/>
        <v>3.3333333333333335</v>
      </c>
      <c r="Y54" s="31">
        <v>1</v>
      </c>
      <c r="Z54" s="120">
        <f>1+1</f>
        <v>2</v>
      </c>
      <c r="AA54" s="31">
        <f>3+1</f>
        <v>4</v>
      </c>
      <c r="AB54" s="120"/>
      <c r="AC54" s="31"/>
      <c r="AD54" s="120"/>
      <c r="AE54" s="31"/>
      <c r="AF54" s="120"/>
      <c r="AG54" s="31"/>
      <c r="AH54" s="120"/>
      <c r="AI54" s="31"/>
      <c r="AJ54" s="120"/>
      <c r="AK54" s="258">
        <f t="shared" si="43"/>
        <v>7</v>
      </c>
      <c r="AL54" s="297">
        <f t="shared" si="44"/>
        <v>2.3333333333333335</v>
      </c>
      <c r="AM54" s="239">
        <f t="shared" si="45"/>
        <v>2</v>
      </c>
      <c r="AN54" s="219">
        <f t="shared" si="46"/>
        <v>1</v>
      </c>
      <c r="AP54" t="str">
        <f t="shared" si="47"/>
        <v>Org Management</v>
      </c>
      <c r="AQ54" s="338">
        <f t="shared" si="12"/>
        <v>4</v>
      </c>
      <c r="AR54" s="338">
        <f t="shared" si="13"/>
        <v>3</v>
      </c>
      <c r="AS54" s="338">
        <f t="shared" si="14"/>
        <v>3</v>
      </c>
      <c r="AT54" s="338">
        <f t="shared" si="15"/>
        <v>1</v>
      </c>
      <c r="AU54" s="338">
        <f t="shared" si="15"/>
        <v>2</v>
      </c>
      <c r="AV54" s="338">
        <f t="shared" si="15"/>
        <v>4</v>
      </c>
      <c r="AW54" s="338">
        <f t="shared" si="48"/>
        <v>0</v>
      </c>
      <c r="AX54" s="338">
        <f t="shared" si="49"/>
        <v>0</v>
      </c>
      <c r="AY54" s="338">
        <f t="shared" si="50"/>
        <v>0</v>
      </c>
      <c r="AZ54" s="338">
        <f t="shared" si="51"/>
        <v>0</v>
      </c>
      <c r="BA54" s="338">
        <f t="shared" si="52"/>
        <v>0</v>
      </c>
      <c r="BB54" s="338">
        <f t="shared" si="53"/>
        <v>0</v>
      </c>
      <c r="BC54" s="338">
        <f t="shared" si="54"/>
        <v>0</v>
      </c>
      <c r="BD54" s="338">
        <f t="shared" si="55"/>
        <v>0</v>
      </c>
      <c r="BE54" s="338">
        <f t="shared" si="56"/>
        <v>0</v>
      </c>
    </row>
    <row r="55" spans="1:57" ht="15.75">
      <c r="A55" s="13"/>
      <c r="B55" s="79">
        <v>8.5</v>
      </c>
      <c r="C55" s="7"/>
      <c r="D55" s="7"/>
      <c r="E55" s="406" t="s">
        <v>43</v>
      </c>
      <c r="F55" s="406"/>
      <c r="G55" s="407"/>
      <c r="H55" s="103">
        <v>10</v>
      </c>
      <c r="I55" s="31">
        <v>6</v>
      </c>
      <c r="J55" s="103">
        <v>5</v>
      </c>
      <c r="K55" s="31"/>
      <c r="L55" s="120"/>
      <c r="M55" s="31"/>
      <c r="N55" s="120"/>
      <c r="O55" s="31"/>
      <c r="P55" s="120"/>
      <c r="Q55" s="31"/>
      <c r="R55" s="120"/>
      <c r="S55" s="31"/>
      <c r="T55" s="120"/>
      <c r="U55" s="31"/>
      <c r="V55" s="120"/>
      <c r="W55" s="258">
        <f t="shared" si="41"/>
        <v>21</v>
      </c>
      <c r="X55" s="297">
        <f t="shared" si="42"/>
        <v>7</v>
      </c>
      <c r="Y55" s="31">
        <v>8</v>
      </c>
      <c r="Z55" s="120">
        <f>5+3</f>
        <v>8</v>
      </c>
      <c r="AA55" s="31">
        <f>5+4</f>
        <v>9</v>
      </c>
      <c r="AB55" s="120"/>
      <c r="AC55" s="31"/>
      <c r="AD55" s="120"/>
      <c r="AE55" s="31"/>
      <c r="AF55" s="120"/>
      <c r="AG55" s="31"/>
      <c r="AH55" s="120"/>
      <c r="AI55" s="31"/>
      <c r="AJ55" s="120"/>
      <c r="AK55" s="258">
        <f t="shared" si="43"/>
        <v>25</v>
      </c>
      <c r="AL55" s="297">
        <f t="shared" si="44"/>
        <v>8.333333333333334</v>
      </c>
      <c r="AM55" s="239">
        <f t="shared" si="45"/>
        <v>1</v>
      </c>
      <c r="AN55" s="219">
        <f t="shared" si="46"/>
        <v>0.125</v>
      </c>
      <c r="AP55" t="str">
        <f t="shared" si="47"/>
        <v>Personnel Administration</v>
      </c>
      <c r="AQ55" s="338">
        <f t="shared" si="12"/>
        <v>10</v>
      </c>
      <c r="AR55" s="338">
        <f t="shared" si="13"/>
        <v>6</v>
      </c>
      <c r="AS55" s="338">
        <f t="shared" si="14"/>
        <v>5</v>
      </c>
      <c r="AT55" s="338">
        <f t="shared" si="15"/>
        <v>8</v>
      </c>
      <c r="AU55" s="338">
        <f t="shared" si="15"/>
        <v>8</v>
      </c>
      <c r="AV55" s="338">
        <f t="shared" si="15"/>
        <v>9</v>
      </c>
      <c r="AW55" s="338">
        <f t="shared" si="48"/>
        <v>0</v>
      </c>
      <c r="AX55" s="338">
        <f t="shared" si="49"/>
        <v>0</v>
      </c>
      <c r="AY55" s="338">
        <f t="shared" si="50"/>
        <v>0</v>
      </c>
      <c r="AZ55" s="338">
        <f t="shared" si="51"/>
        <v>0</v>
      </c>
      <c r="BA55" s="338">
        <f t="shared" si="52"/>
        <v>0</v>
      </c>
      <c r="BB55" s="338">
        <f t="shared" si="53"/>
        <v>0</v>
      </c>
      <c r="BC55" s="338">
        <f t="shared" si="54"/>
        <v>0</v>
      </c>
      <c r="BD55" s="338">
        <f t="shared" si="55"/>
        <v>0</v>
      </c>
      <c r="BE55" s="338">
        <f t="shared" si="56"/>
        <v>0</v>
      </c>
    </row>
    <row r="56" spans="1:57" ht="15.75">
      <c r="A56" s="13"/>
      <c r="B56" s="79">
        <v>8.6</v>
      </c>
      <c r="C56" s="7"/>
      <c r="D56" s="7"/>
      <c r="E56" s="406" t="s">
        <v>15</v>
      </c>
      <c r="F56" s="406"/>
      <c r="G56" s="407"/>
      <c r="H56" s="103">
        <v>3</v>
      </c>
      <c r="I56" s="31">
        <v>4</v>
      </c>
      <c r="J56" s="103">
        <v>2</v>
      </c>
      <c r="K56" s="31"/>
      <c r="L56" s="120"/>
      <c r="M56" s="31"/>
      <c r="N56" s="120"/>
      <c r="O56" s="31"/>
      <c r="P56" s="120"/>
      <c r="Q56" s="31"/>
      <c r="R56" s="120"/>
      <c r="S56" s="31"/>
      <c r="T56" s="120"/>
      <c r="U56" s="31"/>
      <c r="V56" s="120"/>
      <c r="W56" s="258">
        <f t="shared" si="41"/>
        <v>9</v>
      </c>
      <c r="X56" s="297">
        <f t="shared" si="42"/>
        <v>3</v>
      </c>
      <c r="Y56" s="31">
        <v>0</v>
      </c>
      <c r="Z56" s="120">
        <f>3+1</f>
        <v>4</v>
      </c>
      <c r="AA56" s="31">
        <f>1+0</f>
        <v>1</v>
      </c>
      <c r="AB56" s="120"/>
      <c r="AC56" s="31"/>
      <c r="AD56" s="120"/>
      <c r="AE56" s="31"/>
      <c r="AF56" s="120"/>
      <c r="AG56" s="31"/>
      <c r="AH56" s="120"/>
      <c r="AI56" s="31"/>
      <c r="AJ56" s="120"/>
      <c r="AK56" s="258">
        <f t="shared" si="43"/>
        <v>5</v>
      </c>
      <c r="AL56" s="297">
        <f t="shared" si="44"/>
        <v>1.6666666666666667</v>
      </c>
      <c r="AM56" s="239">
        <f t="shared" si="45"/>
        <v>-3</v>
      </c>
      <c r="AN56" s="219">
        <f t="shared" si="46"/>
        <v>-0.75</v>
      </c>
      <c r="AP56" t="str">
        <f t="shared" si="47"/>
        <v>Payroll</v>
      </c>
      <c r="AQ56" s="338">
        <f t="shared" si="12"/>
        <v>3</v>
      </c>
      <c r="AR56" s="338">
        <f t="shared" si="13"/>
        <v>4</v>
      </c>
      <c r="AS56" s="338">
        <f t="shared" si="14"/>
        <v>2</v>
      </c>
      <c r="AT56" s="338">
        <f t="shared" si="15"/>
        <v>0</v>
      </c>
      <c r="AU56" s="338">
        <f t="shared" si="15"/>
        <v>4</v>
      </c>
      <c r="AV56" s="338">
        <f t="shared" si="15"/>
        <v>1</v>
      </c>
      <c r="AW56" s="338">
        <f t="shared" si="48"/>
        <v>0</v>
      </c>
      <c r="AX56" s="338">
        <f t="shared" si="49"/>
        <v>0</v>
      </c>
      <c r="AY56" s="338">
        <f t="shared" si="50"/>
        <v>0</v>
      </c>
      <c r="AZ56" s="338">
        <f t="shared" si="51"/>
        <v>0</v>
      </c>
      <c r="BA56" s="338">
        <f t="shared" si="52"/>
        <v>0</v>
      </c>
      <c r="BB56" s="338">
        <f t="shared" si="53"/>
        <v>0</v>
      </c>
      <c r="BC56" s="338">
        <f t="shared" si="54"/>
        <v>0</v>
      </c>
      <c r="BD56" s="338">
        <f t="shared" si="55"/>
        <v>0</v>
      </c>
      <c r="BE56" s="338">
        <f t="shared" si="56"/>
        <v>0</v>
      </c>
    </row>
    <row r="57" spans="1:57" ht="15.75">
      <c r="A57" s="13"/>
      <c r="B57" s="79">
        <v>8.7</v>
      </c>
      <c r="C57" s="7"/>
      <c r="D57" s="7"/>
      <c r="E57" s="406" t="s">
        <v>16</v>
      </c>
      <c r="F57" s="406"/>
      <c r="G57" s="407"/>
      <c r="H57" s="103">
        <v>3</v>
      </c>
      <c r="I57" s="31">
        <v>4</v>
      </c>
      <c r="J57" s="103">
        <v>3</v>
      </c>
      <c r="K57" s="31"/>
      <c r="L57" s="120"/>
      <c r="M57" s="31"/>
      <c r="N57" s="120"/>
      <c r="O57" s="31"/>
      <c r="P57" s="120"/>
      <c r="Q57" s="31"/>
      <c r="R57" s="120"/>
      <c r="S57" s="31"/>
      <c r="T57" s="120"/>
      <c r="U57" s="31"/>
      <c r="V57" s="120"/>
      <c r="W57" s="258">
        <f t="shared" si="41"/>
        <v>10</v>
      </c>
      <c r="X57" s="297">
        <f t="shared" si="42"/>
        <v>3.3333333333333335</v>
      </c>
      <c r="Y57" s="31">
        <v>1</v>
      </c>
      <c r="Z57" s="120">
        <f>3+0</f>
        <v>3</v>
      </c>
      <c r="AA57" s="31">
        <f>4+0</f>
        <v>4</v>
      </c>
      <c r="AB57" s="120"/>
      <c r="AC57" s="31"/>
      <c r="AD57" s="120"/>
      <c r="AE57" s="31"/>
      <c r="AF57" s="120"/>
      <c r="AG57" s="31"/>
      <c r="AH57" s="120"/>
      <c r="AI57" s="31"/>
      <c r="AJ57" s="120"/>
      <c r="AK57" s="258">
        <f t="shared" si="43"/>
        <v>8</v>
      </c>
      <c r="AL57" s="297">
        <f t="shared" si="44"/>
        <v>2.6666666666666665</v>
      </c>
      <c r="AM57" s="239">
        <f t="shared" si="45"/>
        <v>1</v>
      </c>
      <c r="AN57" s="219">
        <f t="shared" si="46"/>
        <v>0.3333333333333333</v>
      </c>
      <c r="AP57" t="str">
        <f t="shared" si="47"/>
        <v>Time</v>
      </c>
      <c r="AQ57" s="338">
        <f t="shared" si="12"/>
        <v>3</v>
      </c>
      <c r="AR57" s="338">
        <f t="shared" si="13"/>
        <v>4</v>
      </c>
      <c r="AS57" s="338">
        <f t="shared" si="14"/>
        <v>3</v>
      </c>
      <c r="AT57" s="338">
        <f t="shared" si="15"/>
        <v>1</v>
      </c>
      <c r="AU57" s="338">
        <f t="shared" si="15"/>
        <v>3</v>
      </c>
      <c r="AV57" s="338">
        <f t="shared" si="15"/>
        <v>4</v>
      </c>
      <c r="AW57" s="338">
        <f t="shared" si="48"/>
        <v>0</v>
      </c>
      <c r="AX57" s="338">
        <f t="shared" si="49"/>
        <v>0</v>
      </c>
      <c r="AY57" s="338">
        <f t="shared" si="50"/>
        <v>0</v>
      </c>
      <c r="AZ57" s="338">
        <f t="shared" si="51"/>
        <v>0</v>
      </c>
      <c r="BA57" s="338">
        <f t="shared" si="52"/>
        <v>0</v>
      </c>
      <c r="BB57" s="338">
        <f t="shared" si="53"/>
        <v>0</v>
      </c>
      <c r="BC57" s="338">
        <f t="shared" si="54"/>
        <v>0</v>
      </c>
      <c r="BD57" s="338">
        <f t="shared" si="55"/>
        <v>0</v>
      </c>
      <c r="BE57" s="338">
        <f t="shared" si="56"/>
        <v>0</v>
      </c>
    </row>
    <row r="58" spans="1:57" s="45" customFormat="1" ht="15.75">
      <c r="A58" s="13"/>
      <c r="B58" s="133">
        <v>8.8</v>
      </c>
      <c r="C58" s="43"/>
      <c r="D58" s="43"/>
      <c r="E58" s="418" t="s">
        <v>97</v>
      </c>
      <c r="F58" s="418"/>
      <c r="G58" s="419"/>
      <c r="H58" s="136">
        <v>2</v>
      </c>
      <c r="I58" s="44">
        <v>2</v>
      </c>
      <c r="J58" s="136">
        <v>2</v>
      </c>
      <c r="K58" s="44"/>
      <c r="L58" s="137"/>
      <c r="M58" s="44"/>
      <c r="N58" s="137"/>
      <c r="O58" s="44"/>
      <c r="P58" s="137"/>
      <c r="Q58" s="44"/>
      <c r="R58" s="137"/>
      <c r="S58" s="44"/>
      <c r="T58" s="137"/>
      <c r="U58" s="44"/>
      <c r="V58" s="137"/>
      <c r="W58" s="274">
        <f t="shared" si="41"/>
        <v>6</v>
      </c>
      <c r="X58" s="298">
        <f t="shared" si="42"/>
        <v>2</v>
      </c>
      <c r="Y58" s="44">
        <v>2</v>
      </c>
      <c r="Z58" s="137">
        <f>2+0</f>
        <v>2</v>
      </c>
      <c r="AA58" s="44">
        <f>1+0</f>
        <v>1</v>
      </c>
      <c r="AB58" s="137"/>
      <c r="AC58" s="44"/>
      <c r="AD58" s="137"/>
      <c r="AE58" s="44"/>
      <c r="AF58" s="137"/>
      <c r="AG58" s="44"/>
      <c r="AH58" s="137"/>
      <c r="AI58" s="44"/>
      <c r="AJ58" s="137"/>
      <c r="AK58" s="274">
        <f t="shared" si="43"/>
        <v>5</v>
      </c>
      <c r="AL58" s="298">
        <f t="shared" si="44"/>
        <v>1.6666666666666667</v>
      </c>
      <c r="AM58" s="240">
        <f t="shared" si="45"/>
        <v>-1</v>
      </c>
      <c r="AN58" s="230">
        <f t="shared" si="46"/>
        <v>-0.5</v>
      </c>
      <c r="AP58" s="45" t="str">
        <f t="shared" si="47"/>
        <v>Workforce </v>
      </c>
      <c r="AQ58" s="342">
        <f t="shared" si="12"/>
        <v>2</v>
      </c>
      <c r="AR58" s="342">
        <f t="shared" si="13"/>
        <v>2</v>
      </c>
      <c r="AS58" s="342">
        <f t="shared" si="14"/>
        <v>2</v>
      </c>
      <c r="AT58" s="342">
        <f t="shared" si="15"/>
        <v>2</v>
      </c>
      <c r="AU58" s="342">
        <f t="shared" si="15"/>
        <v>2</v>
      </c>
      <c r="AV58" s="342">
        <f t="shared" si="15"/>
        <v>1</v>
      </c>
      <c r="AW58" s="342">
        <f t="shared" si="48"/>
        <v>0</v>
      </c>
      <c r="AX58" s="342">
        <f t="shared" si="49"/>
        <v>0</v>
      </c>
      <c r="AY58" s="342">
        <f t="shared" si="50"/>
        <v>0</v>
      </c>
      <c r="AZ58" s="342">
        <f t="shared" si="51"/>
        <v>0</v>
      </c>
      <c r="BA58" s="342">
        <f t="shared" si="52"/>
        <v>0</v>
      </c>
      <c r="BB58" s="342">
        <f t="shared" si="53"/>
        <v>0</v>
      </c>
      <c r="BC58" s="342">
        <f t="shared" si="54"/>
        <v>0</v>
      </c>
      <c r="BD58" s="342">
        <f t="shared" si="55"/>
        <v>0</v>
      </c>
      <c r="BE58" s="342">
        <f t="shared" si="56"/>
        <v>0</v>
      </c>
    </row>
    <row r="59" spans="1:57" s="45" customFormat="1" ht="15.75">
      <c r="A59" s="13"/>
      <c r="B59" s="133">
        <v>8.9</v>
      </c>
      <c r="C59" s="43"/>
      <c r="D59" s="43"/>
      <c r="E59" s="404" t="s">
        <v>106</v>
      </c>
      <c r="F59" s="404"/>
      <c r="G59" s="405"/>
      <c r="H59" s="136">
        <v>246</v>
      </c>
      <c r="I59" s="44">
        <v>153</v>
      </c>
      <c r="J59" s="136">
        <v>57</v>
      </c>
      <c r="K59" s="44"/>
      <c r="L59" s="137"/>
      <c r="M59" s="44"/>
      <c r="N59" s="137"/>
      <c r="O59" s="44"/>
      <c r="P59" s="137"/>
      <c r="Q59" s="44"/>
      <c r="R59" s="137"/>
      <c r="S59" s="44"/>
      <c r="T59" s="137"/>
      <c r="U59" s="44"/>
      <c r="V59" s="137"/>
      <c r="W59" s="274">
        <f t="shared" si="41"/>
        <v>456</v>
      </c>
      <c r="X59" s="298">
        <f t="shared" si="42"/>
        <v>152</v>
      </c>
      <c r="Y59" s="44">
        <v>147</v>
      </c>
      <c r="Z59" s="137">
        <v>99</v>
      </c>
      <c r="AA59" s="44">
        <v>96</v>
      </c>
      <c r="AB59" s="137"/>
      <c r="AC59" s="44"/>
      <c r="AD59" s="137"/>
      <c r="AE59" s="44"/>
      <c r="AF59" s="137"/>
      <c r="AG59" s="44"/>
      <c r="AH59" s="137"/>
      <c r="AI59" s="44"/>
      <c r="AJ59" s="137"/>
      <c r="AK59" s="274">
        <f t="shared" si="43"/>
        <v>342</v>
      </c>
      <c r="AL59" s="298">
        <f t="shared" si="44"/>
        <v>114</v>
      </c>
      <c r="AM59" s="240">
        <f t="shared" si="45"/>
        <v>-3</v>
      </c>
      <c r="AN59" s="230">
        <f t="shared" si="46"/>
        <v>-0.030303030303030304</v>
      </c>
      <c r="AP59" s="45" t="str">
        <f t="shared" si="47"/>
        <v>Number Trained in Classroom</v>
      </c>
      <c r="AQ59" s="342">
        <f t="shared" si="12"/>
        <v>246</v>
      </c>
      <c r="AR59" s="342">
        <f t="shared" si="13"/>
        <v>153</v>
      </c>
      <c r="AS59" s="342">
        <f t="shared" si="14"/>
        <v>57</v>
      </c>
      <c r="AT59" s="342">
        <f t="shared" si="15"/>
        <v>147</v>
      </c>
      <c r="AU59" s="342">
        <f t="shared" si="15"/>
        <v>99</v>
      </c>
      <c r="AV59" s="342">
        <f t="shared" si="15"/>
        <v>96</v>
      </c>
      <c r="AW59" s="342">
        <f t="shared" si="48"/>
        <v>0</v>
      </c>
      <c r="AX59" s="342">
        <f t="shared" si="49"/>
        <v>0</v>
      </c>
      <c r="AY59" s="342">
        <f t="shared" si="50"/>
        <v>0</v>
      </c>
      <c r="AZ59" s="342">
        <f t="shared" si="51"/>
        <v>0</v>
      </c>
      <c r="BA59" s="342">
        <f t="shared" si="52"/>
        <v>0</v>
      </c>
      <c r="BB59" s="342">
        <f t="shared" si="53"/>
        <v>0</v>
      </c>
      <c r="BC59" s="342">
        <f t="shared" si="54"/>
        <v>0</v>
      </c>
      <c r="BD59" s="342">
        <f t="shared" si="55"/>
        <v>0</v>
      </c>
      <c r="BE59" s="342">
        <f t="shared" si="56"/>
        <v>0</v>
      </c>
    </row>
    <row r="60" spans="1:57" s="1" customFormat="1" ht="16.5" thickBot="1">
      <c r="A60" s="11"/>
      <c r="B60" s="211">
        <v>8.1</v>
      </c>
      <c r="C60" s="4"/>
      <c r="D60" s="4"/>
      <c r="E60" s="386" t="s">
        <v>107</v>
      </c>
      <c r="F60" s="386"/>
      <c r="G60" s="387"/>
      <c r="H60" s="95">
        <v>197</v>
      </c>
      <c r="I60" s="24">
        <v>107</v>
      </c>
      <c r="J60" s="95">
        <v>152</v>
      </c>
      <c r="K60" s="24"/>
      <c r="L60" s="114"/>
      <c r="M60" s="24"/>
      <c r="N60" s="114"/>
      <c r="O60" s="24"/>
      <c r="P60" s="114"/>
      <c r="Q60" s="24"/>
      <c r="R60" s="114"/>
      <c r="S60" s="24"/>
      <c r="T60" s="114"/>
      <c r="U60" s="24"/>
      <c r="V60" s="114"/>
      <c r="W60" s="275">
        <f>SUM(H60:V60)</f>
        <v>456</v>
      </c>
      <c r="X60" s="299">
        <f>SUM(H60:V60)/$W$4</f>
        <v>152</v>
      </c>
      <c r="Y60" s="24">
        <v>65</v>
      </c>
      <c r="Z60" s="114">
        <v>71</v>
      </c>
      <c r="AA60" s="24">
        <v>95</v>
      </c>
      <c r="AB60" s="114"/>
      <c r="AC60" s="24"/>
      <c r="AD60" s="114"/>
      <c r="AE60" s="24"/>
      <c r="AF60" s="114"/>
      <c r="AG60" s="24"/>
      <c r="AH60" s="114"/>
      <c r="AI60" s="24"/>
      <c r="AJ60" s="114"/>
      <c r="AK60" s="275">
        <f t="shared" si="43"/>
        <v>231</v>
      </c>
      <c r="AL60" s="299">
        <f t="shared" si="44"/>
        <v>77</v>
      </c>
      <c r="AM60" s="241">
        <f t="shared" si="45"/>
        <v>24</v>
      </c>
      <c r="AN60" s="224">
        <f t="shared" si="46"/>
        <v>0.3380281690140845</v>
      </c>
      <c r="AP60" s="1" t="str">
        <f>E60</f>
        <v>Number Attending eLearning</v>
      </c>
      <c r="AQ60" s="344">
        <f t="shared" si="12"/>
        <v>197</v>
      </c>
      <c r="AR60" s="344">
        <f t="shared" si="13"/>
        <v>107</v>
      </c>
      <c r="AS60" s="344">
        <f t="shared" si="14"/>
        <v>152</v>
      </c>
      <c r="AT60" s="344">
        <f t="shared" si="15"/>
        <v>65</v>
      </c>
      <c r="AU60" s="344">
        <f t="shared" si="15"/>
        <v>71</v>
      </c>
      <c r="AV60" s="344">
        <f t="shared" si="15"/>
        <v>95</v>
      </c>
      <c r="AW60" s="344">
        <f t="shared" si="48"/>
        <v>0</v>
      </c>
      <c r="AX60" s="344">
        <f t="shared" si="49"/>
        <v>0</v>
      </c>
      <c r="AY60" s="344">
        <f t="shared" si="50"/>
        <v>0</v>
      </c>
      <c r="AZ60" s="344">
        <f t="shared" si="51"/>
        <v>0</v>
      </c>
      <c r="BA60" s="344">
        <f t="shared" si="52"/>
        <v>0</v>
      </c>
      <c r="BB60" s="344">
        <f t="shared" si="53"/>
        <v>0</v>
      </c>
      <c r="BC60" s="344">
        <f t="shared" si="54"/>
        <v>0</v>
      </c>
      <c r="BD60" s="344">
        <f t="shared" si="55"/>
        <v>0</v>
      </c>
      <c r="BE60" s="344">
        <f t="shared" si="56"/>
        <v>0</v>
      </c>
    </row>
    <row r="61" spans="1:57" s="17" customFormat="1" ht="15.75" customHeight="1">
      <c r="A61" s="13">
        <v>9</v>
      </c>
      <c r="B61" s="7" t="s">
        <v>9</v>
      </c>
      <c r="C61" s="10"/>
      <c r="D61" s="10"/>
      <c r="E61" s="16"/>
      <c r="F61" s="16"/>
      <c r="G61" s="16"/>
      <c r="H61" s="109"/>
      <c r="I61" s="35"/>
      <c r="J61" s="109"/>
      <c r="K61" s="35"/>
      <c r="L61" s="123"/>
      <c r="M61" s="35"/>
      <c r="N61" s="123"/>
      <c r="O61" s="35"/>
      <c r="P61" s="123"/>
      <c r="Q61" s="35"/>
      <c r="R61" s="123"/>
      <c r="S61" s="35"/>
      <c r="T61" s="123"/>
      <c r="U61" s="35"/>
      <c r="V61" s="123"/>
      <c r="W61" s="276"/>
      <c r="X61" s="300"/>
      <c r="Y61" s="35"/>
      <c r="Z61" s="123"/>
      <c r="AA61" s="35"/>
      <c r="AB61" s="123"/>
      <c r="AC61" s="35"/>
      <c r="AD61" s="123"/>
      <c r="AE61" s="35"/>
      <c r="AF61" s="123"/>
      <c r="AG61" s="35"/>
      <c r="AH61" s="123"/>
      <c r="AI61" s="35"/>
      <c r="AJ61" s="123"/>
      <c r="AK61" s="276"/>
      <c r="AL61" s="300"/>
      <c r="AM61" s="231"/>
      <c r="AN61" s="219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355"/>
    </row>
    <row r="62" spans="1:57" s="50" customFormat="1" ht="15.75">
      <c r="A62" s="48"/>
      <c r="B62" s="79">
        <v>9.1</v>
      </c>
      <c r="C62" s="49"/>
      <c r="D62" s="49"/>
      <c r="E62" s="413" t="s">
        <v>121</v>
      </c>
      <c r="F62" s="413"/>
      <c r="G62" s="414"/>
      <c r="H62" s="98">
        <v>1</v>
      </c>
      <c r="I62" s="27">
        <v>1</v>
      </c>
      <c r="J62" s="98">
        <v>0.9962</v>
      </c>
      <c r="K62" s="27"/>
      <c r="L62" s="124"/>
      <c r="M62" s="27"/>
      <c r="N62" s="124"/>
      <c r="O62" s="27"/>
      <c r="P62" s="124"/>
      <c r="Q62" s="27"/>
      <c r="R62" s="124"/>
      <c r="S62" s="27"/>
      <c r="T62" s="124"/>
      <c r="U62" s="27"/>
      <c r="V62" s="124"/>
      <c r="W62" s="260" t="s">
        <v>46</v>
      </c>
      <c r="X62" s="282">
        <f>SUM(H62:V62)/$W$4</f>
        <v>0.9987333333333334</v>
      </c>
      <c r="Y62" s="27">
        <v>0.996</v>
      </c>
      <c r="Z62" s="124">
        <v>1</v>
      </c>
      <c r="AA62" s="27">
        <v>1</v>
      </c>
      <c r="AB62" s="124"/>
      <c r="AC62" s="27"/>
      <c r="AD62" s="124"/>
      <c r="AE62" s="27"/>
      <c r="AF62" s="124"/>
      <c r="AG62" s="27"/>
      <c r="AH62" s="124"/>
      <c r="AI62" s="27"/>
      <c r="AJ62" s="124"/>
      <c r="AK62" s="260" t="s">
        <v>46</v>
      </c>
      <c r="AL62" s="282">
        <f>SUM(Y62:AJ62)/$AK$4</f>
        <v>0.9986666666666667</v>
      </c>
      <c r="AM62" s="244">
        <f>AA62-Z62</f>
        <v>0</v>
      </c>
      <c r="AN62" s="219">
        <f>AM62/Z62</f>
        <v>0</v>
      </c>
      <c r="AP62" s="50" t="str">
        <f>E62</f>
        <v>ERP Up Time</v>
      </c>
      <c r="AQ62" s="340">
        <f t="shared" si="12"/>
        <v>1</v>
      </c>
      <c r="AR62" s="340">
        <f t="shared" si="13"/>
        <v>1</v>
      </c>
      <c r="AS62" s="340">
        <f t="shared" si="14"/>
        <v>0.9962</v>
      </c>
      <c r="AT62" s="340">
        <f t="shared" si="15"/>
        <v>0.996</v>
      </c>
      <c r="AU62" s="340">
        <f t="shared" si="15"/>
        <v>1</v>
      </c>
      <c r="AV62" s="340">
        <f t="shared" si="15"/>
        <v>1</v>
      </c>
      <c r="AW62" s="340">
        <f aca="true" t="shared" si="57" ref="AW62:BE66">AB62</f>
        <v>0</v>
      </c>
      <c r="AX62" s="340">
        <f t="shared" si="57"/>
        <v>0</v>
      </c>
      <c r="AY62" s="340">
        <f t="shared" si="57"/>
        <v>0</v>
      </c>
      <c r="AZ62" s="340">
        <f t="shared" si="57"/>
        <v>0</v>
      </c>
      <c r="BA62" s="340">
        <f t="shared" si="57"/>
        <v>0</v>
      </c>
      <c r="BB62" s="340">
        <f t="shared" si="57"/>
        <v>0</v>
      </c>
      <c r="BC62" s="340">
        <f t="shared" si="57"/>
        <v>0</v>
      </c>
      <c r="BD62" s="340">
        <f t="shared" si="57"/>
        <v>0</v>
      </c>
      <c r="BE62" s="340">
        <f t="shared" si="57"/>
        <v>0</v>
      </c>
    </row>
    <row r="63" spans="1:57" s="328" customFormat="1" ht="15.75">
      <c r="A63" s="48"/>
      <c r="B63" s="133">
        <v>9.2</v>
      </c>
      <c r="C63" s="322"/>
      <c r="D63" s="322"/>
      <c r="E63" s="415" t="s">
        <v>122</v>
      </c>
      <c r="F63" s="415"/>
      <c r="G63" s="416"/>
      <c r="H63" s="323">
        <v>0</v>
      </c>
      <c r="I63" s="324">
        <v>0</v>
      </c>
      <c r="J63" s="323">
        <v>0.0038</v>
      </c>
      <c r="K63" s="324"/>
      <c r="L63" s="325"/>
      <c r="M63" s="324"/>
      <c r="N63" s="325"/>
      <c r="O63" s="324"/>
      <c r="P63" s="325"/>
      <c r="Q63" s="324"/>
      <c r="R63" s="325"/>
      <c r="S63" s="324"/>
      <c r="T63" s="325"/>
      <c r="U63" s="324"/>
      <c r="V63" s="325"/>
      <c r="W63" s="326" t="s">
        <v>46</v>
      </c>
      <c r="X63" s="295">
        <f>SUM(H63:V63)/$W$4</f>
        <v>0.0012666666666666666</v>
      </c>
      <c r="Y63" s="324">
        <v>0.004</v>
      </c>
      <c r="Z63" s="325">
        <v>0</v>
      </c>
      <c r="AA63" s="324">
        <v>0</v>
      </c>
      <c r="AB63" s="325"/>
      <c r="AC63" s="324"/>
      <c r="AD63" s="325"/>
      <c r="AE63" s="324"/>
      <c r="AF63" s="325"/>
      <c r="AG63" s="324"/>
      <c r="AH63" s="325"/>
      <c r="AI63" s="324"/>
      <c r="AJ63" s="325"/>
      <c r="AK63" s="326" t="s">
        <v>46</v>
      </c>
      <c r="AL63" s="295">
        <f>SUM(Y63:AJ63)/$AK$4</f>
        <v>0.0013333333333333333</v>
      </c>
      <c r="AM63" s="327">
        <f>AA63-Z63</f>
        <v>0</v>
      </c>
      <c r="AN63" s="230">
        <v>0</v>
      </c>
      <c r="AP63" s="328" t="str">
        <f>E63</f>
        <v>ERP Down Time</v>
      </c>
      <c r="AQ63" s="353">
        <f t="shared" si="12"/>
        <v>0</v>
      </c>
      <c r="AR63" s="353">
        <f t="shared" si="13"/>
        <v>0</v>
      </c>
      <c r="AS63" s="353">
        <f t="shared" si="14"/>
        <v>0.0038</v>
      </c>
      <c r="AT63" s="353">
        <f t="shared" si="15"/>
        <v>0.004</v>
      </c>
      <c r="AU63" s="353">
        <f t="shared" si="15"/>
        <v>0</v>
      </c>
      <c r="AV63" s="353">
        <f t="shared" si="15"/>
        <v>0</v>
      </c>
      <c r="AW63" s="353">
        <f t="shared" si="57"/>
        <v>0</v>
      </c>
      <c r="AX63" s="353">
        <f t="shared" si="57"/>
        <v>0</v>
      </c>
      <c r="AY63" s="353">
        <f t="shared" si="57"/>
        <v>0</v>
      </c>
      <c r="AZ63" s="353">
        <f t="shared" si="57"/>
        <v>0</v>
      </c>
      <c r="BA63" s="353">
        <f t="shared" si="57"/>
        <v>0</v>
      </c>
      <c r="BB63" s="353">
        <f t="shared" si="57"/>
        <v>0</v>
      </c>
      <c r="BC63" s="353">
        <f t="shared" si="57"/>
        <v>0</v>
      </c>
      <c r="BD63" s="353">
        <f t="shared" si="57"/>
        <v>0</v>
      </c>
      <c r="BE63" s="353">
        <f t="shared" si="57"/>
        <v>0</v>
      </c>
    </row>
    <row r="64" spans="1:57" s="50" customFormat="1" ht="15.75">
      <c r="A64" s="48"/>
      <c r="B64" s="79">
        <v>9.3</v>
      </c>
      <c r="C64" s="49"/>
      <c r="D64" s="49"/>
      <c r="E64" s="413" t="s">
        <v>123</v>
      </c>
      <c r="F64" s="413"/>
      <c r="G64" s="414"/>
      <c r="H64" s="98">
        <v>1</v>
      </c>
      <c r="I64" s="27">
        <v>1</v>
      </c>
      <c r="J64" s="98">
        <v>0.9962</v>
      </c>
      <c r="K64" s="27"/>
      <c r="L64" s="124"/>
      <c r="M64" s="27"/>
      <c r="N64" s="124"/>
      <c r="O64" s="27"/>
      <c r="P64" s="124"/>
      <c r="Q64" s="27"/>
      <c r="R64" s="124"/>
      <c r="S64" s="27"/>
      <c r="T64" s="124"/>
      <c r="U64" s="27"/>
      <c r="V64" s="124"/>
      <c r="W64" s="260" t="s">
        <v>46</v>
      </c>
      <c r="X64" s="282">
        <f>SUM(H64:V64)/$W$4</f>
        <v>0.9987333333333334</v>
      </c>
      <c r="Y64" s="27">
        <v>0.996</v>
      </c>
      <c r="Z64" s="124">
        <v>1</v>
      </c>
      <c r="AA64" s="27">
        <v>1</v>
      </c>
      <c r="AB64" s="124"/>
      <c r="AC64" s="27"/>
      <c r="AD64" s="124"/>
      <c r="AE64" s="27"/>
      <c r="AF64" s="124"/>
      <c r="AG64" s="27"/>
      <c r="AH64" s="124"/>
      <c r="AI64" s="27"/>
      <c r="AJ64" s="124"/>
      <c r="AK64" s="260" t="s">
        <v>46</v>
      </c>
      <c r="AL64" s="282">
        <f>SUM(Y64:AJ64)/$AK$4</f>
        <v>0.9986666666666667</v>
      </c>
      <c r="AM64" s="244">
        <f>AA64-Z64</f>
        <v>0</v>
      </c>
      <c r="AN64" s="219">
        <f>AM64/Z64</f>
        <v>0</v>
      </c>
      <c r="AP64" s="50" t="str">
        <f>E64</f>
        <v>BI Up Time</v>
      </c>
      <c r="AQ64" s="340">
        <f t="shared" si="12"/>
        <v>1</v>
      </c>
      <c r="AR64" s="340">
        <f t="shared" si="13"/>
        <v>1</v>
      </c>
      <c r="AS64" s="340">
        <f t="shared" si="14"/>
        <v>0.9962</v>
      </c>
      <c r="AT64" s="340">
        <f t="shared" si="15"/>
        <v>0.996</v>
      </c>
      <c r="AU64" s="340">
        <f t="shared" si="15"/>
        <v>1</v>
      </c>
      <c r="AV64" s="340">
        <f t="shared" si="15"/>
        <v>1</v>
      </c>
      <c r="AW64" s="340">
        <f t="shared" si="57"/>
        <v>0</v>
      </c>
      <c r="AX64" s="340">
        <f t="shared" si="57"/>
        <v>0</v>
      </c>
      <c r="AY64" s="340">
        <f t="shared" si="57"/>
        <v>0</v>
      </c>
      <c r="AZ64" s="340">
        <f t="shared" si="57"/>
        <v>0</v>
      </c>
      <c r="BA64" s="340">
        <f t="shared" si="57"/>
        <v>0</v>
      </c>
      <c r="BB64" s="340">
        <f t="shared" si="57"/>
        <v>0</v>
      </c>
      <c r="BC64" s="340">
        <f t="shared" si="57"/>
        <v>0</v>
      </c>
      <c r="BD64" s="340">
        <f t="shared" si="57"/>
        <v>0</v>
      </c>
      <c r="BE64" s="340">
        <f t="shared" si="57"/>
        <v>0</v>
      </c>
    </row>
    <row r="65" spans="1:57" s="328" customFormat="1" ht="15.75">
      <c r="A65" s="48"/>
      <c r="B65" s="133">
        <v>9.4</v>
      </c>
      <c r="C65" s="322"/>
      <c r="D65" s="322"/>
      <c r="E65" s="415" t="s">
        <v>124</v>
      </c>
      <c r="F65" s="415"/>
      <c r="G65" s="416"/>
      <c r="H65" s="323">
        <v>0</v>
      </c>
      <c r="I65" s="324">
        <v>0</v>
      </c>
      <c r="J65" s="323">
        <v>0.0038</v>
      </c>
      <c r="K65" s="324"/>
      <c r="L65" s="325"/>
      <c r="M65" s="324"/>
      <c r="N65" s="325"/>
      <c r="O65" s="324"/>
      <c r="P65" s="325"/>
      <c r="Q65" s="324"/>
      <c r="R65" s="325"/>
      <c r="S65" s="324"/>
      <c r="T65" s="325"/>
      <c r="U65" s="324"/>
      <c r="V65" s="325"/>
      <c r="W65" s="326" t="s">
        <v>46</v>
      </c>
      <c r="X65" s="295">
        <f>SUM(H65:V65)/$W$4</f>
        <v>0.0012666666666666666</v>
      </c>
      <c r="Y65" s="324">
        <v>0.004</v>
      </c>
      <c r="Z65" s="325">
        <v>0</v>
      </c>
      <c r="AA65" s="324">
        <v>0</v>
      </c>
      <c r="AB65" s="325"/>
      <c r="AC65" s="324"/>
      <c r="AD65" s="325"/>
      <c r="AE65" s="324"/>
      <c r="AF65" s="325"/>
      <c r="AG65" s="324"/>
      <c r="AH65" s="325"/>
      <c r="AI65" s="324"/>
      <c r="AJ65" s="325"/>
      <c r="AK65" s="326" t="s">
        <v>46</v>
      </c>
      <c r="AL65" s="295">
        <f>SUM(Y65:AJ65)/$AK$4</f>
        <v>0.0013333333333333333</v>
      </c>
      <c r="AM65" s="327">
        <f>AA65-Z65</f>
        <v>0</v>
      </c>
      <c r="AN65" s="230">
        <v>0</v>
      </c>
      <c r="AP65" s="328" t="str">
        <f>E65</f>
        <v>BI Down Time</v>
      </c>
      <c r="AQ65" s="353">
        <f t="shared" si="12"/>
        <v>0</v>
      </c>
      <c r="AR65" s="353">
        <f t="shared" si="13"/>
        <v>0</v>
      </c>
      <c r="AS65" s="353">
        <f t="shared" si="14"/>
        <v>0.0038</v>
      </c>
      <c r="AT65" s="353">
        <f t="shared" si="15"/>
        <v>0.004</v>
      </c>
      <c r="AU65" s="353">
        <f t="shared" si="15"/>
        <v>0</v>
      </c>
      <c r="AV65" s="353">
        <f t="shared" si="15"/>
        <v>0</v>
      </c>
      <c r="AW65" s="353">
        <f t="shared" si="57"/>
        <v>0</v>
      </c>
      <c r="AX65" s="353">
        <f t="shared" si="57"/>
        <v>0</v>
      </c>
      <c r="AY65" s="353">
        <f t="shared" si="57"/>
        <v>0</v>
      </c>
      <c r="AZ65" s="353">
        <f t="shared" si="57"/>
        <v>0</v>
      </c>
      <c r="BA65" s="353">
        <f t="shared" si="57"/>
        <v>0</v>
      </c>
      <c r="BB65" s="353">
        <f t="shared" si="57"/>
        <v>0</v>
      </c>
      <c r="BC65" s="353">
        <f t="shared" si="57"/>
        <v>0</v>
      </c>
      <c r="BD65" s="353">
        <f t="shared" si="57"/>
        <v>0</v>
      </c>
      <c r="BE65" s="353">
        <f t="shared" si="57"/>
        <v>0</v>
      </c>
    </row>
    <row r="66" spans="1:57" s="54" customFormat="1" ht="16.5" thickBot="1">
      <c r="A66" s="51"/>
      <c r="B66" s="80">
        <v>9.5</v>
      </c>
      <c r="C66" s="52"/>
      <c r="D66" s="52"/>
      <c r="E66" s="422" t="s">
        <v>6</v>
      </c>
      <c r="F66" s="422"/>
      <c r="G66" s="423"/>
      <c r="H66" s="110">
        <v>0.51</v>
      </c>
      <c r="I66" s="53">
        <v>0.605</v>
      </c>
      <c r="J66" s="110">
        <v>0.6952</v>
      </c>
      <c r="K66" s="53"/>
      <c r="L66" s="125"/>
      <c r="M66" s="53"/>
      <c r="N66" s="125"/>
      <c r="O66" s="53"/>
      <c r="P66" s="125"/>
      <c r="Q66" s="53"/>
      <c r="R66" s="125"/>
      <c r="S66" s="53"/>
      <c r="T66" s="125"/>
      <c r="U66" s="53"/>
      <c r="V66" s="125"/>
      <c r="W66" s="256" t="s">
        <v>46</v>
      </c>
      <c r="X66" s="283">
        <f>SUM(H66:V66)/$W$4</f>
        <v>0.6034</v>
      </c>
      <c r="Y66" s="53">
        <v>0.6503</v>
      </c>
      <c r="Z66" s="125">
        <v>0.6034</v>
      </c>
      <c r="AA66" s="53">
        <v>0.583</v>
      </c>
      <c r="AB66" s="125"/>
      <c r="AC66" s="53"/>
      <c r="AD66" s="125"/>
      <c r="AE66" s="53"/>
      <c r="AF66" s="125"/>
      <c r="AG66" s="53"/>
      <c r="AH66" s="125"/>
      <c r="AI66" s="53"/>
      <c r="AJ66" s="125"/>
      <c r="AK66" s="256" t="s">
        <v>46</v>
      </c>
      <c r="AL66" s="283">
        <f>SUM(Y66:AJ66)/$AK$4</f>
        <v>0.6122333333333333</v>
      </c>
      <c r="AM66" s="223">
        <f>AA66-Z66</f>
        <v>-0.020400000000000085</v>
      </c>
      <c r="AN66" s="224">
        <f>AM66/Z66</f>
        <v>-0.03380841895923116</v>
      </c>
      <c r="AP66" s="54" t="str">
        <f>E66</f>
        <v>Response Time (Seconds)</v>
      </c>
      <c r="AQ66" s="341">
        <f t="shared" si="12"/>
        <v>0.51</v>
      </c>
      <c r="AR66" s="341">
        <f t="shared" si="13"/>
        <v>0.605</v>
      </c>
      <c r="AS66" s="341">
        <f t="shared" si="14"/>
        <v>0.6952</v>
      </c>
      <c r="AT66" s="341">
        <f t="shared" si="15"/>
        <v>0.6503</v>
      </c>
      <c r="AU66" s="341">
        <f t="shared" si="15"/>
        <v>0.6034</v>
      </c>
      <c r="AV66" s="341">
        <f t="shared" si="15"/>
        <v>0.583</v>
      </c>
      <c r="AW66" s="341">
        <f t="shared" si="57"/>
        <v>0</v>
      </c>
      <c r="AX66" s="341">
        <f t="shared" si="57"/>
        <v>0</v>
      </c>
      <c r="AY66" s="341">
        <f t="shared" si="57"/>
        <v>0</v>
      </c>
      <c r="AZ66" s="341">
        <f t="shared" si="57"/>
        <v>0</v>
      </c>
      <c r="BA66" s="341">
        <f t="shared" si="57"/>
        <v>0</v>
      </c>
      <c r="BB66" s="341">
        <f t="shared" si="57"/>
        <v>0</v>
      </c>
      <c r="BC66" s="341">
        <f t="shared" si="57"/>
        <v>0</v>
      </c>
      <c r="BD66" s="341">
        <f t="shared" si="57"/>
        <v>0</v>
      </c>
      <c r="BE66" s="341">
        <f t="shared" si="57"/>
        <v>0</v>
      </c>
    </row>
    <row r="67" spans="1:57" ht="15">
      <c r="A67" s="199" t="s">
        <v>100</v>
      </c>
      <c r="B67" s="20"/>
      <c r="C67" s="5"/>
      <c r="D67" s="5"/>
      <c r="E67" s="3"/>
      <c r="F67" s="3"/>
      <c r="G67" s="3"/>
      <c r="H67" s="3"/>
      <c r="I67" s="3"/>
      <c r="J67" s="3"/>
      <c r="K67" s="3"/>
      <c r="L67" s="8"/>
      <c r="M67" s="3"/>
      <c r="N67" s="8"/>
      <c r="O67" s="3"/>
      <c r="P67" s="8"/>
      <c r="Q67" s="3"/>
      <c r="R67" s="8"/>
      <c r="S67" s="3"/>
      <c r="T67" s="8"/>
      <c r="U67" s="3"/>
      <c r="V67" s="8"/>
      <c r="W67" s="93"/>
      <c r="X67" s="93"/>
      <c r="Y67" s="3"/>
      <c r="Z67" s="8"/>
      <c r="AA67" s="3"/>
      <c r="AB67" s="8"/>
      <c r="AC67" s="3"/>
      <c r="AD67" s="8"/>
      <c r="AE67" s="3"/>
      <c r="AF67" s="8"/>
      <c r="AG67" s="3"/>
      <c r="AH67" s="8"/>
      <c r="AI67" s="3"/>
      <c r="AJ67" s="8"/>
      <c r="AK67" s="93"/>
      <c r="AL67" s="93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</row>
    <row r="68" spans="1:57" s="197" customFormat="1" ht="15">
      <c r="A68" s="154"/>
      <c r="B68" s="248"/>
      <c r="C68" s="154"/>
      <c r="D68" s="154"/>
      <c r="E68" s="413" t="s">
        <v>94</v>
      </c>
      <c r="F68" s="413"/>
      <c r="G68" s="413"/>
      <c r="H68" s="310">
        <f>(H33*H17)/(H3*7.5*60)</f>
        <v>0.10199405391786345</v>
      </c>
      <c r="I68" s="312">
        <f>(I33*I17)/(I3*7.5*60)</f>
        <v>0.09198366319444444</v>
      </c>
      <c r="J68" s="310">
        <f>(J33*J17)/(J3*7.5*60)</f>
        <v>0.08170758377425046</v>
      </c>
      <c r="L68" s="198"/>
      <c r="N68" s="198"/>
      <c r="P68" s="198"/>
      <c r="R68" s="198"/>
      <c r="T68" s="198"/>
      <c r="V68" s="198"/>
      <c r="W68" s="314"/>
      <c r="X68" s="316">
        <f>SUM(H68:V68)/$W$4</f>
        <v>0.09189510029551945</v>
      </c>
      <c r="Y68" s="197">
        <f>(Y33*Y17)/(Y3*7.5*60)</f>
        <v>0.0773258938592272</v>
      </c>
      <c r="Z68" s="367">
        <f>(Z33*Z17)/(Z3*7.5*60)</f>
        <v>0.07028101116990006</v>
      </c>
      <c r="AA68" s="381">
        <f>(AA33*AA17)/(AA3*7.5*60)</f>
        <v>0.07251001821493624</v>
      </c>
      <c r="AB68" s="198"/>
      <c r="AD68" s="198"/>
      <c r="AF68" s="198"/>
      <c r="AH68" s="198"/>
      <c r="AJ68" s="198"/>
      <c r="AK68" s="314"/>
      <c r="AL68" s="314">
        <f>SUM(Y68:AJ68)/$AK$4</f>
        <v>0.07337230774802117</v>
      </c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</row>
    <row r="69" spans="1:57" s="254" customFormat="1" ht="15.75" thickBot="1">
      <c r="A69" s="249"/>
      <c r="B69" s="250"/>
      <c r="C69" s="251"/>
      <c r="D69" s="251"/>
      <c r="E69" s="424" t="s">
        <v>101</v>
      </c>
      <c r="F69" s="424"/>
      <c r="G69" s="424"/>
      <c r="H69" s="311">
        <f>H47/H28</f>
        <v>36.209222306938244</v>
      </c>
      <c r="I69" s="313">
        <f>I47/I28</f>
        <v>39.70052434908389</v>
      </c>
      <c r="J69" s="311">
        <f>J47/J28</f>
        <v>36.56357951297588</v>
      </c>
      <c r="K69" s="253"/>
      <c r="L69" s="252"/>
      <c r="M69" s="253"/>
      <c r="N69" s="252"/>
      <c r="O69" s="253"/>
      <c r="P69" s="252"/>
      <c r="Q69" s="253"/>
      <c r="R69" s="252"/>
      <c r="S69" s="253"/>
      <c r="T69" s="252"/>
      <c r="U69" s="253"/>
      <c r="V69" s="252"/>
      <c r="W69" s="315"/>
      <c r="X69" s="369">
        <f>SUM(H69:V69)/$W$4</f>
        <v>37.491108722999336</v>
      </c>
      <c r="Y69" s="253">
        <f>Y47/Y28</f>
        <v>45.600049536390195</v>
      </c>
      <c r="Z69" s="368">
        <f>Z47/Z28</f>
        <v>53.487422723475355</v>
      </c>
      <c r="AA69" s="382">
        <f>AA47/AA28</f>
        <v>52.50457958828646</v>
      </c>
      <c r="AB69" s="252"/>
      <c r="AC69" s="253"/>
      <c r="AD69" s="252"/>
      <c r="AE69" s="253"/>
      <c r="AF69" s="252"/>
      <c r="AG69" s="253"/>
      <c r="AH69" s="252"/>
      <c r="AI69" s="253"/>
      <c r="AJ69" s="252"/>
      <c r="AK69" s="315"/>
      <c r="AL69" s="365">
        <f>SUM(Y69:AJ69)/$AK$4</f>
        <v>50.530683949384006</v>
      </c>
      <c r="AQ69" s="358"/>
      <c r="AR69" s="358"/>
      <c r="AS69" s="358"/>
      <c r="AT69" s="358"/>
      <c r="AU69" s="358"/>
      <c r="AV69" s="358"/>
      <c r="AW69" s="358"/>
      <c r="AX69" s="358"/>
      <c r="AY69" s="358"/>
      <c r="AZ69" s="358"/>
      <c r="BA69" s="358"/>
      <c r="BB69" s="358"/>
      <c r="BC69" s="358"/>
      <c r="BD69" s="358"/>
      <c r="BE69" s="358"/>
    </row>
    <row r="70" spans="1:57" s="129" customFormat="1" ht="15.75" hidden="1" outlineLevel="1">
      <c r="A70" s="126" t="s">
        <v>5</v>
      </c>
      <c r="B70" s="127"/>
      <c r="C70" s="128"/>
      <c r="D70" s="128"/>
      <c r="H70" s="130"/>
      <c r="I70" s="130"/>
      <c r="J70" s="130"/>
      <c r="K70" s="307"/>
      <c r="L70" s="131"/>
      <c r="M70" s="130"/>
      <c r="N70" s="131"/>
      <c r="O70" s="130"/>
      <c r="P70" s="131"/>
      <c r="Q70" s="130"/>
      <c r="R70" s="131"/>
      <c r="S70" s="130"/>
      <c r="T70" s="131"/>
      <c r="U70" s="130"/>
      <c r="V70" s="131"/>
      <c r="W70" s="132"/>
      <c r="X70" s="132"/>
      <c r="Y70" s="307"/>
      <c r="Z70" s="131"/>
      <c r="AA70" s="130"/>
      <c r="AB70" s="131"/>
      <c r="AC70" s="130"/>
      <c r="AD70" s="131"/>
      <c r="AE70" s="130"/>
      <c r="AF70" s="131"/>
      <c r="AG70" s="130"/>
      <c r="AH70" s="131"/>
      <c r="AI70" s="130"/>
      <c r="AJ70" s="131"/>
      <c r="AK70" s="55"/>
      <c r="AL70" s="132"/>
      <c r="AQ70" s="359"/>
      <c r="AR70" s="359"/>
      <c r="AS70" s="359"/>
      <c r="AT70" s="359"/>
      <c r="AU70" s="359"/>
      <c r="AV70" s="359"/>
      <c r="AW70" s="359"/>
      <c r="AX70" s="359"/>
      <c r="AY70" s="359"/>
      <c r="AZ70" s="359"/>
      <c r="BA70" s="359"/>
      <c r="BB70" s="359"/>
      <c r="BC70" s="359"/>
      <c r="BD70" s="359"/>
      <c r="BE70" s="359"/>
    </row>
    <row r="71" spans="1:57" s="85" customFormat="1" ht="8.25" customHeight="1" hidden="1" outlineLevel="1">
      <c r="A71" s="82"/>
      <c r="B71" s="83"/>
      <c r="C71" s="84"/>
      <c r="D71" s="84"/>
      <c r="H71" s="86"/>
      <c r="I71" s="86"/>
      <c r="J71" s="86"/>
      <c r="K71" s="308"/>
      <c r="L71" s="87"/>
      <c r="M71" s="86"/>
      <c r="N71" s="87"/>
      <c r="O71" s="86"/>
      <c r="P71" s="87"/>
      <c r="Q71" s="86"/>
      <c r="R71" s="87"/>
      <c r="S71" s="86"/>
      <c r="T71" s="87"/>
      <c r="U71" s="86"/>
      <c r="V71" s="87"/>
      <c r="W71" s="55"/>
      <c r="X71" s="55"/>
      <c r="Y71" s="308"/>
      <c r="Z71" s="87"/>
      <c r="AA71" s="86"/>
      <c r="AB71" s="87"/>
      <c r="AC71" s="86"/>
      <c r="AD71" s="87"/>
      <c r="AE71" s="86"/>
      <c r="AF71" s="87"/>
      <c r="AG71" s="86"/>
      <c r="AH71" s="87"/>
      <c r="AI71" s="86"/>
      <c r="AJ71" s="87"/>
      <c r="AK71" s="55"/>
      <c r="AL71" s="55"/>
      <c r="AQ71" s="345"/>
      <c r="AR71" s="345"/>
      <c r="AS71" s="345"/>
      <c r="AT71" s="345"/>
      <c r="AU71" s="345"/>
      <c r="AV71" s="345"/>
      <c r="AW71" s="345"/>
      <c r="AX71" s="345"/>
      <c r="AY71" s="345"/>
      <c r="AZ71" s="345"/>
      <c r="BA71" s="345"/>
      <c r="BB71" s="345"/>
      <c r="BC71" s="345"/>
      <c r="BD71" s="345"/>
      <c r="BE71" s="345"/>
    </row>
    <row r="72" spans="1:57" s="85" customFormat="1" ht="15" hidden="1" outlineLevel="1">
      <c r="A72" s="412">
        <v>39814</v>
      </c>
      <c r="B72" s="412"/>
      <c r="C72" s="88"/>
      <c r="D72" s="140"/>
      <c r="G72" s="89"/>
      <c r="H72" s="86"/>
      <c r="I72" s="86"/>
      <c r="J72" s="86"/>
      <c r="K72" s="308"/>
      <c r="L72" s="87"/>
      <c r="M72" s="86"/>
      <c r="N72" s="87"/>
      <c r="O72" s="86"/>
      <c r="P72" s="87"/>
      <c r="Q72" s="86"/>
      <c r="R72" s="87"/>
      <c r="S72" s="86"/>
      <c r="T72" s="87"/>
      <c r="U72" s="86"/>
      <c r="V72" s="87"/>
      <c r="W72" s="55"/>
      <c r="X72" s="55"/>
      <c r="Y72" s="308"/>
      <c r="Z72" s="87"/>
      <c r="AA72" s="86"/>
      <c r="AB72" s="87"/>
      <c r="AC72" s="86"/>
      <c r="AD72" s="87"/>
      <c r="AE72" s="86"/>
      <c r="AF72" s="87"/>
      <c r="AG72" s="86"/>
      <c r="AH72" s="87"/>
      <c r="AI72" s="86"/>
      <c r="AJ72" s="87"/>
      <c r="AK72" s="55"/>
      <c r="AL72" s="5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5"/>
      <c r="BE72" s="345"/>
    </row>
    <row r="73" spans="1:57" s="85" customFormat="1" ht="15" hidden="1" outlineLevel="1">
      <c r="A73" s="412">
        <v>39832</v>
      </c>
      <c r="B73" s="412"/>
      <c r="C73" s="88"/>
      <c r="D73" s="140"/>
      <c r="H73" s="86"/>
      <c r="I73" s="86"/>
      <c r="J73" s="86"/>
      <c r="K73" s="308"/>
      <c r="L73" s="87"/>
      <c r="M73" s="86"/>
      <c r="N73" s="87"/>
      <c r="O73" s="86"/>
      <c r="P73" s="87"/>
      <c r="Q73" s="86"/>
      <c r="R73" s="87"/>
      <c r="S73" s="86"/>
      <c r="T73" s="87"/>
      <c r="U73" s="86"/>
      <c r="V73" s="87"/>
      <c r="W73" s="55"/>
      <c r="X73" s="55"/>
      <c r="Y73" s="308"/>
      <c r="Z73" s="87"/>
      <c r="AA73" s="86"/>
      <c r="AB73" s="87"/>
      <c r="AC73" s="86"/>
      <c r="AD73" s="87"/>
      <c r="AE73" s="86"/>
      <c r="AF73" s="87"/>
      <c r="AG73" s="86"/>
      <c r="AH73" s="87"/>
      <c r="AI73" s="86"/>
      <c r="AJ73" s="87"/>
      <c r="AK73" s="55"/>
      <c r="AL73" s="5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</row>
    <row r="74" spans="1:57" s="85" customFormat="1" ht="15" hidden="1" outlineLevel="1">
      <c r="A74" s="412">
        <v>39913</v>
      </c>
      <c r="B74" s="412"/>
      <c r="C74" s="88"/>
      <c r="D74" s="140"/>
      <c r="H74" s="86"/>
      <c r="I74" s="86"/>
      <c r="J74" s="86"/>
      <c r="K74" s="308"/>
      <c r="L74" s="87"/>
      <c r="M74" s="86"/>
      <c r="N74" s="87"/>
      <c r="O74" s="86"/>
      <c r="P74" s="87"/>
      <c r="Q74" s="86"/>
      <c r="R74" s="87"/>
      <c r="S74" s="86"/>
      <c r="T74" s="87"/>
      <c r="U74" s="86"/>
      <c r="V74" s="87"/>
      <c r="W74" s="55"/>
      <c r="X74" s="55"/>
      <c r="Y74" s="308"/>
      <c r="Z74" s="87"/>
      <c r="AA74" s="86"/>
      <c r="AB74" s="87"/>
      <c r="AC74" s="86"/>
      <c r="AD74" s="87"/>
      <c r="AE74" s="86"/>
      <c r="AF74" s="87"/>
      <c r="AG74" s="86"/>
      <c r="AH74" s="87"/>
      <c r="AI74" s="86"/>
      <c r="AJ74" s="87"/>
      <c r="AK74" s="55"/>
      <c r="AL74" s="5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5"/>
    </row>
    <row r="75" spans="1:57" s="85" customFormat="1" ht="15" hidden="1" outlineLevel="1">
      <c r="A75" s="412">
        <v>39958</v>
      </c>
      <c r="B75" s="412"/>
      <c r="C75" s="88"/>
      <c r="D75" s="140"/>
      <c r="H75" s="86"/>
      <c r="I75" s="86"/>
      <c r="J75" s="86"/>
      <c r="K75" s="308"/>
      <c r="L75" s="87"/>
      <c r="M75" s="86"/>
      <c r="N75" s="87"/>
      <c r="O75" s="86"/>
      <c r="P75" s="87"/>
      <c r="Q75" s="86"/>
      <c r="R75" s="87"/>
      <c r="S75" s="86"/>
      <c r="T75" s="87"/>
      <c r="U75" s="86"/>
      <c r="V75" s="87"/>
      <c r="W75" s="55"/>
      <c r="X75" s="55"/>
      <c r="Y75" s="308"/>
      <c r="Z75" s="87"/>
      <c r="AA75" s="86"/>
      <c r="AB75" s="87"/>
      <c r="AC75" s="86"/>
      <c r="AD75" s="87"/>
      <c r="AE75" s="86"/>
      <c r="AF75" s="87"/>
      <c r="AG75" s="86"/>
      <c r="AH75" s="87"/>
      <c r="AI75" s="86"/>
      <c r="AJ75" s="87"/>
      <c r="AK75" s="55"/>
      <c r="AL75" s="5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</row>
    <row r="76" spans="1:57" s="85" customFormat="1" ht="15" hidden="1" outlineLevel="1">
      <c r="A76" s="412">
        <v>39997</v>
      </c>
      <c r="B76" s="412"/>
      <c r="C76" s="88"/>
      <c r="D76" s="140"/>
      <c r="H76" s="86"/>
      <c r="I76" s="86"/>
      <c r="J76" s="86"/>
      <c r="K76" s="308"/>
      <c r="L76" s="87"/>
      <c r="M76" s="86"/>
      <c r="N76" s="87"/>
      <c r="O76" s="86"/>
      <c r="P76" s="87"/>
      <c r="Q76" s="86"/>
      <c r="R76" s="87"/>
      <c r="S76" s="86"/>
      <c r="T76" s="87"/>
      <c r="U76" s="86"/>
      <c r="V76" s="87"/>
      <c r="W76" s="55"/>
      <c r="X76" s="55"/>
      <c r="Y76" s="308"/>
      <c r="Z76" s="87"/>
      <c r="AA76" s="86"/>
      <c r="AB76" s="87"/>
      <c r="AC76" s="86"/>
      <c r="AD76" s="87"/>
      <c r="AE76" s="86"/>
      <c r="AF76" s="87"/>
      <c r="AG76" s="86"/>
      <c r="AH76" s="87"/>
      <c r="AI76" s="86"/>
      <c r="AJ76" s="87"/>
      <c r="AK76" s="55"/>
      <c r="AL76" s="55"/>
      <c r="AQ76" s="345"/>
      <c r="AR76" s="345"/>
      <c r="AS76" s="345"/>
      <c r="AT76" s="345"/>
      <c r="AU76" s="345"/>
      <c r="AV76" s="345"/>
      <c r="AW76" s="345"/>
      <c r="AX76" s="345"/>
      <c r="AY76" s="345"/>
      <c r="AZ76" s="345"/>
      <c r="BA76" s="345"/>
      <c r="BB76" s="345"/>
      <c r="BC76" s="345"/>
      <c r="BD76" s="345"/>
      <c r="BE76" s="345"/>
    </row>
    <row r="77" spans="1:57" s="85" customFormat="1" ht="15" hidden="1" outlineLevel="1">
      <c r="A77" s="412">
        <v>40063</v>
      </c>
      <c r="B77" s="412"/>
      <c r="C77" s="88"/>
      <c r="D77" s="140"/>
      <c r="H77" s="86"/>
      <c r="I77" s="86"/>
      <c r="J77" s="86"/>
      <c r="K77" s="308"/>
      <c r="L77" s="87"/>
      <c r="M77" s="86"/>
      <c r="N77" s="87"/>
      <c r="O77" s="86"/>
      <c r="P77" s="87"/>
      <c r="Q77" s="86"/>
      <c r="R77" s="87"/>
      <c r="S77" s="86"/>
      <c r="T77" s="87"/>
      <c r="U77" s="86"/>
      <c r="V77" s="87"/>
      <c r="W77" s="55"/>
      <c r="X77" s="55"/>
      <c r="Y77" s="308"/>
      <c r="Z77" s="87"/>
      <c r="AA77" s="86"/>
      <c r="AB77" s="87"/>
      <c r="AC77" s="86"/>
      <c r="AD77" s="87"/>
      <c r="AE77" s="86"/>
      <c r="AF77" s="87"/>
      <c r="AG77" s="86"/>
      <c r="AH77" s="87"/>
      <c r="AI77" s="86"/>
      <c r="AJ77" s="87"/>
      <c r="AK77" s="55"/>
      <c r="AL77" s="5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</row>
    <row r="78" spans="1:57" s="85" customFormat="1" ht="15" hidden="1" outlineLevel="1">
      <c r="A78" s="412">
        <v>40128</v>
      </c>
      <c r="B78" s="412"/>
      <c r="C78" s="88"/>
      <c r="D78" s="140"/>
      <c r="H78" s="86"/>
      <c r="I78" s="86"/>
      <c r="J78" s="86"/>
      <c r="K78" s="308"/>
      <c r="L78" s="87"/>
      <c r="M78" s="86"/>
      <c r="N78" s="87"/>
      <c r="O78" s="86"/>
      <c r="P78" s="87"/>
      <c r="Q78" s="86"/>
      <c r="R78" s="87"/>
      <c r="S78" s="86"/>
      <c r="T78" s="87"/>
      <c r="U78" s="86"/>
      <c r="V78" s="87"/>
      <c r="W78" s="55"/>
      <c r="X78" s="55"/>
      <c r="Y78" s="308"/>
      <c r="Z78" s="87"/>
      <c r="AA78" s="86"/>
      <c r="AB78" s="87"/>
      <c r="AC78" s="86"/>
      <c r="AD78" s="87"/>
      <c r="AE78" s="86"/>
      <c r="AF78" s="87"/>
      <c r="AG78" s="86"/>
      <c r="AH78" s="87"/>
      <c r="AI78" s="86"/>
      <c r="AJ78" s="87"/>
      <c r="AK78" s="55"/>
      <c r="AL78" s="5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</row>
    <row r="79" spans="1:57" s="85" customFormat="1" ht="15" hidden="1" outlineLevel="1">
      <c r="A79" s="412">
        <v>40143</v>
      </c>
      <c r="B79" s="412"/>
      <c r="C79" s="88"/>
      <c r="D79" s="140"/>
      <c r="H79" s="86"/>
      <c r="I79" s="86"/>
      <c r="J79" s="86"/>
      <c r="K79" s="308"/>
      <c r="L79" s="87"/>
      <c r="M79" s="86"/>
      <c r="N79" s="87"/>
      <c r="O79" s="86"/>
      <c r="P79" s="87"/>
      <c r="Q79" s="86"/>
      <c r="R79" s="87"/>
      <c r="S79" s="86"/>
      <c r="T79" s="87"/>
      <c r="U79" s="86"/>
      <c r="V79" s="87"/>
      <c r="W79" s="55"/>
      <c r="X79" s="55"/>
      <c r="Y79" s="308"/>
      <c r="Z79" s="87"/>
      <c r="AA79" s="86"/>
      <c r="AB79" s="87"/>
      <c r="AC79" s="86"/>
      <c r="AD79" s="87"/>
      <c r="AE79" s="86"/>
      <c r="AF79" s="87"/>
      <c r="AG79" s="86"/>
      <c r="AH79" s="87"/>
      <c r="AI79" s="86"/>
      <c r="AJ79" s="87"/>
      <c r="AK79" s="55"/>
      <c r="AL79" s="55"/>
      <c r="AQ79" s="345"/>
      <c r="AR79" s="345"/>
      <c r="AS79" s="345"/>
      <c r="AT79" s="345"/>
      <c r="AU79" s="345"/>
      <c r="AV79" s="345"/>
      <c r="AW79" s="345"/>
      <c r="AX79" s="345"/>
      <c r="AY79" s="345"/>
      <c r="AZ79" s="345"/>
      <c r="BA79" s="345"/>
      <c r="BB79" s="345"/>
      <c r="BC79" s="345"/>
      <c r="BD79" s="345"/>
      <c r="BE79" s="345"/>
    </row>
    <row r="80" spans="1:57" s="85" customFormat="1" ht="15" hidden="1" outlineLevel="1">
      <c r="A80" s="412">
        <v>40144</v>
      </c>
      <c r="B80" s="412"/>
      <c r="C80" s="88"/>
      <c r="D80" s="140"/>
      <c r="H80" s="86"/>
      <c r="I80" s="86"/>
      <c r="J80" s="86"/>
      <c r="K80" s="308"/>
      <c r="L80" s="87"/>
      <c r="M80" s="86"/>
      <c r="N80" s="87"/>
      <c r="O80" s="86"/>
      <c r="P80" s="87"/>
      <c r="Q80" s="86"/>
      <c r="R80" s="87"/>
      <c r="S80" s="86"/>
      <c r="T80" s="87"/>
      <c r="U80" s="86"/>
      <c r="V80" s="87"/>
      <c r="W80" s="55"/>
      <c r="X80" s="55"/>
      <c r="Y80" s="308"/>
      <c r="Z80" s="87"/>
      <c r="AA80" s="86"/>
      <c r="AB80" s="87"/>
      <c r="AC80" s="86"/>
      <c r="AD80" s="87"/>
      <c r="AE80" s="86"/>
      <c r="AF80" s="87"/>
      <c r="AG80" s="86"/>
      <c r="AH80" s="87"/>
      <c r="AI80" s="86"/>
      <c r="AJ80" s="87"/>
      <c r="AK80" s="55"/>
      <c r="AL80" s="55"/>
      <c r="AQ80" s="345"/>
      <c r="AR80" s="345"/>
      <c r="AS80" s="345"/>
      <c r="AT80" s="345"/>
      <c r="AU80" s="345"/>
      <c r="AV80" s="345"/>
      <c r="AW80" s="345"/>
      <c r="AX80" s="345"/>
      <c r="AY80" s="345"/>
      <c r="AZ80" s="345"/>
      <c r="BA80" s="345"/>
      <c r="BB80" s="345"/>
      <c r="BC80" s="345"/>
      <c r="BD80" s="345"/>
      <c r="BE80" s="345"/>
    </row>
    <row r="81" spans="1:57" s="85" customFormat="1" ht="15" hidden="1" outlineLevel="1">
      <c r="A81" s="412">
        <v>40171</v>
      </c>
      <c r="B81" s="412"/>
      <c r="C81" s="88"/>
      <c r="D81" s="140"/>
      <c r="H81" s="86"/>
      <c r="I81" s="86"/>
      <c r="J81" s="86"/>
      <c r="K81" s="308"/>
      <c r="L81" s="87"/>
      <c r="M81" s="86"/>
      <c r="N81" s="87"/>
      <c r="O81" s="86"/>
      <c r="P81" s="87"/>
      <c r="Q81" s="86"/>
      <c r="R81" s="87"/>
      <c r="S81" s="86"/>
      <c r="T81" s="87"/>
      <c r="U81" s="86"/>
      <c r="V81" s="87"/>
      <c r="W81" s="55"/>
      <c r="X81" s="55"/>
      <c r="Y81" s="308"/>
      <c r="Z81" s="87"/>
      <c r="AA81" s="86"/>
      <c r="AB81" s="87"/>
      <c r="AC81" s="86"/>
      <c r="AD81" s="87"/>
      <c r="AE81" s="86"/>
      <c r="AF81" s="87"/>
      <c r="AG81" s="86"/>
      <c r="AH81" s="87"/>
      <c r="AI81" s="86"/>
      <c r="AJ81" s="87"/>
      <c r="AK81" s="55"/>
      <c r="AL81" s="5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</row>
    <row r="82" spans="1:57" s="85" customFormat="1" ht="15" hidden="1" outlineLevel="1">
      <c r="A82" s="412">
        <v>40179</v>
      </c>
      <c r="B82" s="412"/>
      <c r="C82" s="88"/>
      <c r="D82" s="140"/>
      <c r="H82" s="86"/>
      <c r="I82" s="86"/>
      <c r="J82" s="86"/>
      <c r="K82" s="308"/>
      <c r="L82" s="87"/>
      <c r="M82" s="86"/>
      <c r="N82" s="87"/>
      <c r="O82" s="86"/>
      <c r="P82" s="87"/>
      <c r="Q82" s="86"/>
      <c r="R82" s="87"/>
      <c r="S82" s="86"/>
      <c r="T82" s="87"/>
      <c r="U82" s="86"/>
      <c r="V82" s="87"/>
      <c r="W82" s="55"/>
      <c r="X82" s="55"/>
      <c r="Y82" s="308"/>
      <c r="Z82" s="87"/>
      <c r="AA82" s="86"/>
      <c r="AB82" s="87"/>
      <c r="AC82" s="86"/>
      <c r="AD82" s="87"/>
      <c r="AE82" s="86"/>
      <c r="AF82" s="87"/>
      <c r="AG82" s="86"/>
      <c r="AH82" s="87"/>
      <c r="AI82" s="86"/>
      <c r="AJ82" s="87"/>
      <c r="AK82" s="55"/>
      <c r="AL82" s="5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</row>
    <row r="83" spans="1:57" s="85" customFormat="1" ht="15" hidden="1" outlineLevel="1">
      <c r="A83" s="412">
        <v>40196</v>
      </c>
      <c r="B83" s="412"/>
      <c r="C83" s="88"/>
      <c r="D83" s="140"/>
      <c r="H83" s="86"/>
      <c r="I83" s="86"/>
      <c r="J83" s="86"/>
      <c r="K83" s="308"/>
      <c r="L83" s="87"/>
      <c r="M83" s="86"/>
      <c r="N83" s="87"/>
      <c r="O83" s="86"/>
      <c r="P83" s="87"/>
      <c r="Q83" s="86"/>
      <c r="R83" s="87"/>
      <c r="S83" s="86"/>
      <c r="T83" s="87"/>
      <c r="U83" s="86"/>
      <c r="V83" s="87"/>
      <c r="W83" s="55"/>
      <c r="X83" s="55"/>
      <c r="Y83" s="308"/>
      <c r="Z83" s="87"/>
      <c r="AA83" s="86"/>
      <c r="AB83" s="87"/>
      <c r="AC83" s="86"/>
      <c r="AD83" s="87"/>
      <c r="AE83" s="86"/>
      <c r="AF83" s="87"/>
      <c r="AG83" s="86"/>
      <c r="AH83" s="87"/>
      <c r="AI83" s="86"/>
      <c r="AJ83" s="87"/>
      <c r="AK83" s="55"/>
      <c r="AL83" s="5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</row>
    <row r="84" spans="1:57" s="85" customFormat="1" ht="15" hidden="1" outlineLevel="1">
      <c r="A84" s="412">
        <v>40219</v>
      </c>
      <c r="B84" s="412"/>
      <c r="C84" s="88"/>
      <c r="D84" s="140"/>
      <c r="H84" s="86"/>
      <c r="I84" s="86"/>
      <c r="J84" s="86"/>
      <c r="K84" s="308"/>
      <c r="L84" s="87"/>
      <c r="M84" s="86"/>
      <c r="N84" s="87"/>
      <c r="O84" s="86"/>
      <c r="P84" s="87"/>
      <c r="Q84" s="86"/>
      <c r="R84" s="87"/>
      <c r="S84" s="86"/>
      <c r="T84" s="87"/>
      <c r="U84" s="86"/>
      <c r="V84" s="87"/>
      <c r="W84" s="55"/>
      <c r="X84" s="55"/>
      <c r="Y84" s="308"/>
      <c r="Z84" s="87"/>
      <c r="AA84" s="86"/>
      <c r="AB84" s="87"/>
      <c r="AC84" s="86"/>
      <c r="AD84" s="87"/>
      <c r="AE84" s="86"/>
      <c r="AF84" s="87"/>
      <c r="AG84" s="86"/>
      <c r="AH84" s="87"/>
      <c r="AI84" s="86"/>
      <c r="AJ84" s="87"/>
      <c r="AK84" s="55"/>
      <c r="AL84" s="5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</row>
    <row r="85" spans="1:57" s="85" customFormat="1" ht="15" hidden="1" outlineLevel="1">
      <c r="A85" s="412">
        <v>40329</v>
      </c>
      <c r="B85" s="412"/>
      <c r="C85" s="88"/>
      <c r="D85" s="140"/>
      <c r="H85" s="86"/>
      <c r="I85" s="86"/>
      <c r="J85" s="86"/>
      <c r="K85" s="308"/>
      <c r="L85" s="87"/>
      <c r="M85" s="86"/>
      <c r="N85" s="87"/>
      <c r="O85" s="86"/>
      <c r="P85" s="87"/>
      <c r="Q85" s="86"/>
      <c r="R85" s="87"/>
      <c r="S85" s="86"/>
      <c r="T85" s="87"/>
      <c r="U85" s="86"/>
      <c r="V85" s="87"/>
      <c r="W85" s="55"/>
      <c r="X85" s="55"/>
      <c r="Y85" s="308"/>
      <c r="Z85" s="87"/>
      <c r="AA85" s="86"/>
      <c r="AB85" s="87"/>
      <c r="AC85" s="86"/>
      <c r="AD85" s="87"/>
      <c r="AE85" s="86"/>
      <c r="AF85" s="87"/>
      <c r="AG85" s="86"/>
      <c r="AH85" s="87"/>
      <c r="AI85" s="86"/>
      <c r="AJ85" s="87"/>
      <c r="AK85" s="55"/>
      <c r="AL85" s="5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345"/>
      <c r="BC85" s="345"/>
      <c r="BD85" s="345"/>
      <c r="BE85" s="345"/>
    </row>
    <row r="86" spans="1:57" s="85" customFormat="1" ht="15" hidden="1" outlineLevel="1">
      <c r="A86" s="412">
        <v>40364</v>
      </c>
      <c r="B86" s="412"/>
      <c r="C86" s="88"/>
      <c r="D86" s="140"/>
      <c r="H86" s="86"/>
      <c r="I86" s="86"/>
      <c r="J86" s="86"/>
      <c r="K86" s="308"/>
      <c r="L86" s="87"/>
      <c r="M86" s="86"/>
      <c r="N86" s="87"/>
      <c r="O86" s="86"/>
      <c r="P86" s="87"/>
      <c r="Q86" s="86"/>
      <c r="R86" s="87"/>
      <c r="S86" s="86"/>
      <c r="T86" s="87"/>
      <c r="U86" s="86"/>
      <c r="V86" s="87"/>
      <c r="W86" s="55"/>
      <c r="X86" s="55"/>
      <c r="Y86" s="308"/>
      <c r="Z86" s="87"/>
      <c r="AA86" s="86"/>
      <c r="AB86" s="87"/>
      <c r="AC86" s="86"/>
      <c r="AD86" s="87"/>
      <c r="AE86" s="86"/>
      <c r="AF86" s="87"/>
      <c r="AG86" s="86"/>
      <c r="AH86" s="87"/>
      <c r="AI86" s="86"/>
      <c r="AJ86" s="87"/>
      <c r="AK86" s="55"/>
      <c r="AL86" s="5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</row>
    <row r="87" spans="1:57" s="85" customFormat="1" ht="15" hidden="1" outlineLevel="1">
      <c r="A87" s="412">
        <v>40427</v>
      </c>
      <c r="B87" s="412"/>
      <c r="C87" s="88"/>
      <c r="D87" s="140"/>
      <c r="H87" s="86"/>
      <c r="I87" s="86"/>
      <c r="J87" s="86"/>
      <c r="K87" s="308"/>
      <c r="L87" s="87"/>
      <c r="M87" s="86"/>
      <c r="N87" s="87"/>
      <c r="O87" s="86"/>
      <c r="P87" s="87"/>
      <c r="Q87" s="86"/>
      <c r="R87" s="87"/>
      <c r="S87" s="86"/>
      <c r="T87" s="87"/>
      <c r="U87" s="86"/>
      <c r="V87" s="87"/>
      <c r="W87" s="55"/>
      <c r="X87" s="55"/>
      <c r="Y87" s="308"/>
      <c r="Z87" s="87"/>
      <c r="AA87" s="86"/>
      <c r="AB87" s="87"/>
      <c r="AC87" s="86"/>
      <c r="AD87" s="87"/>
      <c r="AE87" s="86"/>
      <c r="AF87" s="87"/>
      <c r="AG87" s="86"/>
      <c r="AH87" s="87"/>
      <c r="AI87" s="86"/>
      <c r="AJ87" s="87"/>
      <c r="AK87" s="55"/>
      <c r="AL87" s="5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</row>
    <row r="88" spans="1:57" s="85" customFormat="1" ht="15" hidden="1" outlineLevel="1">
      <c r="A88" s="412">
        <v>40493</v>
      </c>
      <c r="B88" s="412"/>
      <c r="C88" s="88"/>
      <c r="D88" s="140"/>
      <c r="H88" s="86"/>
      <c r="I88" s="86"/>
      <c r="J88" s="86"/>
      <c r="K88" s="308"/>
      <c r="L88" s="87"/>
      <c r="M88" s="86"/>
      <c r="N88" s="87"/>
      <c r="O88" s="86"/>
      <c r="P88" s="87"/>
      <c r="Q88" s="86"/>
      <c r="R88" s="87"/>
      <c r="S88" s="86"/>
      <c r="T88" s="87"/>
      <c r="U88" s="86"/>
      <c r="V88" s="87"/>
      <c r="W88" s="55"/>
      <c r="X88" s="55"/>
      <c r="Y88" s="308"/>
      <c r="Z88" s="87"/>
      <c r="AA88" s="86"/>
      <c r="AB88" s="87"/>
      <c r="AC88" s="86"/>
      <c r="AD88" s="87"/>
      <c r="AE88" s="86"/>
      <c r="AF88" s="87"/>
      <c r="AG88" s="86"/>
      <c r="AH88" s="87"/>
      <c r="AI88" s="86"/>
      <c r="AJ88" s="87"/>
      <c r="AK88" s="55"/>
      <c r="AL88" s="55"/>
      <c r="AQ88" s="345"/>
      <c r="AR88" s="345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5"/>
    </row>
    <row r="89" spans="1:57" s="85" customFormat="1" ht="15" hidden="1" outlineLevel="1">
      <c r="A89" s="412">
        <v>40507</v>
      </c>
      <c r="B89" s="412"/>
      <c r="C89" s="88"/>
      <c r="D89" s="140"/>
      <c r="H89" s="86"/>
      <c r="I89" s="86"/>
      <c r="J89" s="86"/>
      <c r="K89" s="308"/>
      <c r="L89" s="87"/>
      <c r="M89" s="86"/>
      <c r="N89" s="87"/>
      <c r="O89" s="86"/>
      <c r="P89" s="87"/>
      <c r="Q89" s="86"/>
      <c r="R89" s="87"/>
      <c r="S89" s="86"/>
      <c r="T89" s="87"/>
      <c r="U89" s="86"/>
      <c r="V89" s="87"/>
      <c r="W89" s="55"/>
      <c r="X89" s="55"/>
      <c r="Y89" s="308"/>
      <c r="Z89" s="87"/>
      <c r="AA89" s="86"/>
      <c r="AB89" s="87"/>
      <c r="AC89" s="86"/>
      <c r="AD89" s="87"/>
      <c r="AE89" s="86"/>
      <c r="AF89" s="87"/>
      <c r="AG89" s="86"/>
      <c r="AH89" s="87"/>
      <c r="AI89" s="86"/>
      <c r="AJ89" s="87"/>
      <c r="AK89" s="55"/>
      <c r="AL89" s="5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</row>
    <row r="90" spans="1:57" s="85" customFormat="1" ht="15" hidden="1" outlineLevel="1">
      <c r="A90" s="412">
        <v>40508</v>
      </c>
      <c r="B90" s="412"/>
      <c r="C90" s="88"/>
      <c r="D90" s="140"/>
      <c r="H90" s="86"/>
      <c r="I90" s="86"/>
      <c r="J90" s="86"/>
      <c r="K90" s="308"/>
      <c r="L90" s="87"/>
      <c r="M90" s="86"/>
      <c r="N90" s="87"/>
      <c r="O90" s="86"/>
      <c r="P90" s="87"/>
      <c r="Q90" s="86"/>
      <c r="R90" s="87"/>
      <c r="S90" s="86"/>
      <c r="T90" s="87"/>
      <c r="U90" s="86"/>
      <c r="V90" s="87"/>
      <c r="W90" s="55"/>
      <c r="X90" s="55"/>
      <c r="Y90" s="308"/>
      <c r="Z90" s="87"/>
      <c r="AA90" s="86"/>
      <c r="AB90" s="87"/>
      <c r="AC90" s="86"/>
      <c r="AD90" s="87"/>
      <c r="AE90" s="86"/>
      <c r="AF90" s="87"/>
      <c r="AG90" s="86"/>
      <c r="AH90" s="87"/>
      <c r="AI90" s="86"/>
      <c r="AJ90" s="87"/>
      <c r="AK90" s="55"/>
      <c r="AL90" s="5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5"/>
      <c r="BD90" s="345"/>
      <c r="BE90" s="345"/>
    </row>
    <row r="91" spans="1:57" s="85" customFormat="1" ht="15" hidden="1" outlineLevel="1">
      <c r="A91" s="412">
        <v>40536</v>
      </c>
      <c r="B91" s="412"/>
      <c r="C91" s="88"/>
      <c r="D91" s="140"/>
      <c r="H91" s="86"/>
      <c r="I91" s="86"/>
      <c r="J91" s="86"/>
      <c r="K91" s="308"/>
      <c r="L91" s="87"/>
      <c r="M91" s="86"/>
      <c r="N91" s="87"/>
      <c r="O91" s="86"/>
      <c r="P91" s="87"/>
      <c r="Q91" s="86"/>
      <c r="R91" s="87"/>
      <c r="S91" s="86"/>
      <c r="T91" s="87"/>
      <c r="U91" s="86"/>
      <c r="V91" s="87"/>
      <c r="W91" s="55"/>
      <c r="X91" s="55"/>
      <c r="Y91" s="308"/>
      <c r="Z91" s="87"/>
      <c r="AA91" s="86"/>
      <c r="AB91" s="87"/>
      <c r="AC91" s="86"/>
      <c r="AD91" s="87"/>
      <c r="AE91" s="86"/>
      <c r="AF91" s="87"/>
      <c r="AG91" s="86"/>
      <c r="AH91" s="87"/>
      <c r="AI91" s="86"/>
      <c r="AJ91" s="87"/>
      <c r="AK91" s="55"/>
      <c r="AL91" s="5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</row>
    <row r="92" spans="1:57" s="85" customFormat="1" ht="15" hidden="1" outlineLevel="1">
      <c r="A92" s="412">
        <v>40539</v>
      </c>
      <c r="B92" s="412"/>
      <c r="C92" s="301"/>
      <c r="D92" s="301"/>
      <c r="H92" s="86"/>
      <c r="I92" s="86"/>
      <c r="J92" s="86"/>
      <c r="K92" s="308"/>
      <c r="L92" s="87"/>
      <c r="M92" s="86"/>
      <c r="N92" s="87"/>
      <c r="O92" s="86"/>
      <c r="P92" s="87"/>
      <c r="Q92" s="86"/>
      <c r="R92" s="87"/>
      <c r="S92" s="86"/>
      <c r="T92" s="87"/>
      <c r="U92" s="86"/>
      <c r="V92" s="87"/>
      <c r="W92" s="55"/>
      <c r="X92" s="55"/>
      <c r="Y92" s="308"/>
      <c r="Z92" s="87"/>
      <c r="AA92" s="86"/>
      <c r="AB92" s="87"/>
      <c r="AC92" s="86"/>
      <c r="AD92" s="87"/>
      <c r="AE92" s="86"/>
      <c r="AF92" s="87"/>
      <c r="AG92" s="86"/>
      <c r="AH92" s="87"/>
      <c r="AI92" s="86"/>
      <c r="AJ92" s="87"/>
      <c r="AK92" s="55"/>
      <c r="AL92" s="5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345"/>
      <c r="BC92" s="345"/>
      <c r="BD92" s="345"/>
      <c r="BE92" s="345"/>
    </row>
    <row r="93" spans="1:57" s="85" customFormat="1" ht="15" hidden="1" outlineLevel="1">
      <c r="A93" s="412">
        <v>39814</v>
      </c>
      <c r="B93" s="412"/>
      <c r="C93" s="301"/>
      <c r="D93" s="301"/>
      <c r="H93" s="86"/>
      <c r="I93" s="86"/>
      <c r="J93" s="86"/>
      <c r="K93" s="308"/>
      <c r="L93" s="87"/>
      <c r="M93" s="86"/>
      <c r="N93" s="87"/>
      <c r="O93" s="86"/>
      <c r="P93" s="87"/>
      <c r="Q93" s="86"/>
      <c r="R93" s="87"/>
      <c r="S93" s="86"/>
      <c r="T93" s="87"/>
      <c r="U93" s="86"/>
      <c r="V93" s="87"/>
      <c r="W93" s="55"/>
      <c r="X93" s="55"/>
      <c r="Y93" s="308"/>
      <c r="Z93" s="87"/>
      <c r="AA93" s="86"/>
      <c r="AB93" s="87"/>
      <c r="AC93" s="86"/>
      <c r="AD93" s="87"/>
      <c r="AE93" s="86"/>
      <c r="AF93" s="87"/>
      <c r="AG93" s="86"/>
      <c r="AH93" s="87"/>
      <c r="AI93" s="86"/>
      <c r="AJ93" s="87"/>
      <c r="AK93" s="55"/>
      <c r="AL93" s="5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</row>
    <row r="94" spans="1:57" s="85" customFormat="1" ht="15" hidden="1" outlineLevel="1">
      <c r="A94" s="412">
        <v>39832</v>
      </c>
      <c r="B94" s="412"/>
      <c r="C94" s="301"/>
      <c r="D94" s="301"/>
      <c r="H94" s="86"/>
      <c r="I94" s="86"/>
      <c r="J94" s="86"/>
      <c r="K94" s="308"/>
      <c r="L94" s="87"/>
      <c r="M94" s="86"/>
      <c r="N94" s="87"/>
      <c r="O94" s="86"/>
      <c r="P94" s="87"/>
      <c r="Q94" s="86"/>
      <c r="R94" s="87"/>
      <c r="S94" s="86"/>
      <c r="T94" s="87"/>
      <c r="U94" s="86"/>
      <c r="V94" s="87"/>
      <c r="W94" s="55"/>
      <c r="X94" s="55"/>
      <c r="Y94" s="308"/>
      <c r="Z94" s="87"/>
      <c r="AA94" s="86"/>
      <c r="AB94" s="87"/>
      <c r="AC94" s="86"/>
      <c r="AD94" s="87"/>
      <c r="AE94" s="86"/>
      <c r="AF94" s="87"/>
      <c r="AG94" s="86"/>
      <c r="AH94" s="87"/>
      <c r="AI94" s="86"/>
      <c r="AJ94" s="87"/>
      <c r="AK94" s="55"/>
      <c r="AL94" s="5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345"/>
      <c r="BB94" s="345"/>
      <c r="BC94" s="345"/>
      <c r="BD94" s="345"/>
      <c r="BE94" s="345"/>
    </row>
    <row r="95" spans="1:57" s="85" customFormat="1" ht="15" hidden="1" outlineLevel="1">
      <c r="A95" s="412">
        <v>39913</v>
      </c>
      <c r="B95" s="412"/>
      <c r="C95" s="301"/>
      <c r="D95" s="301"/>
      <c r="H95" s="86"/>
      <c r="I95" s="86"/>
      <c r="J95" s="86"/>
      <c r="K95" s="308"/>
      <c r="L95" s="87"/>
      <c r="M95" s="86"/>
      <c r="N95" s="87"/>
      <c r="O95" s="86"/>
      <c r="P95" s="87"/>
      <c r="Q95" s="86"/>
      <c r="R95" s="87"/>
      <c r="S95" s="86"/>
      <c r="T95" s="87"/>
      <c r="U95" s="86"/>
      <c r="V95" s="87"/>
      <c r="W95" s="55"/>
      <c r="X95" s="55"/>
      <c r="Y95" s="308"/>
      <c r="Z95" s="87"/>
      <c r="AA95" s="86"/>
      <c r="AB95" s="87"/>
      <c r="AC95" s="86"/>
      <c r="AD95" s="87"/>
      <c r="AE95" s="86"/>
      <c r="AF95" s="87"/>
      <c r="AG95" s="86"/>
      <c r="AH95" s="87"/>
      <c r="AI95" s="86"/>
      <c r="AJ95" s="87"/>
      <c r="AK95" s="55"/>
      <c r="AL95" s="5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</row>
    <row r="96" spans="1:57" s="85" customFormat="1" ht="15" hidden="1" outlineLevel="1">
      <c r="A96" s="412">
        <v>39958</v>
      </c>
      <c r="B96" s="412"/>
      <c r="C96" s="301"/>
      <c r="D96" s="301"/>
      <c r="H96" s="86"/>
      <c r="I96" s="86"/>
      <c r="J96" s="86"/>
      <c r="K96" s="308"/>
      <c r="L96" s="87"/>
      <c r="M96" s="86"/>
      <c r="N96" s="87"/>
      <c r="O96" s="86"/>
      <c r="P96" s="87"/>
      <c r="Q96" s="86"/>
      <c r="R96" s="87"/>
      <c r="S96" s="86"/>
      <c r="T96" s="87"/>
      <c r="U96" s="86"/>
      <c r="V96" s="87"/>
      <c r="W96" s="55"/>
      <c r="X96" s="55"/>
      <c r="Y96" s="308"/>
      <c r="Z96" s="87"/>
      <c r="AA96" s="86"/>
      <c r="AB96" s="87"/>
      <c r="AC96" s="86"/>
      <c r="AD96" s="87"/>
      <c r="AE96" s="86"/>
      <c r="AF96" s="87"/>
      <c r="AG96" s="86"/>
      <c r="AH96" s="87"/>
      <c r="AI96" s="86"/>
      <c r="AJ96" s="87"/>
      <c r="AK96" s="55"/>
      <c r="AL96" s="55"/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45"/>
      <c r="BE96" s="345"/>
    </row>
    <row r="97" spans="1:57" s="85" customFormat="1" ht="15" hidden="1" outlineLevel="1">
      <c r="A97" s="301"/>
      <c r="B97" s="301"/>
      <c r="C97" s="301"/>
      <c r="D97" s="301"/>
      <c r="H97" s="86"/>
      <c r="I97" s="86"/>
      <c r="J97" s="86"/>
      <c r="K97" s="308"/>
      <c r="L97" s="87"/>
      <c r="M97" s="86"/>
      <c r="N97" s="87"/>
      <c r="O97" s="86"/>
      <c r="P97" s="87"/>
      <c r="Q97" s="86"/>
      <c r="R97" s="87"/>
      <c r="S97" s="86"/>
      <c r="T97" s="87"/>
      <c r="U97" s="86"/>
      <c r="V97" s="87"/>
      <c r="W97" s="55"/>
      <c r="X97" s="55"/>
      <c r="Y97" s="308"/>
      <c r="Z97" s="87"/>
      <c r="AA97" s="86"/>
      <c r="AB97" s="87"/>
      <c r="AC97" s="86"/>
      <c r="AD97" s="87"/>
      <c r="AE97" s="86"/>
      <c r="AF97" s="87"/>
      <c r="AG97" s="86"/>
      <c r="AH97" s="87"/>
      <c r="AI97" s="86"/>
      <c r="AJ97" s="87"/>
      <c r="AK97" s="55"/>
      <c r="AL97" s="5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</row>
    <row r="98" spans="1:57" s="85" customFormat="1" ht="15" hidden="1" outlineLevel="1">
      <c r="A98" s="301"/>
      <c r="B98" s="301"/>
      <c r="C98" s="301"/>
      <c r="D98" s="301"/>
      <c r="H98" s="86"/>
      <c r="I98" s="86"/>
      <c r="J98" s="86"/>
      <c r="K98" s="308"/>
      <c r="L98" s="87"/>
      <c r="M98" s="86"/>
      <c r="N98" s="87"/>
      <c r="O98" s="86"/>
      <c r="P98" s="87"/>
      <c r="Q98" s="86"/>
      <c r="R98" s="87"/>
      <c r="S98" s="86"/>
      <c r="T98" s="87"/>
      <c r="U98" s="86"/>
      <c r="V98" s="87"/>
      <c r="W98" s="55"/>
      <c r="X98" s="55"/>
      <c r="Y98" s="308"/>
      <c r="Z98" s="87"/>
      <c r="AA98" s="86"/>
      <c r="AB98" s="87"/>
      <c r="AC98" s="86"/>
      <c r="AD98" s="87"/>
      <c r="AE98" s="86"/>
      <c r="AF98" s="87"/>
      <c r="AG98" s="86"/>
      <c r="AH98" s="87"/>
      <c r="AI98" s="86"/>
      <c r="AJ98" s="87"/>
      <c r="AK98" s="55"/>
      <c r="AL98" s="5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5"/>
    </row>
    <row r="99" spans="1:57" s="85" customFormat="1" ht="15" hidden="1" outlineLevel="1">
      <c r="A99" s="417"/>
      <c r="B99" s="417"/>
      <c r="C99" s="88"/>
      <c r="D99" s="140"/>
      <c r="H99" s="86"/>
      <c r="I99" s="86"/>
      <c r="J99" s="86"/>
      <c r="K99" s="308"/>
      <c r="L99" s="87"/>
      <c r="M99" s="86"/>
      <c r="N99" s="87"/>
      <c r="O99" s="86"/>
      <c r="P99" s="87"/>
      <c r="Q99" s="86"/>
      <c r="R99" s="87"/>
      <c r="S99" s="86"/>
      <c r="T99" s="87"/>
      <c r="U99" s="86"/>
      <c r="V99" s="87"/>
      <c r="W99" s="55"/>
      <c r="X99" s="55"/>
      <c r="Y99" s="308"/>
      <c r="Z99" s="87"/>
      <c r="AA99" s="86"/>
      <c r="AB99" s="87"/>
      <c r="AC99" s="86"/>
      <c r="AD99" s="87"/>
      <c r="AE99" s="86"/>
      <c r="AF99" s="87"/>
      <c r="AG99" s="86"/>
      <c r="AH99" s="87"/>
      <c r="AI99" s="86"/>
      <c r="AJ99" s="87"/>
      <c r="AK99" s="55"/>
      <c r="AL99" s="5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</row>
    <row r="100" spans="1:25" ht="15.75" collapsed="1">
      <c r="A100" s="39"/>
      <c r="K100" s="309"/>
      <c r="Y100" s="309"/>
    </row>
    <row r="101" spans="1:25" ht="15.75">
      <c r="A101" s="39"/>
      <c r="K101" s="309"/>
      <c r="Y101" s="309"/>
    </row>
    <row r="102" ht="15.75">
      <c r="A102" s="39"/>
    </row>
    <row r="103" ht="15.75">
      <c r="A103" s="39"/>
    </row>
    <row r="104" ht="15.75">
      <c r="A104" s="39"/>
    </row>
  </sheetData>
  <sheetProtection password="DE65" sheet="1"/>
  <mergeCells count="80">
    <mergeCell ref="A96:B96"/>
    <mergeCell ref="A84:B84"/>
    <mergeCell ref="A79:B79"/>
    <mergeCell ref="A78:B78"/>
    <mergeCell ref="A74:B74"/>
    <mergeCell ref="E41:G41"/>
    <mergeCell ref="A73:B73"/>
    <mergeCell ref="E69:G69"/>
    <mergeCell ref="E56:G56"/>
    <mergeCell ref="E47:G47"/>
    <mergeCell ref="E48:G48"/>
    <mergeCell ref="E68:G68"/>
    <mergeCell ref="E58:G58"/>
    <mergeCell ref="E54:G54"/>
    <mergeCell ref="E51:G51"/>
    <mergeCell ref="E52:G52"/>
    <mergeCell ref="E53:G53"/>
    <mergeCell ref="E66:G66"/>
    <mergeCell ref="E60:G60"/>
    <mergeCell ref="E57:G57"/>
    <mergeCell ref="E62:G62"/>
    <mergeCell ref="E63:G63"/>
    <mergeCell ref="E64:G64"/>
    <mergeCell ref="E65:G65"/>
    <mergeCell ref="A99:B99"/>
    <mergeCell ref="A91:B91"/>
    <mergeCell ref="A90:B90"/>
    <mergeCell ref="A89:B89"/>
    <mergeCell ref="A88:B88"/>
    <mergeCell ref="A87:B87"/>
    <mergeCell ref="A92:B92"/>
    <mergeCell ref="A93:B93"/>
    <mergeCell ref="A94:B94"/>
    <mergeCell ref="A95:B95"/>
    <mergeCell ref="A75:B75"/>
    <mergeCell ref="A77:B77"/>
    <mergeCell ref="A76:B76"/>
    <mergeCell ref="A86:B86"/>
    <mergeCell ref="A83:B83"/>
    <mergeCell ref="A82:B82"/>
    <mergeCell ref="A81:B81"/>
    <mergeCell ref="A80:B80"/>
    <mergeCell ref="A85:B85"/>
    <mergeCell ref="A72:B72"/>
    <mergeCell ref="E59:G59"/>
    <mergeCell ref="E14:G14"/>
    <mergeCell ref="E15:G15"/>
    <mergeCell ref="E16:G16"/>
    <mergeCell ref="E18:G18"/>
    <mergeCell ref="E19:G19"/>
    <mergeCell ref="E45:G45"/>
    <mergeCell ref="E42:G42"/>
    <mergeCell ref="E55:G55"/>
    <mergeCell ref="E25:G25"/>
    <mergeCell ref="E26:G26"/>
    <mergeCell ref="E27:G27"/>
    <mergeCell ref="E30:G30"/>
    <mergeCell ref="E32:G32"/>
    <mergeCell ref="E38:G38"/>
    <mergeCell ref="E28:G28"/>
    <mergeCell ref="E29:G29"/>
    <mergeCell ref="E49:G49"/>
    <mergeCell ref="E44:G44"/>
    <mergeCell ref="E34:G34"/>
    <mergeCell ref="E33:G33"/>
    <mergeCell ref="E20:G20"/>
    <mergeCell ref="E23:G23"/>
    <mergeCell ref="E46:G46"/>
    <mergeCell ref="E37:G37"/>
    <mergeCell ref="E36:G36"/>
    <mergeCell ref="E39:G39"/>
    <mergeCell ref="E24:G24"/>
    <mergeCell ref="AM1:AN1"/>
    <mergeCell ref="A10:G10"/>
    <mergeCell ref="B11:G11"/>
    <mergeCell ref="E17:G17"/>
    <mergeCell ref="D22:G22"/>
    <mergeCell ref="E13:G13"/>
    <mergeCell ref="AM10:AN10"/>
    <mergeCell ref="B9:G9"/>
  </mergeCells>
  <printOptions horizontalCentered="1"/>
  <pageMargins left="0" right="0" top="0.89" bottom="0.38" header="0.22" footer="0.17"/>
  <pageSetup horizontalDpi="600" verticalDpi="600" orientation="portrait" scale="75" r:id="rId4"/>
  <headerFooter>
    <oddHeader>&amp;L&amp;6                &amp;G&amp;C&amp;"-,Bold"&amp;18OSC ERP
MONTHLY METRICS</oddHeader>
    <oddFooter>&amp;L&amp;8&amp;F (&amp;A)&amp;C&amp;8&amp;P of &amp;N&amp;R&amp;8&amp;D, &amp;T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pane xSplit="4" ySplit="1" topLeftCell="E2" activePane="bottomRight" state="frozen"/>
      <selection pane="topLeft" activeCell="A4" sqref="A4"/>
      <selection pane="topRight" activeCell="E4" sqref="E4"/>
      <selection pane="bottomLeft" activeCell="A5" sqref="A5"/>
      <selection pane="bottomRight" activeCell="E1" sqref="E1"/>
    </sheetView>
  </sheetViews>
  <sheetFormatPr defaultColWidth="9.140625" defaultRowHeight="15" outlineLevelRow="1"/>
  <cols>
    <col min="1" max="1" width="4.140625" style="173" customWidth="1"/>
    <col min="2" max="2" width="1.421875" style="6" customWidth="1"/>
    <col min="3" max="3" width="3.57421875" style="0" customWidth="1"/>
    <col min="4" max="4" width="144.00390625" style="0" customWidth="1"/>
    <col min="5" max="6" width="11.421875" style="28" customWidth="1"/>
  </cols>
  <sheetData>
    <row r="1" spans="1:6" s="148" customFormat="1" ht="19.5" thickBot="1">
      <c r="A1" s="425" t="s">
        <v>79</v>
      </c>
      <c r="B1" s="426"/>
      <c r="C1" s="426"/>
      <c r="D1" s="427"/>
      <c r="E1" s="150"/>
      <c r="F1" s="150"/>
    </row>
    <row r="2" spans="1:6" s="148" customFormat="1" ht="14.25">
      <c r="A2" s="166">
        <v>1</v>
      </c>
      <c r="B2" s="157"/>
      <c r="C2" s="158" t="s">
        <v>103</v>
      </c>
      <c r="D2" s="159"/>
      <c r="E2" s="150"/>
      <c r="F2" s="150"/>
    </row>
    <row r="3" spans="1:6" s="148" customFormat="1" ht="14.25">
      <c r="A3" s="167">
        <v>2.1</v>
      </c>
      <c r="B3" s="18"/>
      <c r="C3" s="149" t="s">
        <v>44</v>
      </c>
      <c r="D3" s="160"/>
      <c r="E3" s="150"/>
      <c r="F3" s="150"/>
    </row>
    <row r="4" spans="1:6" s="148" customFormat="1" ht="14.25">
      <c r="A4" s="167">
        <v>2.2</v>
      </c>
      <c r="B4" s="18"/>
      <c r="C4" s="151" t="s">
        <v>53</v>
      </c>
      <c r="D4" s="161"/>
      <c r="E4" s="150"/>
      <c r="F4" s="150"/>
    </row>
    <row r="5" spans="1:6" s="148" customFormat="1" ht="14.25">
      <c r="A5" s="167">
        <v>2.3</v>
      </c>
      <c r="B5" s="18"/>
      <c r="C5" s="149" t="s">
        <v>70</v>
      </c>
      <c r="D5" s="160"/>
      <c r="E5" s="150"/>
      <c r="F5" s="150"/>
    </row>
    <row r="6" spans="1:6" s="148" customFormat="1" ht="14.25">
      <c r="A6" s="167">
        <v>2.4</v>
      </c>
      <c r="B6" s="18"/>
      <c r="C6" s="151" t="s">
        <v>120</v>
      </c>
      <c r="D6" s="161"/>
      <c r="E6" s="150"/>
      <c r="F6" s="150"/>
    </row>
    <row r="7" spans="1:6" s="148" customFormat="1" ht="14.25">
      <c r="A7" s="167">
        <v>2.5</v>
      </c>
      <c r="B7" s="18"/>
      <c r="C7" s="151" t="s">
        <v>72</v>
      </c>
      <c r="D7" s="161"/>
      <c r="E7" s="150"/>
      <c r="F7" s="150"/>
    </row>
    <row r="8" spans="1:6" s="148" customFormat="1" ht="14.25">
      <c r="A8" s="167">
        <v>2.6</v>
      </c>
      <c r="B8" s="18"/>
      <c r="C8" s="151" t="s">
        <v>71</v>
      </c>
      <c r="D8" s="161"/>
      <c r="E8" s="150"/>
      <c r="F8" s="150"/>
    </row>
    <row r="9" spans="1:6" s="148" customFormat="1" ht="14.25">
      <c r="A9" s="167">
        <v>2.7</v>
      </c>
      <c r="B9" s="18"/>
      <c r="C9" s="151" t="s">
        <v>49</v>
      </c>
      <c r="D9" s="161"/>
      <c r="E9" s="150"/>
      <c r="F9" s="150"/>
    </row>
    <row r="10" spans="1:6" s="148" customFormat="1" ht="14.25">
      <c r="A10" s="167">
        <v>2.8</v>
      </c>
      <c r="B10" s="18"/>
      <c r="C10" s="151" t="s">
        <v>105</v>
      </c>
      <c r="D10" s="161"/>
      <c r="E10" s="150"/>
      <c r="F10" s="150"/>
    </row>
    <row r="11" spans="1:6" s="148" customFormat="1" ht="14.25">
      <c r="A11" s="167">
        <v>3.1</v>
      </c>
      <c r="B11" s="18"/>
      <c r="C11" s="151" t="s">
        <v>92</v>
      </c>
      <c r="D11" s="161"/>
      <c r="E11" s="150"/>
      <c r="F11" s="150"/>
    </row>
    <row r="12" spans="1:6" s="148" customFormat="1" ht="14.25">
      <c r="A12" s="167" t="s">
        <v>54</v>
      </c>
      <c r="B12" s="18"/>
      <c r="C12" s="152" t="s">
        <v>73</v>
      </c>
      <c r="D12" s="161"/>
      <c r="E12" s="150"/>
      <c r="F12" s="150"/>
    </row>
    <row r="13" spans="1:6" s="148" customFormat="1" ht="14.25">
      <c r="A13" s="167" t="s">
        <v>55</v>
      </c>
      <c r="B13" s="18"/>
      <c r="C13" s="152" t="s">
        <v>74</v>
      </c>
      <c r="D13" s="161"/>
      <c r="E13" s="150"/>
      <c r="F13" s="150"/>
    </row>
    <row r="14" spans="1:6" s="148" customFormat="1" ht="14.25">
      <c r="A14" s="167" t="s">
        <v>56</v>
      </c>
      <c r="B14" s="18"/>
      <c r="C14" s="152" t="s">
        <v>75</v>
      </c>
      <c r="D14" s="161"/>
      <c r="E14" s="150"/>
      <c r="F14" s="150"/>
    </row>
    <row r="15" spans="1:6" s="148" customFormat="1" ht="14.25">
      <c r="A15" s="167" t="s">
        <v>57</v>
      </c>
      <c r="B15" s="18"/>
      <c r="C15" s="152" t="s">
        <v>76</v>
      </c>
      <c r="D15" s="161"/>
      <c r="E15" s="150"/>
      <c r="F15" s="150"/>
    </row>
    <row r="16" spans="1:6" s="148" customFormat="1" ht="14.25">
      <c r="A16" s="167" t="s">
        <v>58</v>
      </c>
      <c r="B16" s="18"/>
      <c r="C16" s="152" t="s">
        <v>77</v>
      </c>
      <c r="D16" s="161"/>
      <c r="E16" s="150"/>
      <c r="F16" s="150"/>
    </row>
    <row r="17" spans="1:6" s="148" customFormat="1" ht="14.25">
      <c r="A17" s="167">
        <v>3.2</v>
      </c>
      <c r="B17" s="18"/>
      <c r="C17" s="151" t="s">
        <v>67</v>
      </c>
      <c r="D17" s="161"/>
      <c r="E17" s="150"/>
      <c r="F17" s="150"/>
    </row>
    <row r="18" spans="1:6" s="148" customFormat="1" ht="14.25">
      <c r="A18" s="167">
        <v>3.3</v>
      </c>
      <c r="B18" s="18"/>
      <c r="C18" s="151" t="s">
        <v>78</v>
      </c>
      <c r="D18" s="161"/>
      <c r="E18" s="150"/>
      <c r="F18" s="150"/>
    </row>
    <row r="19" spans="1:6" s="148" customFormat="1" ht="14.25">
      <c r="A19" s="167">
        <v>3.4</v>
      </c>
      <c r="B19" s="18"/>
      <c r="C19" s="151" t="s">
        <v>68</v>
      </c>
      <c r="D19" s="161"/>
      <c r="E19" s="150"/>
      <c r="F19" s="150"/>
    </row>
    <row r="20" spans="1:6" s="148" customFormat="1" ht="14.25">
      <c r="A20" s="167">
        <v>4.1</v>
      </c>
      <c r="B20" s="18"/>
      <c r="C20" s="151" t="s">
        <v>96</v>
      </c>
      <c r="D20" s="161"/>
      <c r="E20" s="150"/>
      <c r="F20" s="150"/>
    </row>
    <row r="21" spans="1:6" s="148" customFormat="1" ht="14.25">
      <c r="A21" s="167">
        <v>4.2</v>
      </c>
      <c r="B21" s="18"/>
      <c r="C21" s="151" t="s">
        <v>90</v>
      </c>
      <c r="D21" s="161"/>
      <c r="E21" s="150"/>
      <c r="F21" s="150"/>
    </row>
    <row r="22" spans="1:6" s="148" customFormat="1" ht="14.25">
      <c r="A22" s="167">
        <v>4.3</v>
      </c>
      <c r="B22" s="18"/>
      <c r="C22" s="151" t="s">
        <v>104</v>
      </c>
      <c r="D22" s="161"/>
      <c r="E22" s="150"/>
      <c r="F22" s="150"/>
    </row>
    <row r="23" spans="1:6" s="148" customFormat="1" ht="14.25">
      <c r="A23" s="167">
        <v>5.1</v>
      </c>
      <c r="B23" s="18"/>
      <c r="C23" s="151" t="s">
        <v>29</v>
      </c>
      <c r="D23" s="161"/>
      <c r="E23" s="150"/>
      <c r="F23" s="150"/>
    </row>
    <row r="24" spans="1:6" s="148" customFormat="1" ht="14.25">
      <c r="A24" s="167">
        <v>5.2</v>
      </c>
      <c r="B24" s="18"/>
      <c r="C24" s="151" t="s">
        <v>30</v>
      </c>
      <c r="D24" s="161"/>
      <c r="E24" s="150"/>
      <c r="F24" s="150"/>
    </row>
    <row r="25" spans="1:6" s="148" customFormat="1" ht="14.25">
      <c r="A25" s="167">
        <v>5.3</v>
      </c>
      <c r="B25" s="18"/>
      <c r="C25" s="151" t="s">
        <v>32</v>
      </c>
      <c r="D25" s="161"/>
      <c r="E25" s="150"/>
      <c r="F25" s="150"/>
    </row>
    <row r="26" spans="1:6" s="148" customFormat="1" ht="14.25">
      <c r="A26" s="167">
        <v>5.4</v>
      </c>
      <c r="B26" s="18"/>
      <c r="C26" s="151" t="s">
        <v>33</v>
      </c>
      <c r="D26" s="161"/>
      <c r="E26" s="150"/>
      <c r="F26" s="150"/>
    </row>
    <row r="27" spans="1:6" s="148" customFormat="1" ht="14.25">
      <c r="A27" s="167">
        <v>6.1</v>
      </c>
      <c r="B27" s="79"/>
      <c r="C27" s="151" t="s">
        <v>48</v>
      </c>
      <c r="D27" s="161"/>
      <c r="E27" s="150"/>
      <c r="F27" s="150"/>
    </row>
    <row r="28" spans="1:6" s="148" customFormat="1" ht="14.25">
      <c r="A28" s="167">
        <v>6.2</v>
      </c>
      <c r="B28" s="79"/>
      <c r="C28" s="151" t="s">
        <v>34</v>
      </c>
      <c r="D28" s="161"/>
      <c r="E28" s="150"/>
      <c r="F28" s="150"/>
    </row>
    <row r="29" spans="1:6" s="148" customFormat="1" ht="14.25">
      <c r="A29" s="167">
        <v>7.1</v>
      </c>
      <c r="B29" s="18"/>
      <c r="C29" s="151" t="s">
        <v>86</v>
      </c>
      <c r="D29" s="161"/>
      <c r="E29" s="150"/>
      <c r="F29" s="150"/>
    </row>
    <row r="30" spans="1:6" s="148" customFormat="1" ht="14.25">
      <c r="A30" s="167">
        <v>7.2</v>
      </c>
      <c r="B30" s="18"/>
      <c r="C30" s="151" t="s">
        <v>35</v>
      </c>
      <c r="D30" s="161"/>
      <c r="E30" s="150"/>
      <c r="F30" s="150"/>
    </row>
    <row r="31" spans="1:6" s="148" customFormat="1" ht="14.25">
      <c r="A31" s="167">
        <v>7.3</v>
      </c>
      <c r="B31" s="18"/>
      <c r="C31" s="149" t="s">
        <v>36</v>
      </c>
      <c r="D31" s="160"/>
      <c r="E31" s="150"/>
      <c r="F31" s="150"/>
    </row>
    <row r="32" spans="1:6" s="148" customFormat="1" ht="14.25">
      <c r="A32" s="167">
        <v>7.4</v>
      </c>
      <c r="B32" s="18"/>
      <c r="C32" s="149" t="s">
        <v>83</v>
      </c>
      <c r="D32" s="160"/>
      <c r="E32" s="150"/>
      <c r="F32" s="150"/>
    </row>
    <row r="33" spans="1:6" s="148" customFormat="1" ht="14.25">
      <c r="A33" s="167">
        <v>7.5</v>
      </c>
      <c r="B33" s="18"/>
      <c r="C33" s="149" t="s">
        <v>88</v>
      </c>
      <c r="D33" s="160"/>
      <c r="E33" s="150"/>
      <c r="F33" s="150"/>
    </row>
    <row r="34" spans="1:6" s="148" customFormat="1" ht="14.25">
      <c r="A34" s="167">
        <v>7.6</v>
      </c>
      <c r="B34" s="18"/>
      <c r="C34" s="149" t="s">
        <v>84</v>
      </c>
      <c r="D34" s="160"/>
      <c r="E34" s="150"/>
      <c r="F34" s="150"/>
    </row>
    <row r="35" spans="1:6" s="148" customFormat="1" ht="14.25">
      <c r="A35" s="167">
        <v>8.1</v>
      </c>
      <c r="B35" s="18"/>
      <c r="C35" s="151" t="s">
        <v>109</v>
      </c>
      <c r="D35" s="161"/>
      <c r="E35" s="150"/>
      <c r="F35" s="150"/>
    </row>
    <row r="36" spans="1:6" s="148" customFormat="1" ht="14.25">
      <c r="A36" s="167">
        <v>8.2</v>
      </c>
      <c r="B36" s="18"/>
      <c r="C36" s="152" t="s">
        <v>37</v>
      </c>
      <c r="D36" s="161"/>
      <c r="E36" s="150"/>
      <c r="F36" s="150"/>
    </row>
    <row r="37" spans="1:6" s="148" customFormat="1" ht="14.25">
      <c r="A37" s="167">
        <v>8.3</v>
      </c>
      <c r="B37" s="18"/>
      <c r="C37" s="152" t="s">
        <v>69</v>
      </c>
      <c r="D37" s="161"/>
      <c r="E37" s="150"/>
      <c r="F37" s="150"/>
    </row>
    <row r="38" spans="1:6" s="148" customFormat="1" ht="14.25">
      <c r="A38" s="167">
        <v>8.4</v>
      </c>
      <c r="B38" s="18"/>
      <c r="C38" s="153" t="s">
        <v>38</v>
      </c>
      <c r="D38" s="160"/>
      <c r="E38" s="150"/>
      <c r="F38" s="150"/>
    </row>
    <row r="39" spans="1:6" s="148" customFormat="1" ht="14.25">
      <c r="A39" s="167">
        <v>8.5</v>
      </c>
      <c r="B39" s="18"/>
      <c r="C39" s="152" t="s">
        <v>42</v>
      </c>
      <c r="D39" s="161"/>
      <c r="E39" s="150"/>
      <c r="F39" s="150"/>
    </row>
    <row r="40" spans="1:6" s="148" customFormat="1" ht="14.25">
      <c r="A40" s="167">
        <v>8.6</v>
      </c>
      <c r="B40" s="18"/>
      <c r="C40" s="152" t="s">
        <v>39</v>
      </c>
      <c r="D40" s="161"/>
      <c r="E40" s="150"/>
      <c r="F40" s="150"/>
    </row>
    <row r="41" spans="1:6" s="148" customFormat="1" ht="14.25">
      <c r="A41" s="167">
        <v>8.7</v>
      </c>
      <c r="B41" s="18"/>
      <c r="C41" s="152" t="s">
        <v>98</v>
      </c>
      <c r="D41" s="161"/>
      <c r="E41" s="150"/>
      <c r="F41" s="150"/>
    </row>
    <row r="42" spans="1:6" s="148" customFormat="1" ht="14.25">
      <c r="A42" s="167">
        <v>8.8</v>
      </c>
      <c r="B42" s="18"/>
      <c r="C42" s="152" t="s">
        <v>40</v>
      </c>
      <c r="D42" s="161"/>
      <c r="E42" s="150"/>
      <c r="F42" s="150"/>
    </row>
    <row r="43" spans="1:6" s="148" customFormat="1" ht="14.25">
      <c r="A43" s="167">
        <v>8.9</v>
      </c>
      <c r="B43" s="18"/>
      <c r="C43" s="151" t="s">
        <v>110</v>
      </c>
      <c r="D43" s="161"/>
      <c r="E43" s="150"/>
      <c r="F43" s="150"/>
    </row>
    <row r="44" spans="1:6" s="148" customFormat="1" ht="14.25">
      <c r="A44" s="210">
        <v>8.1</v>
      </c>
      <c r="B44" s="18"/>
      <c r="C44" s="151" t="s">
        <v>111</v>
      </c>
      <c r="D44" s="161"/>
      <c r="E44" s="150"/>
      <c r="F44" s="150"/>
    </row>
    <row r="45" spans="1:6" s="148" customFormat="1" ht="14.25">
      <c r="A45" s="167">
        <v>9.1</v>
      </c>
      <c r="B45" s="154"/>
      <c r="C45" s="155" t="s">
        <v>125</v>
      </c>
      <c r="D45" s="162"/>
      <c r="E45" s="150"/>
      <c r="F45" s="150"/>
    </row>
    <row r="46" spans="1:6" s="148" customFormat="1" ht="14.25">
      <c r="A46" s="167">
        <v>9.2</v>
      </c>
      <c r="B46" s="154"/>
      <c r="C46" s="155" t="s">
        <v>126</v>
      </c>
      <c r="D46" s="162"/>
      <c r="E46" s="150"/>
      <c r="F46" s="150"/>
    </row>
    <row r="47" spans="1:6" s="148" customFormat="1" ht="14.25">
      <c r="A47" s="167">
        <v>9.3</v>
      </c>
      <c r="B47" s="154"/>
      <c r="C47" s="155" t="s">
        <v>127</v>
      </c>
      <c r="D47" s="162"/>
      <c r="E47" s="150"/>
      <c r="F47" s="150"/>
    </row>
    <row r="48" spans="1:6" s="148" customFormat="1" ht="14.25">
      <c r="A48" s="167">
        <v>9.4</v>
      </c>
      <c r="B48" s="154"/>
      <c r="C48" s="155" t="s">
        <v>128</v>
      </c>
      <c r="D48" s="162"/>
      <c r="E48" s="150"/>
      <c r="F48" s="150"/>
    </row>
    <row r="49" spans="1:4" s="150" customFormat="1" ht="15" thickBot="1">
      <c r="A49" s="168">
        <v>9.5</v>
      </c>
      <c r="B49" s="163"/>
      <c r="C49" s="164" t="s">
        <v>41</v>
      </c>
      <c r="D49" s="165"/>
    </row>
    <row r="50" spans="1:4" s="150" customFormat="1" ht="14.25">
      <c r="A50" s="169"/>
      <c r="B50" s="156"/>
      <c r="C50" s="155"/>
      <c r="D50" s="155"/>
    </row>
    <row r="51" spans="1:4" s="150" customFormat="1" ht="14.25">
      <c r="A51" s="169"/>
      <c r="B51" s="156"/>
      <c r="C51" s="155"/>
      <c r="D51" s="155"/>
    </row>
    <row r="52" spans="1:4" s="150" customFormat="1" ht="14.25">
      <c r="A52" s="169"/>
      <c r="B52" s="156"/>
      <c r="C52" s="155"/>
      <c r="D52" s="155"/>
    </row>
    <row r="53" spans="1:4" s="150" customFormat="1" ht="14.25">
      <c r="A53" s="169"/>
      <c r="B53" s="156"/>
      <c r="C53" s="155"/>
      <c r="D53" s="155"/>
    </row>
    <row r="54" spans="1:4" s="150" customFormat="1" ht="14.25">
      <c r="A54" s="169"/>
      <c r="B54" s="156"/>
      <c r="C54" s="155"/>
      <c r="D54" s="155"/>
    </row>
    <row r="55" spans="1:4" s="150" customFormat="1" ht="14.25">
      <c r="A55" s="169"/>
      <c r="B55" s="156"/>
      <c r="C55" s="155"/>
      <c r="D55" s="155"/>
    </row>
    <row r="56" spans="1:4" s="150" customFormat="1" ht="14.25">
      <c r="A56" s="169"/>
      <c r="B56" s="156"/>
      <c r="C56" s="155"/>
      <c r="D56" s="155"/>
    </row>
    <row r="57" spans="1:4" s="150" customFormat="1" ht="14.25">
      <c r="A57" s="169"/>
      <c r="B57" s="156"/>
      <c r="C57" s="155"/>
      <c r="D57" s="155"/>
    </row>
    <row r="58" spans="1:4" s="150" customFormat="1" ht="14.25">
      <c r="A58" s="169"/>
      <c r="B58" s="156"/>
      <c r="C58" s="155"/>
      <c r="D58" s="155"/>
    </row>
    <row r="59" spans="1:4" s="150" customFormat="1" ht="14.25">
      <c r="A59" s="169"/>
      <c r="B59" s="156"/>
      <c r="C59" s="155"/>
      <c r="D59" s="155"/>
    </row>
    <row r="60" spans="1:4" s="150" customFormat="1" ht="14.25">
      <c r="A60" s="169"/>
      <c r="B60" s="156"/>
      <c r="C60" s="155"/>
      <c r="D60" s="155"/>
    </row>
    <row r="61" spans="1:4" s="150" customFormat="1" ht="14.25">
      <c r="A61" s="169"/>
      <c r="B61" s="156"/>
      <c r="C61" s="155"/>
      <c r="D61" s="155"/>
    </row>
    <row r="62" spans="1:4" s="150" customFormat="1" ht="14.25">
      <c r="A62" s="169"/>
      <c r="B62" s="156"/>
      <c r="C62" s="155"/>
      <c r="D62" s="155"/>
    </row>
    <row r="63" spans="1:4" s="150" customFormat="1" ht="14.25">
      <c r="A63" s="169"/>
      <c r="B63" s="156"/>
      <c r="C63" s="155"/>
      <c r="D63" s="155"/>
    </row>
    <row r="64" spans="1:4" s="150" customFormat="1" ht="14.25">
      <c r="A64" s="169"/>
      <c r="B64" s="156"/>
      <c r="C64" s="155"/>
      <c r="D64" s="155"/>
    </row>
    <row r="65" spans="1:4" s="150" customFormat="1" ht="14.25">
      <c r="A65" s="169"/>
      <c r="B65" s="156"/>
      <c r="C65" s="155"/>
      <c r="D65" s="155"/>
    </row>
    <row r="66" spans="1:4" s="150" customFormat="1" ht="14.25">
      <c r="A66" s="169"/>
      <c r="B66" s="156"/>
      <c r="C66" s="155"/>
      <c r="D66" s="155"/>
    </row>
    <row r="67" spans="1:4" s="150" customFormat="1" ht="14.25">
      <c r="A67" s="169"/>
      <c r="B67" s="156"/>
      <c r="C67" s="155"/>
      <c r="D67" s="155"/>
    </row>
    <row r="68" spans="1:4" s="150" customFormat="1" ht="14.25">
      <c r="A68" s="169"/>
      <c r="B68" s="156"/>
      <c r="C68" s="155"/>
      <c r="D68" s="155"/>
    </row>
    <row r="69" spans="1:4" s="150" customFormat="1" ht="14.25">
      <c r="A69" s="169"/>
      <c r="B69" s="156"/>
      <c r="C69" s="155"/>
      <c r="D69" s="155"/>
    </row>
    <row r="70" spans="1:4" s="150" customFormat="1" ht="14.25">
      <c r="A70" s="169"/>
      <c r="B70" s="156"/>
      <c r="C70" s="155"/>
      <c r="D70" s="155"/>
    </row>
    <row r="71" spans="1:4" s="150" customFormat="1" ht="14.25">
      <c r="A71" s="169"/>
      <c r="B71" s="156"/>
      <c r="C71" s="155"/>
      <c r="D71" s="155"/>
    </row>
    <row r="72" spans="1:4" s="150" customFormat="1" ht="14.25">
      <c r="A72" s="169"/>
      <c r="B72" s="156"/>
      <c r="C72" s="155"/>
      <c r="D72" s="155"/>
    </row>
    <row r="73" spans="1:4" s="150" customFormat="1" ht="14.25">
      <c r="A73" s="169"/>
      <c r="B73" s="156"/>
      <c r="C73" s="155"/>
      <c r="D73" s="155"/>
    </row>
    <row r="74" spans="1:4" s="150" customFormat="1" ht="14.25">
      <c r="A74" s="169"/>
      <c r="B74" s="156"/>
      <c r="C74" s="155"/>
      <c r="D74" s="155"/>
    </row>
    <row r="75" spans="1:6" s="129" customFormat="1" ht="15" hidden="1" outlineLevel="1">
      <c r="A75" s="170"/>
      <c r="B75" s="128"/>
      <c r="E75" s="130"/>
      <c r="F75" s="130"/>
    </row>
    <row r="76" spans="1:6" s="85" customFormat="1" ht="8.25" customHeight="1" hidden="1" outlineLevel="1">
      <c r="A76" s="171"/>
      <c r="B76" s="84"/>
      <c r="E76" s="86"/>
      <c r="F76" s="86"/>
    </row>
    <row r="77" spans="1:6" s="85" customFormat="1" ht="15" customHeight="1" hidden="1" outlineLevel="1">
      <c r="A77" s="172"/>
      <c r="B77" s="143"/>
      <c r="E77" s="86"/>
      <c r="F77" s="86"/>
    </row>
    <row r="78" spans="1:6" s="85" customFormat="1" ht="15" customHeight="1" hidden="1" outlineLevel="1">
      <c r="A78" s="172"/>
      <c r="B78" s="143"/>
      <c r="E78" s="86"/>
      <c r="F78" s="86"/>
    </row>
    <row r="79" spans="1:6" s="85" customFormat="1" ht="15" customHeight="1" hidden="1" outlineLevel="1">
      <c r="A79" s="172"/>
      <c r="B79" s="143"/>
      <c r="E79" s="86"/>
      <c r="F79" s="86"/>
    </row>
    <row r="80" spans="1:6" s="85" customFormat="1" ht="15" customHeight="1" hidden="1" outlineLevel="1">
      <c r="A80" s="172"/>
      <c r="B80" s="143"/>
      <c r="E80" s="86"/>
      <c r="F80" s="86"/>
    </row>
    <row r="81" spans="1:6" s="85" customFormat="1" ht="15" customHeight="1" hidden="1" outlineLevel="1">
      <c r="A81" s="172"/>
      <c r="B81" s="143"/>
      <c r="E81" s="86"/>
      <c r="F81" s="86"/>
    </row>
    <row r="82" spans="1:6" s="85" customFormat="1" ht="15" customHeight="1" hidden="1" outlineLevel="1">
      <c r="A82" s="172"/>
      <c r="B82" s="143"/>
      <c r="E82" s="86"/>
      <c r="F82" s="86"/>
    </row>
    <row r="83" spans="1:6" s="85" customFormat="1" ht="15" customHeight="1" hidden="1" outlineLevel="1">
      <c r="A83" s="172"/>
      <c r="B83" s="143"/>
      <c r="E83" s="86"/>
      <c r="F83" s="86"/>
    </row>
    <row r="84" spans="1:6" s="85" customFormat="1" ht="15" customHeight="1" hidden="1" outlineLevel="1">
      <c r="A84" s="172"/>
      <c r="B84" s="143"/>
      <c r="E84" s="86"/>
      <c r="F84" s="86"/>
    </row>
    <row r="85" spans="1:6" s="85" customFormat="1" ht="15" customHeight="1" hidden="1" outlineLevel="1">
      <c r="A85" s="172"/>
      <c r="B85" s="143"/>
      <c r="E85" s="86"/>
      <c r="F85" s="86"/>
    </row>
    <row r="86" spans="1:6" s="85" customFormat="1" ht="15" customHeight="1" hidden="1" outlineLevel="1">
      <c r="A86" s="172"/>
      <c r="B86" s="143"/>
      <c r="E86" s="86"/>
      <c r="F86" s="86"/>
    </row>
    <row r="87" spans="1:6" s="85" customFormat="1" ht="15" customHeight="1" hidden="1" outlineLevel="1">
      <c r="A87" s="172"/>
      <c r="B87" s="143"/>
      <c r="E87" s="86"/>
      <c r="F87" s="86"/>
    </row>
    <row r="88" spans="1:6" s="85" customFormat="1" ht="15" customHeight="1" hidden="1" outlineLevel="1">
      <c r="A88" s="172"/>
      <c r="B88" s="143"/>
      <c r="E88" s="86"/>
      <c r="F88" s="86"/>
    </row>
    <row r="89" spans="1:6" s="85" customFormat="1" ht="15" customHeight="1" hidden="1" outlineLevel="1">
      <c r="A89" s="172"/>
      <c r="B89" s="143"/>
      <c r="E89" s="86"/>
      <c r="F89" s="86"/>
    </row>
    <row r="90" spans="1:6" s="85" customFormat="1" ht="15" customHeight="1" hidden="1" outlineLevel="1">
      <c r="A90" s="172"/>
      <c r="B90" s="143"/>
      <c r="E90" s="86"/>
      <c r="F90" s="86"/>
    </row>
    <row r="91" spans="1:6" s="85" customFormat="1" ht="15" customHeight="1" hidden="1" outlineLevel="1">
      <c r="A91" s="172"/>
      <c r="B91" s="143"/>
      <c r="E91" s="86"/>
      <c r="F91" s="86"/>
    </row>
    <row r="92" spans="1:6" s="85" customFormat="1" ht="15" customHeight="1" hidden="1" outlineLevel="1">
      <c r="A92" s="172"/>
      <c r="B92" s="143"/>
      <c r="E92" s="86"/>
      <c r="F92" s="86"/>
    </row>
    <row r="93" spans="1:6" s="85" customFormat="1" ht="15" customHeight="1" hidden="1" outlineLevel="1">
      <c r="A93" s="172"/>
      <c r="B93" s="143"/>
      <c r="E93" s="86"/>
      <c r="F93" s="86"/>
    </row>
    <row r="94" spans="1:6" s="85" customFormat="1" ht="15" customHeight="1" hidden="1" outlineLevel="1">
      <c r="A94" s="172"/>
      <c r="B94" s="143"/>
      <c r="E94" s="86"/>
      <c r="F94" s="86"/>
    </row>
    <row r="95" spans="1:6" s="85" customFormat="1" ht="15" customHeight="1" hidden="1" outlineLevel="1">
      <c r="A95" s="172"/>
      <c r="B95" s="143"/>
      <c r="E95" s="86"/>
      <c r="F95" s="86"/>
    </row>
    <row r="96" spans="1:6" s="85" customFormat="1" ht="15" customHeight="1" hidden="1" outlineLevel="1">
      <c r="A96" s="172"/>
      <c r="B96" s="143"/>
      <c r="E96" s="86"/>
      <c r="F96" s="86"/>
    </row>
    <row r="97" spans="1:6" s="85" customFormat="1" ht="15" customHeight="1" hidden="1" outlineLevel="1">
      <c r="A97" s="172"/>
      <c r="B97" s="143"/>
      <c r="E97" s="86"/>
      <c r="F97" s="86"/>
    </row>
    <row r="98" ht="15" collapsed="1"/>
  </sheetData>
  <sheetProtection password="DE65" sheet="1" objects="1" scenarios="1"/>
  <mergeCells count="1">
    <mergeCell ref="A1:D1"/>
  </mergeCells>
  <printOptions horizontalCentered="1"/>
  <pageMargins left="0.4" right="0.4" top="0.74" bottom="0.35" header="0.21" footer="0.2"/>
  <pageSetup horizontalDpi="600" verticalDpi="600" orientation="landscape" scale="79" r:id="rId2"/>
  <headerFooter>
    <oddHeader>&amp;L&amp;6                &amp;G&amp;C&amp;"-,Bold"&amp;18OSC ERP
MONTHLY METRICS</oddHeader>
    <oddFooter>&amp;L&amp;8&amp;F (&amp;A)&amp;C&amp;8&amp;P of &amp;N&amp;R&amp;8&amp;D,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State Controller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Barnette</dc:creator>
  <cp:keywords/>
  <dc:description/>
  <cp:lastModifiedBy>NC ITS</cp:lastModifiedBy>
  <cp:lastPrinted>2009-10-08T10:05:12Z</cp:lastPrinted>
  <dcterms:created xsi:type="dcterms:W3CDTF">2009-03-26T16:04:32Z</dcterms:created>
  <dcterms:modified xsi:type="dcterms:W3CDTF">2012-02-16T15:42:27Z</dcterms:modified>
  <cp:category/>
  <cp:version/>
  <cp:contentType/>
  <cp:contentStatus/>
</cp:coreProperties>
</file>