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GWNetPos" sheetId="1" r:id="rId1"/>
    <sheet name="GWStmtAct" sheetId="2" r:id="rId2"/>
    <sheet name="GASB34GovtFundsBS" sheetId="3" r:id="rId3"/>
    <sheet name="GASB34GovtFundsIS" sheetId="4" r:id="rId4"/>
    <sheet name="Recon Change Net Pos" sheetId="5" r:id="rId5"/>
    <sheet name="GASB34GovtFundsBudget" sheetId="6" r:id="rId6"/>
    <sheet name="Net Pos-Prop" sheetId="7" r:id="rId7"/>
    <sheet name="Rev, exp-Prop" sheetId="8" r:id="rId8"/>
    <sheet name="Cash Flow-Prop" sheetId="9" r:id="rId9"/>
    <sheet name="Fid Fund BS" sheetId="10" r:id="rId10"/>
    <sheet name="Fid Fund IS" sheetId="11" r:id="rId11"/>
    <sheet name="RSI TSERS NPL" sheetId="12" r:id="rId12"/>
    <sheet name="RSI TSERS Contr" sheetId="13" r:id="rId13"/>
    <sheet name="RSI RHBF" sheetId="14" r:id="rId14"/>
    <sheet name="RSI RHBF Contr" sheetId="15" r:id="rId15"/>
    <sheet name="RSI DIPNC" sheetId="16" r:id="rId16"/>
    <sheet name="RSI DIPNC Contr" sheetId="17" r:id="rId17"/>
    <sheet name="GenFund Bud-Act" sheetId="18" r:id="rId18"/>
    <sheet name="BS-NonMajorGovt" sheetId="19" r:id="rId19"/>
    <sheet name="FGF-BA" sheetId="20" r:id="rId20"/>
    <sheet name="COF-BA " sheetId="21" r:id="rId21"/>
    <sheet name="SFSF-BA" sheetId="22" r:id="rId22"/>
    <sheet name="CCF-BA" sheetId="23" r:id="rId23"/>
    <sheet name="Major Fund Det" sheetId="24" r:id="rId24"/>
    <sheet name="Sheet2" sheetId="25" r:id="rId25"/>
    <sheet name="Sheet1" sheetId="26" r:id="rId26"/>
  </sheets>
  <externalReferences>
    <externalReference r:id="rId29"/>
    <externalReference r:id="rId30"/>
    <externalReference r:id="rId31"/>
    <externalReference r:id="rId32"/>
    <externalReference r:id="rId33"/>
  </externalReferences>
  <definedNames>
    <definedName name="_Fill" hidden="1">#REF!</definedName>
    <definedName name="page32" localSheetId="17">'GenFund Bud-Act'!$A$11:$K$36</definedName>
    <definedName name="page32">'[1]Exh A-1'!$A$12:$M$43</definedName>
    <definedName name="page33" localSheetId="17">'GenFund Bud-Act'!$A$38:$K$74</definedName>
    <definedName name="page33">'[1]Exh A-1'!$A$45:$M$74</definedName>
    <definedName name="page34" localSheetId="17">'GenFund Bud-Act'!$A$78:$K$134</definedName>
    <definedName name="page34">'[1]Exh A-1'!$A$75:$M$106</definedName>
    <definedName name="page7" localSheetId="20">'[2]Exhibit 1 part 1'!#REF!</definedName>
    <definedName name="page7" localSheetId="17">'[1]Exhibit 1 part 1'!#REF!</definedName>
    <definedName name="page7" localSheetId="23">'[1]Exhibit 1 part 1'!#REF!</definedName>
    <definedName name="page7">'[1]Exhibit 1 part 1'!#REF!</definedName>
    <definedName name="pg35d45" localSheetId="20">'[2]Exh B-1'!#REF!</definedName>
    <definedName name="pg35d45" localSheetId="17">'[1]Exh B-1'!#REF!</definedName>
    <definedName name="pg35d45" localSheetId="23">'[1]Exh B-1'!#REF!</definedName>
    <definedName name="pg35d45">'[1]Exh B-1'!#REF!</definedName>
    <definedName name="pg35D48" localSheetId="20">'[2]Exh D-3 part 1'!#REF!</definedName>
    <definedName name="pg35D48" localSheetId="17">'[1]Exh D-3 part 1'!#REF!</definedName>
    <definedName name="pg35D48" localSheetId="23">'[1]Exh D-3 part 1'!#REF!</definedName>
    <definedName name="pg35D48">'[1]Exh D-3 part 1'!#REF!</definedName>
    <definedName name="_xlnm.Print_Area" localSheetId="18">'BS-NonMajorGovt'!$A$1:$F$15</definedName>
    <definedName name="_xlnm.Print_Area" localSheetId="8">'Cash Flow-Prop'!$A$1:$E$82</definedName>
    <definedName name="_xlnm.Print_Area" localSheetId="22">'CCF-BA'!$A$1:$J$49</definedName>
    <definedName name="_xlnm.Print_Area" localSheetId="20">'COF-BA '!$A$1:$M$95</definedName>
    <definedName name="_xlnm.Print_Area" localSheetId="19">'FGF-BA'!$A$1:$J$34</definedName>
    <definedName name="_xlnm.Print_Area" localSheetId="9">'Fid Fund BS'!$A$1:$I$21</definedName>
    <definedName name="_xlnm.Print_Area" localSheetId="10">'Fid Fund IS'!$A$1:$I$20</definedName>
    <definedName name="_xlnm.Print_Area" localSheetId="2">'GASB34GovtFundsBS'!$A$1:$H$54</definedName>
    <definedName name="_xlnm.Print_Area" localSheetId="5">'GASB34GovtFundsBudget'!$A$1:$N$68</definedName>
    <definedName name="_xlnm.Print_Area" localSheetId="3">'GASB34GovtFundsIS'!$A$1:$I$62</definedName>
    <definedName name="_xlnm.Print_Area" localSheetId="17">'GenFund Bud-Act'!$A$2:$J$135</definedName>
    <definedName name="_xlnm.Print_Area" localSheetId="0">'GWNetPos'!$A$1:$E$60</definedName>
    <definedName name="_xlnm.Print_Area" localSheetId="1">'GWStmtAct'!$A$1:$J$61</definedName>
    <definedName name="_xlnm.Print_Area" localSheetId="23">'Major Fund Det'!$A$1:$O$36</definedName>
    <definedName name="_xlnm.Print_Area" localSheetId="6">'Net Pos-Prop'!$A$1:$D$56</definedName>
    <definedName name="_xlnm.Print_Area" localSheetId="4">'Recon Change Net Pos'!$A$1:$G$34</definedName>
    <definedName name="_xlnm.Print_Area" localSheetId="7">'Rev, exp-Prop'!$A$1:$E$42</definedName>
    <definedName name="_xlnm.Print_Area" localSheetId="11">'RSI TSERS NPL'!$A$1:$H$28</definedName>
    <definedName name="_xlnm.Print_Area" localSheetId="21">'SFSF-BA'!$A$1:$I$65</definedName>
    <definedName name="_xlnm.Print_Titles" localSheetId="20">'COF-BA '!$1:$9</definedName>
    <definedName name="_xlnm.Print_Titles" localSheetId="17">'GenFund Bud-Act'!$2:$6</definedName>
    <definedName name="Z_403B3AAD_DF34_4AEF_82B0_70017D12E430_.wvu.Cols" localSheetId="17" hidden="1">'GenFund Bud-Act'!$K:$K</definedName>
    <definedName name="Z_403B3AAD_DF34_4AEF_82B0_70017D12E430_.wvu.PrintArea" localSheetId="18" hidden="1">'BS-NonMajorGovt'!$A$1:$F$15</definedName>
    <definedName name="Z_403B3AAD_DF34_4AEF_82B0_70017D12E430_.wvu.PrintArea" localSheetId="8" hidden="1">'Cash Flow-Prop'!$A$1:$E$82</definedName>
    <definedName name="Z_403B3AAD_DF34_4AEF_82B0_70017D12E430_.wvu.PrintArea" localSheetId="22" hidden="1">'CCF-BA'!$A$1:$J$49</definedName>
    <definedName name="Z_403B3AAD_DF34_4AEF_82B0_70017D12E430_.wvu.PrintArea" localSheetId="20" hidden="1">'COF-BA '!$A$1:$M$95</definedName>
    <definedName name="Z_403B3AAD_DF34_4AEF_82B0_70017D12E430_.wvu.PrintArea" localSheetId="19" hidden="1">'FGF-BA'!$A$1:$J$34</definedName>
    <definedName name="Z_403B3AAD_DF34_4AEF_82B0_70017D12E430_.wvu.PrintArea" localSheetId="9" hidden="1">'Fid Fund BS'!$A$1:$I$21</definedName>
    <definedName name="Z_403B3AAD_DF34_4AEF_82B0_70017D12E430_.wvu.PrintArea" localSheetId="10" hidden="1">'Fid Fund IS'!$A$1:$I$20</definedName>
    <definedName name="Z_403B3AAD_DF34_4AEF_82B0_70017D12E430_.wvu.PrintArea" localSheetId="2" hidden="1">'GASB34GovtFundsBS'!$A$1:$H$54</definedName>
    <definedName name="Z_403B3AAD_DF34_4AEF_82B0_70017D12E430_.wvu.PrintArea" localSheetId="5" hidden="1">'GASB34GovtFundsBudget'!$A$1:$N$68</definedName>
    <definedName name="Z_403B3AAD_DF34_4AEF_82B0_70017D12E430_.wvu.PrintArea" localSheetId="3" hidden="1">'GASB34GovtFundsIS'!$A$1:$I$62</definedName>
    <definedName name="Z_403B3AAD_DF34_4AEF_82B0_70017D12E430_.wvu.PrintArea" localSheetId="17" hidden="1">'GenFund Bud-Act'!$A$2:$J$135</definedName>
    <definedName name="Z_403B3AAD_DF34_4AEF_82B0_70017D12E430_.wvu.PrintArea" localSheetId="0" hidden="1">'GWNetPos'!$A$1:$E$60</definedName>
    <definedName name="Z_403B3AAD_DF34_4AEF_82B0_70017D12E430_.wvu.PrintArea" localSheetId="1" hidden="1">'GWStmtAct'!$A$1:$J$61</definedName>
    <definedName name="Z_403B3AAD_DF34_4AEF_82B0_70017D12E430_.wvu.PrintArea" localSheetId="23" hidden="1">'Major Fund Det'!$A$1:$O$36</definedName>
    <definedName name="Z_403B3AAD_DF34_4AEF_82B0_70017D12E430_.wvu.PrintArea" localSheetId="6" hidden="1">'Net Pos-Prop'!$A$1:$D$56</definedName>
    <definedName name="Z_403B3AAD_DF34_4AEF_82B0_70017D12E430_.wvu.PrintArea" localSheetId="4" hidden="1">'Recon Change Net Pos'!$A$1:$G$34</definedName>
    <definedName name="Z_403B3AAD_DF34_4AEF_82B0_70017D12E430_.wvu.PrintArea" localSheetId="7" hidden="1">'Rev, exp-Prop'!$A$1:$E$42</definedName>
    <definedName name="Z_403B3AAD_DF34_4AEF_82B0_70017D12E430_.wvu.PrintArea" localSheetId="11" hidden="1">'RSI TSERS NPL'!$A$1:$H$28</definedName>
    <definedName name="Z_403B3AAD_DF34_4AEF_82B0_70017D12E430_.wvu.PrintArea" localSheetId="21" hidden="1">'SFSF-BA'!$A$1:$I$65</definedName>
    <definedName name="Z_403B3AAD_DF34_4AEF_82B0_70017D12E430_.wvu.PrintTitles" localSheetId="20" hidden="1">'COF-BA '!$1:$9</definedName>
    <definedName name="Z_403B3AAD_DF34_4AEF_82B0_70017D12E430_.wvu.PrintTitles" localSheetId="17" hidden="1">'GenFund Bud-Act'!$2:$6</definedName>
    <definedName name="Z_403B3AAD_DF34_4AEF_82B0_70017D12E430_.wvu.Rows" localSheetId="8" hidden="1">'Cash Flow-Prop'!$44:$45,'Cash Flow-Prop'!$47:$47</definedName>
    <definedName name="Z_403B3AAD_DF34_4AEF_82B0_70017D12E430_.wvu.Rows" localSheetId="22" hidden="1">'CCF-BA'!$42:$43,'CCF-BA'!$45:$45</definedName>
    <definedName name="Z_403B3AAD_DF34_4AEF_82B0_70017D12E430_.wvu.Rows" localSheetId="0" hidden="1">'GWNetPos'!$23:$25,'GWNetPos'!$34:$35,'GWNetPos'!$40:$42</definedName>
    <definedName name="Z_403B3AAD_DF34_4AEF_82B0_70017D12E430_.wvu.Rows" localSheetId="6" hidden="1">'Net Pos-Prop'!$26:$28,'Net Pos-Prop'!$44:$46</definedName>
    <definedName name="Z_403B3AAD_DF34_4AEF_82B0_70017D12E430_.wvu.Rows" localSheetId="21" hidden="1">'SFSF-BA'!$56:$57,'SFSF-BA'!$59:$59</definedName>
    <definedName name="Z_5D1D886B_74AD_4A76_B61E_A085922CEA99_.wvu.Cols" localSheetId="17" hidden="1">'GenFund Bud-Act'!$K:$K</definedName>
    <definedName name="Z_5D1D886B_74AD_4A76_B61E_A085922CEA99_.wvu.PrintArea" localSheetId="18" hidden="1">'BS-NonMajorGovt'!$A$1:$F$15</definedName>
    <definedName name="Z_5D1D886B_74AD_4A76_B61E_A085922CEA99_.wvu.PrintArea" localSheetId="8" hidden="1">'Cash Flow-Prop'!$A$1:$E$82</definedName>
    <definedName name="Z_5D1D886B_74AD_4A76_B61E_A085922CEA99_.wvu.PrintArea" localSheetId="22" hidden="1">'CCF-BA'!$A$1:$J$49</definedName>
    <definedName name="Z_5D1D886B_74AD_4A76_B61E_A085922CEA99_.wvu.PrintArea" localSheetId="20" hidden="1">'COF-BA '!$A$1:$M$95</definedName>
    <definedName name="Z_5D1D886B_74AD_4A76_B61E_A085922CEA99_.wvu.PrintArea" localSheetId="19" hidden="1">'FGF-BA'!$A$1:$J$34</definedName>
    <definedName name="Z_5D1D886B_74AD_4A76_B61E_A085922CEA99_.wvu.PrintArea" localSheetId="9" hidden="1">'Fid Fund BS'!$A$1:$I$21</definedName>
    <definedName name="Z_5D1D886B_74AD_4A76_B61E_A085922CEA99_.wvu.PrintArea" localSheetId="10" hidden="1">'Fid Fund IS'!$A$1:$I$20</definedName>
    <definedName name="Z_5D1D886B_74AD_4A76_B61E_A085922CEA99_.wvu.PrintArea" localSheetId="2" hidden="1">'GASB34GovtFundsBS'!$A$1:$H$54</definedName>
    <definedName name="Z_5D1D886B_74AD_4A76_B61E_A085922CEA99_.wvu.PrintArea" localSheetId="5" hidden="1">'GASB34GovtFundsBudget'!$A$1:$N$68</definedName>
    <definedName name="Z_5D1D886B_74AD_4A76_B61E_A085922CEA99_.wvu.PrintArea" localSheetId="3" hidden="1">'GASB34GovtFundsIS'!$A$1:$I$62</definedName>
    <definedName name="Z_5D1D886B_74AD_4A76_B61E_A085922CEA99_.wvu.PrintArea" localSheetId="17" hidden="1">'GenFund Bud-Act'!$A$2:$J$135</definedName>
    <definedName name="Z_5D1D886B_74AD_4A76_B61E_A085922CEA99_.wvu.PrintArea" localSheetId="0" hidden="1">'GWNetPos'!$A$1:$E$60</definedName>
    <definedName name="Z_5D1D886B_74AD_4A76_B61E_A085922CEA99_.wvu.PrintArea" localSheetId="1" hidden="1">'GWStmtAct'!$A$1:$J$61</definedName>
    <definedName name="Z_5D1D886B_74AD_4A76_B61E_A085922CEA99_.wvu.PrintArea" localSheetId="23" hidden="1">'Major Fund Det'!$A$1:$O$36</definedName>
    <definedName name="Z_5D1D886B_74AD_4A76_B61E_A085922CEA99_.wvu.PrintArea" localSheetId="6" hidden="1">'Net Pos-Prop'!$A$1:$D$56</definedName>
    <definedName name="Z_5D1D886B_74AD_4A76_B61E_A085922CEA99_.wvu.PrintArea" localSheetId="4" hidden="1">'Recon Change Net Pos'!$A$1:$G$34</definedName>
    <definedName name="Z_5D1D886B_74AD_4A76_B61E_A085922CEA99_.wvu.PrintArea" localSheetId="7" hidden="1">'Rev, exp-Prop'!$A$1:$E$42</definedName>
    <definedName name="Z_5D1D886B_74AD_4A76_B61E_A085922CEA99_.wvu.PrintArea" localSheetId="11" hidden="1">'RSI TSERS NPL'!$A$1:$H$28</definedName>
    <definedName name="Z_5D1D886B_74AD_4A76_B61E_A085922CEA99_.wvu.PrintArea" localSheetId="21" hidden="1">'SFSF-BA'!$A$1:$I$65</definedName>
    <definedName name="Z_5D1D886B_74AD_4A76_B61E_A085922CEA99_.wvu.PrintTitles" localSheetId="20" hidden="1">'COF-BA '!$1:$9</definedName>
    <definedName name="Z_5D1D886B_74AD_4A76_B61E_A085922CEA99_.wvu.PrintTitles" localSheetId="17" hidden="1">'GenFund Bud-Act'!$2:$6</definedName>
    <definedName name="Z_5D1D886B_74AD_4A76_B61E_A085922CEA99_.wvu.Rows" localSheetId="8" hidden="1">'Cash Flow-Prop'!$44:$45,'Cash Flow-Prop'!$47:$47</definedName>
    <definedName name="Z_5D1D886B_74AD_4A76_B61E_A085922CEA99_.wvu.Rows" localSheetId="22" hidden="1">'CCF-BA'!$42:$43,'CCF-BA'!$45:$45</definedName>
    <definedName name="Z_5D1D886B_74AD_4A76_B61E_A085922CEA99_.wvu.Rows" localSheetId="0" hidden="1">'GWNetPos'!$23:$25,'GWNetPos'!$40:$42</definedName>
    <definedName name="Z_5D1D886B_74AD_4A76_B61E_A085922CEA99_.wvu.Rows" localSheetId="6" hidden="1">'Net Pos-Prop'!$26:$28,'Net Pos-Prop'!$44:$46</definedName>
    <definedName name="Z_5D1D886B_74AD_4A76_B61E_A085922CEA99_.wvu.Rows" localSheetId="21" hidden="1">'SFSF-BA'!$56:$57,'SFSF-BA'!$59:$59</definedName>
  </definedNames>
  <calcPr fullCalcOnLoad="1"/>
</workbook>
</file>

<file path=xl/comments1.xml><?xml version="1.0" encoding="utf-8"?>
<comments xmlns="http://schemas.openxmlformats.org/spreadsheetml/2006/main">
  <authors>
    <author>Kelley May</author>
  </authors>
  <commentList>
    <comment ref="B40" authorId="0">
      <text>
        <r>
          <rPr>
            <b/>
            <sz val="9"/>
            <rFont val="Tahoma"/>
            <family val="0"/>
          </rPr>
          <t>Kelley May:</t>
        </r>
        <r>
          <rPr>
            <sz val="9"/>
            <rFont val="Tahoma"/>
            <family val="0"/>
          </rPr>
          <t xml:space="preserve">
adjusted difference from prior year
</t>
        </r>
      </text>
    </comment>
  </commentList>
</comments>
</file>

<file path=xl/comments5.xml><?xml version="1.0" encoding="utf-8"?>
<comments xmlns="http://schemas.openxmlformats.org/spreadsheetml/2006/main">
  <authors>
    <author>lgc0206</author>
  </authors>
  <commentList>
    <comment ref="F14" authorId="0">
      <text>
        <r>
          <rPr>
            <b/>
            <sz val="9"/>
            <rFont val="Tahoma"/>
            <family val="0"/>
          </rPr>
          <t>lgc0206:</t>
        </r>
        <r>
          <rPr>
            <sz val="9"/>
            <rFont val="Tahoma"/>
            <family val="0"/>
          </rPr>
          <t xml:space="preserve">
Includes impairment loss. See reconciliation included in the notes.</t>
        </r>
      </text>
    </comment>
  </commentList>
</comments>
</file>

<file path=xl/sharedStrings.xml><?xml version="1.0" encoding="utf-8"?>
<sst xmlns="http://schemas.openxmlformats.org/spreadsheetml/2006/main" count="886" uniqueCount="562">
  <si>
    <t>Carolina County Board of Education, North Carolina</t>
  </si>
  <si>
    <t>Schedule of Required Supplementary Information</t>
  </si>
  <si>
    <t>SCHEDULE OF THE BOARD'S PROPORTIONATE SHARE OF NET OPEB LIABILITY</t>
  </si>
  <si>
    <t>Retiree Health Benefit Fund</t>
  </si>
  <si>
    <t xml:space="preserve">Last Fiscal Year * </t>
  </si>
  <si>
    <t xml:space="preserve">Board's proportion of the net OPEB liability (asset) </t>
  </si>
  <si>
    <t>Board's proportionate share of the net OPEB liability (asset)</t>
  </si>
  <si>
    <t>Board's covered payroll</t>
  </si>
  <si>
    <t>Board's proportionate share of the net OPEB liability (asset) as a percentage of its covered payroll</t>
  </si>
  <si>
    <t>Plan Fiduciary net position as a percentage of the total OPEB liability</t>
  </si>
  <si>
    <t>*  The amounts presented for each fiscal year were determined as of the prior fiscal year ending June 30.</t>
  </si>
  <si>
    <t>Note to preparer:  Information is not required to be presented retroactively.  This schedule will NOT present 10 years' worth of information until fiscal year 2028.</t>
  </si>
  <si>
    <t>Exhibit 9</t>
  </si>
  <si>
    <t>Statement of Cash Flows</t>
  </si>
  <si>
    <t>Proprietary Funds</t>
  </si>
  <si>
    <t>Enterprise Funds</t>
  </si>
  <si>
    <t>Major Fund</t>
  </si>
  <si>
    <t>Non-major Fund</t>
  </si>
  <si>
    <t>School Food Service</t>
  </si>
  <si>
    <t>Child Care</t>
  </si>
  <si>
    <t>Total</t>
  </si>
  <si>
    <t>CASH FLOWS FROM OPERATING ACTIVITIES</t>
  </si>
  <si>
    <t>Cash received from customers</t>
  </si>
  <si>
    <t>Cash paid for goods and services</t>
  </si>
  <si>
    <t>Cash paid to employees for services</t>
  </si>
  <si>
    <t>Other operating revenues</t>
  </si>
  <si>
    <t>Net cash provided (used) by operating activities</t>
  </si>
  <si>
    <t>CASH FLOWS FROM NONCAPITAL FINANCING ACTIVITIES</t>
  </si>
  <si>
    <t>Federal reimbursements</t>
  </si>
  <si>
    <t>CASH FLOWS FROM CAPITAL AND RELATED FINANCING ACTIVITIES</t>
  </si>
  <si>
    <t>Acquisition of capital assets</t>
  </si>
  <si>
    <t>CASH FLOWS FROM INVESTING ACTIVITIES</t>
  </si>
  <si>
    <t>Interest on investments</t>
  </si>
  <si>
    <t>Net increase (decrease) in cash and cash equivalents</t>
  </si>
  <si>
    <t>Balances, beginning</t>
  </si>
  <si>
    <t>Balances, ending</t>
  </si>
  <si>
    <t>Reconciliation of operating income to net cash provided by operating activities</t>
  </si>
  <si>
    <t>Operating income</t>
  </si>
  <si>
    <t>Adjustments to reconcile operating income to net cash provided by operating activities:</t>
  </si>
  <si>
    <t>Depreciation</t>
  </si>
  <si>
    <t>Donated commodities consumed</t>
  </si>
  <si>
    <t>Salaries paid by special revenue fund</t>
  </si>
  <si>
    <t>Indirect costs not paid</t>
  </si>
  <si>
    <t>Changes in assets, deferred outflows of resources, and liabilities:</t>
  </si>
  <si>
    <t>(Increase) in due from other governments</t>
  </si>
  <si>
    <t>Decrease in accounts receivable</t>
  </si>
  <si>
    <t>Decrease in net OPEB asset</t>
  </si>
  <si>
    <t>(Increase) in inventory</t>
  </si>
  <si>
    <t xml:space="preserve">Increase in net pension liability </t>
  </si>
  <si>
    <t>Increase in net OPEB Liability</t>
  </si>
  <si>
    <t>(Decrease) in deferred outflows</t>
  </si>
  <si>
    <t>(Decrease) in deferred outflows RHBF</t>
  </si>
  <si>
    <t>(Decrease) in deferred outflows DIPNC</t>
  </si>
  <si>
    <t>Increase in deferred inflows</t>
  </si>
  <si>
    <t>Increase in deferred inflows RHBF</t>
  </si>
  <si>
    <t>Increase (decrease) in accounts payable and accrued liabilities</t>
  </si>
  <si>
    <t>Increase (decrease) in long-term liabilities</t>
  </si>
  <si>
    <t>Total adjustments</t>
  </si>
  <si>
    <t>Net cash provided by operating activities</t>
  </si>
  <si>
    <t>(continued)</t>
  </si>
  <si>
    <t>Noncash investing, capital, and financing activities:</t>
  </si>
  <si>
    <t>The State Public School Fund paid salaries and benefits of $14,000 to administrative personnel of the School Food Service Fund during the fiscal year.  The payment is reflected by a transfer in and an operating expense on Exhibit 8.</t>
  </si>
  <si>
    <t>Indirect costs of $4,000 that would be due to the General Fund were not paid.  These unpaid costs are reflected as a nonoperating revenue and an operating expense on Exhibit 8.</t>
  </si>
  <si>
    <t>The School Food Service Fund received donated commodities with a  value of $20,641 during the fiscal year.  The receipt of the commodities is recognized as a nonoperating revenue.  The Fund recorded the consumption of $19,641 worth of donated commodities during the fiscal year as an operating expense.  These transactions are reported on Exhibit 8.</t>
  </si>
  <si>
    <t>Exhibit 1</t>
  </si>
  <si>
    <t>Statement of Net Position</t>
  </si>
  <si>
    <t>Primary Government</t>
  </si>
  <si>
    <t>Governmental Activities</t>
  </si>
  <si>
    <t>Business-type Activities</t>
  </si>
  <si>
    <t>ASSETS</t>
  </si>
  <si>
    <t>Cash and cash equivalents</t>
  </si>
  <si>
    <t>Due from other governments</t>
  </si>
  <si>
    <t>Receivables (net)</t>
  </si>
  <si>
    <t>Net OPEB asset</t>
  </si>
  <si>
    <t>Internal balances</t>
  </si>
  <si>
    <t>Inventories</t>
  </si>
  <si>
    <t>Assets held for resale</t>
  </si>
  <si>
    <t>Capital assets (Note 1):</t>
  </si>
  <si>
    <t>Land, improvements, and construction in progress</t>
  </si>
  <si>
    <t>Other capital assets, net of depreciation</t>
  </si>
  <si>
    <t>Total capital assets</t>
  </si>
  <si>
    <t>Total assets</t>
  </si>
  <si>
    <t>DEFERRED OUTFLOWS OF RESOURCES</t>
  </si>
  <si>
    <t>LIABILITIES</t>
  </si>
  <si>
    <t>Accounts payable and accrued expenses</t>
  </si>
  <si>
    <t>Accrued salaries and wages payable</t>
  </si>
  <si>
    <t>Accrued interest payable</t>
  </si>
  <si>
    <t>Long-term liabilities:</t>
  </si>
  <si>
    <t>Due within one year</t>
  </si>
  <si>
    <t>Net pension liability</t>
  </si>
  <si>
    <t>Net OPEB liability</t>
  </si>
  <si>
    <t>Due in more than one year</t>
  </si>
  <si>
    <t>Total liabilities</t>
  </si>
  <si>
    <t>PENSION DEFERRED INFLOWS OF RESOURCES</t>
  </si>
  <si>
    <t>DEFERRED INFLOWS OF RESOURCES</t>
  </si>
  <si>
    <t>NET POSITION</t>
  </si>
  <si>
    <t>Net investment in capital assets</t>
  </si>
  <si>
    <t>Restricted:</t>
  </si>
  <si>
    <t xml:space="preserve">     Individual Schools</t>
  </si>
  <si>
    <t xml:space="preserve">    Stabilization by State Statute</t>
  </si>
  <si>
    <t xml:space="preserve">    School Capital Outlay</t>
  </si>
  <si>
    <t>DIPNC OPEB plan</t>
  </si>
  <si>
    <t xml:space="preserve">Unrestricted </t>
  </si>
  <si>
    <t>Total net position</t>
  </si>
  <si>
    <t xml:space="preserve">Notes to preparer:  Units that choose to aggregate deferred outflows and deferred inflows on the face of the statements should itemize components in the notes.  For an itemized presentation, please see City of Dogwood. 
The net pension and OPEB liabilities for the TSERS and RHBF plans have been included in long-term liabilities  - due in more than one year.  </t>
  </si>
  <si>
    <t>The notes to the financial statements are an integral part of this statement.</t>
  </si>
  <si>
    <t>Exhibit 2</t>
  </si>
  <si>
    <t>Statement of Activities</t>
  </si>
  <si>
    <t>Program Revenues</t>
  </si>
  <si>
    <t>Net (Expense) Revenue and Changes in Net Position</t>
  </si>
  <si>
    <t>Functions/Programs</t>
  </si>
  <si>
    <t>Expenses</t>
  </si>
  <si>
    <t>Charges for Services</t>
  </si>
  <si>
    <t>Operating Grants and Contributions</t>
  </si>
  <si>
    <t>Capital Grants and Contributions</t>
  </si>
  <si>
    <t>Primary government:</t>
  </si>
  <si>
    <t>Governmental Activities:</t>
  </si>
  <si>
    <t>Instructional services:</t>
  </si>
  <si>
    <t>Regular instructional</t>
  </si>
  <si>
    <t>Special populations</t>
  </si>
  <si>
    <t>Alternative programs</t>
  </si>
  <si>
    <t>School leadership</t>
  </si>
  <si>
    <t>Co-curricular</t>
  </si>
  <si>
    <t>School-based support</t>
  </si>
  <si>
    <t>System-wide support services:</t>
  </si>
  <si>
    <t>Support and development</t>
  </si>
  <si>
    <t>Special population support and development</t>
  </si>
  <si>
    <t>Alternative programs and services support and development</t>
  </si>
  <si>
    <t>Technology support</t>
  </si>
  <si>
    <t>Operational support</t>
  </si>
  <si>
    <t>Financial and human resource</t>
  </si>
  <si>
    <t>Accountability</t>
  </si>
  <si>
    <t>System-wide pupil support</t>
  </si>
  <si>
    <t>Policy, leadership and public relations</t>
  </si>
  <si>
    <t>Ancillary services</t>
  </si>
  <si>
    <t>Non-programmed charges</t>
  </si>
  <si>
    <t>Interest on long-term debt</t>
  </si>
  <si>
    <t>Unallocated depreciation expense**</t>
  </si>
  <si>
    <t>Total governmental activities</t>
  </si>
  <si>
    <t>Business-type activities:</t>
  </si>
  <si>
    <t>School food service</t>
  </si>
  <si>
    <t>Child care</t>
  </si>
  <si>
    <t>Total business-type activities</t>
  </si>
  <si>
    <t>Total primary government</t>
  </si>
  <si>
    <t>General revenues:</t>
  </si>
  <si>
    <t>Unrestricted county appropriations - operating</t>
  </si>
  <si>
    <t>Unrestricted county appropriations - capital</t>
  </si>
  <si>
    <t>Unrestricted State appropriations - operating</t>
  </si>
  <si>
    <t>Unrestricted State appropriation - capital</t>
  </si>
  <si>
    <t>Unrestricted Federal appropriations - operating *, ***</t>
  </si>
  <si>
    <t>Unrestricted Federal appropriations - capital *, ***</t>
  </si>
  <si>
    <t>Investment earnings, unrestricted</t>
  </si>
  <si>
    <t>Miscellaneous, unrestricted</t>
  </si>
  <si>
    <t>Extraordinary Item: Asset impairment loss - mold remediation</t>
  </si>
  <si>
    <t>Transfers</t>
  </si>
  <si>
    <t>Total general revenues, special items, and transfers</t>
  </si>
  <si>
    <t>Change in net position</t>
  </si>
  <si>
    <t>Net position, ending</t>
  </si>
  <si>
    <t xml:space="preserve">*    These line items are included for illustrative purposes only; if there are functions and/or revenues for which your unit has no activity, please delete those functions from the statement. </t>
  </si>
  <si>
    <t>**   This amount excludes the depreciation that is included in the direct expenses of the various programs.</t>
  </si>
  <si>
    <t>***  Some units may receive federal grants that may be used for either capital and/or operating purposes for the benefit of all programs and functions;  these grants would be classified as unrestricted.</t>
  </si>
  <si>
    <t>Exhibit 3</t>
  </si>
  <si>
    <t>Balance Sheet</t>
  </si>
  <si>
    <t>Governmental Funds</t>
  </si>
  <si>
    <t>Major Funds</t>
  </si>
  <si>
    <t>General</t>
  </si>
  <si>
    <t>State Public School</t>
  </si>
  <si>
    <t>Individual Schools</t>
  </si>
  <si>
    <t>Capital Outlay</t>
  </si>
  <si>
    <t>Federal Grants</t>
  </si>
  <si>
    <t>Total Governmental Funds</t>
  </si>
  <si>
    <t>Due from other funds</t>
  </si>
  <si>
    <t>LIABILITIES, DEFERRED INFLOWS OF RESOURCES, AND FUND BALANCES</t>
  </si>
  <si>
    <t>Liabilities:</t>
  </si>
  <si>
    <t>Accounts payable and accrued liabilities</t>
  </si>
  <si>
    <t>Deferred inflows of resources:</t>
  </si>
  <si>
    <t>Fund balances:</t>
  </si>
  <si>
    <t xml:space="preserve"> </t>
  </si>
  <si>
    <t>Nonspendable:</t>
  </si>
  <si>
    <t>Stabilization by State Statute</t>
  </si>
  <si>
    <t>School Capital Outlay</t>
  </si>
  <si>
    <t xml:space="preserve">    Individual Schools</t>
  </si>
  <si>
    <t>Assigned:</t>
  </si>
  <si>
    <t xml:space="preserve">   Subsequent years expenditures</t>
  </si>
  <si>
    <t>Unassigned:</t>
  </si>
  <si>
    <t>Total fund balances</t>
  </si>
  <si>
    <t>Total liabilities, deferred inflows of resources, and fund balances</t>
  </si>
  <si>
    <t>Amounts reported for governmental activities in the statement of net position (Exhibit 1) are different because:</t>
  </si>
  <si>
    <t>Net OPEB Asset</t>
  </si>
  <si>
    <t>Capital assets used in governmental activities are not financial resources and therefore are not reported in the funds.</t>
  </si>
  <si>
    <t>Deferred outflows of resources related to pensions</t>
  </si>
  <si>
    <t>Deferred outflows of resources related to OPEB</t>
  </si>
  <si>
    <t>Other long-term assets (accrued  interest receivable from taxes) are not available to pay for current-period expenditures and therefore are deferred in the funds.</t>
  </si>
  <si>
    <t>Liabilities for earned but unavailable revenues in fund statements.</t>
  </si>
  <si>
    <t>Some liabilities, including bonds payable and accrued interest, are not due and payable in the current period and therefore are not reported in the funds (Note 4).</t>
  </si>
  <si>
    <t>Deferred inflows of resources  related to pensions</t>
  </si>
  <si>
    <t>Deferred inflows of resources  related to OPEB</t>
  </si>
  <si>
    <t>Net position of governmental activities</t>
  </si>
  <si>
    <t>Exhibit 4</t>
  </si>
  <si>
    <t>Statement of Revenues, Expenditures, and Changes in Fund Balance</t>
  </si>
  <si>
    <t>REVENUES</t>
  </si>
  <si>
    <t>State of North Carolina</t>
  </si>
  <si>
    <t>Carolina County</t>
  </si>
  <si>
    <t>Local Current Expense</t>
  </si>
  <si>
    <t>Other</t>
  </si>
  <si>
    <t>U.S. Government</t>
  </si>
  <si>
    <t>Contributions and donations</t>
  </si>
  <si>
    <t>Total revenues</t>
  </si>
  <si>
    <t>EXPENDITURES</t>
  </si>
  <si>
    <t>Current:</t>
  </si>
  <si>
    <t>Instructional services</t>
  </si>
  <si>
    <t>System-wide support services</t>
  </si>
  <si>
    <t>Special populations support and development</t>
  </si>
  <si>
    <t>Debt service:</t>
  </si>
  <si>
    <t>Principal</t>
  </si>
  <si>
    <t>Interest and other charges</t>
  </si>
  <si>
    <t>Capital outlay*:</t>
  </si>
  <si>
    <t>Real property and buildings</t>
  </si>
  <si>
    <t>Furniture and equipment</t>
  </si>
  <si>
    <t>Buses and motor vehicles</t>
  </si>
  <si>
    <t>Total expenditures</t>
  </si>
  <si>
    <t>Excess (deficiency) of revenues over expenditures</t>
  </si>
  <si>
    <t>OTHER FINANCING SOURCES (USES)</t>
  </si>
  <si>
    <t>Transfers to other funds</t>
  </si>
  <si>
    <t>Installment purchase obligations issued</t>
  </si>
  <si>
    <t>Capital lease obligations issued</t>
  </si>
  <si>
    <t>Total other financing sources  (uses)</t>
  </si>
  <si>
    <t>Net change in fund balance</t>
  </si>
  <si>
    <t>Fund balances, beginning</t>
  </si>
  <si>
    <t>Increase in reserve for inventories</t>
  </si>
  <si>
    <t>Fund balances, ending</t>
  </si>
  <si>
    <r>
      <t>*</t>
    </r>
    <r>
      <rPr>
        <b/>
        <sz val="10"/>
        <color indexed="8"/>
        <rFont val="Times New Roman"/>
        <family val="1"/>
      </rPr>
      <t>Note to preparer:</t>
    </r>
    <r>
      <rPr>
        <sz val="10"/>
        <color indexed="8"/>
        <rFont val="Times New Roman"/>
        <family val="1"/>
      </rPr>
      <t xml:space="preserve">  Capital outlay expenditures may be allocated across functions.</t>
    </r>
  </si>
  <si>
    <t>Exhibit 5</t>
  </si>
  <si>
    <t>Amounts reported for governmental activities in the statement of activities are</t>
  </si>
  <si>
    <t>different because:</t>
  </si>
  <si>
    <t>Net changes in fund balances - total governmental funds</t>
  </si>
  <si>
    <t>Change in fund balance due to change in reserve for inventory</t>
  </si>
  <si>
    <t>Governmental funds report capital outlays as expenditures. However, in the Statement of Activities the cost of those assets is allocated over their estimated useful lives and reported as depreciation expense.  This is the amount by which capital outlays exceeded depreciation in the current period.</t>
  </si>
  <si>
    <t>Contributions to the pension plan in the current fiscal year are not included on the Statement of Activities</t>
  </si>
  <si>
    <t>Contributions to the OPEB plan in the current fiscal year are not included on the Statement of Activities</t>
  </si>
  <si>
    <t>Difference in accrued investment income and income reported in fund statements</t>
  </si>
  <si>
    <t>The issuance of long-term debt provides current financial resources to governmental funds, while the repayment of the principal of long-term debt consumes the current financial resources of governmental funds.  Neither transaction has any effect on net position.  Also, governmental funds report the effect of premiums, discounts and similar items when debt is first issued, whereas these amounts are deferred and amortized in the statement of activities.  This amount is the net effect of these differences in the treatment of long-term debt and related items.</t>
  </si>
  <si>
    <t>Difference in accrued interest payable and interest expensed on fund statements</t>
  </si>
  <si>
    <t>Some expenses reported in the statement of activities do not require the use of current financial resources and, therefore, are not reported as expenditures in governmental funds.</t>
  </si>
  <si>
    <t>Pension expense</t>
  </si>
  <si>
    <t xml:space="preserve"> Net OPEB Expense</t>
  </si>
  <si>
    <t>Compensated absences</t>
  </si>
  <si>
    <t>Loss on disposal of assets</t>
  </si>
  <si>
    <t>Total changes in net position of governmental activities</t>
  </si>
  <si>
    <t>This page left blank intentionally.</t>
  </si>
  <si>
    <t>Exhibit 6</t>
  </si>
  <si>
    <t>General Fund and Annually Budgeted Major Special Revenue Fund</t>
  </si>
  <si>
    <t>Statement of Revenues, Expenditures, and Changes in Fund Balance - Budget and Actual</t>
  </si>
  <si>
    <t>General Fund</t>
  </si>
  <si>
    <t>State Public School Fund</t>
  </si>
  <si>
    <t>Original</t>
  </si>
  <si>
    <t>Final</t>
  </si>
  <si>
    <t>Actual Amounts</t>
  </si>
  <si>
    <t>Variance with Final Budget - Positive (Negative)</t>
  </si>
  <si>
    <t>Revenues:</t>
  </si>
  <si>
    <t>U.S. Government *</t>
  </si>
  <si>
    <t>Contributions and donations *</t>
  </si>
  <si>
    <t>Expenditures:</t>
  </si>
  <si>
    <t>(cont.)</t>
  </si>
  <si>
    <t>Capital outlay:</t>
  </si>
  <si>
    <t>Real property and buildings *</t>
  </si>
  <si>
    <t>Furniture and equipment *</t>
  </si>
  <si>
    <t>Buses and motor vehicles *</t>
  </si>
  <si>
    <t>Revenues over (under) expenditures</t>
  </si>
  <si>
    <t>Other financing sources (uses):</t>
  </si>
  <si>
    <t>Transfers from other funds</t>
  </si>
  <si>
    <t>Total other financing sources (uses)</t>
  </si>
  <si>
    <r>
      <t xml:space="preserve">* Note to preparer: </t>
    </r>
    <r>
      <rPr>
        <sz val="10"/>
        <color indexed="8"/>
        <rFont val="Times New Roman"/>
        <family val="1"/>
      </rPr>
      <t xml:space="preserve"> These line items are included for illustrative purposes;  if these are functions for which your unit has no activity, please do not include.</t>
    </r>
  </si>
  <si>
    <t>Exhibit 7</t>
  </si>
  <si>
    <t>Current assets:</t>
  </si>
  <si>
    <t>OPEB asset</t>
  </si>
  <si>
    <t>Total current assets</t>
  </si>
  <si>
    <t>Noncurrent assets:</t>
  </si>
  <si>
    <t>Capital assets:</t>
  </si>
  <si>
    <t>Furniture and equipment, net</t>
  </si>
  <si>
    <t>Computer equipment, net</t>
  </si>
  <si>
    <t>Total noncurrent assets</t>
  </si>
  <si>
    <t>PENSION DEFERRED OUTFLOWS OF RESOURCES</t>
  </si>
  <si>
    <t>Current liabilities:</t>
  </si>
  <si>
    <t>Accounts payable and accrued
 expenses</t>
  </si>
  <si>
    <t>Due to other funds</t>
  </si>
  <si>
    <t>Total current liabilities</t>
  </si>
  <si>
    <t>Noncurrent liabilities:</t>
  </si>
  <si>
    <t>Total noncurrent liabilities</t>
  </si>
  <si>
    <t>Unrestricted</t>
  </si>
  <si>
    <t>Exhibit 8</t>
  </si>
  <si>
    <t>Statement of Revenues, Expenses, and Changes in Fund Net Position</t>
  </si>
  <si>
    <t>OPERATING REVENUES</t>
  </si>
  <si>
    <t>Food sales</t>
  </si>
  <si>
    <t>Child care fees</t>
  </si>
  <si>
    <t>Total operating revenues</t>
  </si>
  <si>
    <t>OPERATING EXPENSES</t>
  </si>
  <si>
    <t>Food cost:</t>
  </si>
  <si>
    <t>Purchase of food</t>
  </si>
  <si>
    <t>Donated commodities</t>
  </si>
  <si>
    <t>Salaries and benefits</t>
  </si>
  <si>
    <t>Indirect costs</t>
  </si>
  <si>
    <t>Materials and supplies</t>
  </si>
  <si>
    <t>Repairs and maintenance</t>
  </si>
  <si>
    <t>Contracted services</t>
  </si>
  <si>
    <t xml:space="preserve">  Total operating expenses</t>
  </si>
  <si>
    <t>Operating income (loss)</t>
  </si>
  <si>
    <t>NONOPERATING REVENUES (EXPENSES)</t>
  </si>
  <si>
    <t>Federal commodities</t>
  </si>
  <si>
    <t>Interest earned</t>
  </si>
  <si>
    <t>Total nonoperating revenue (expenses)</t>
  </si>
  <si>
    <t>Income (loss) before contributions and transfers</t>
  </si>
  <si>
    <t>Total net position, beginning</t>
  </si>
  <si>
    <t>Total net position, ending</t>
  </si>
  <si>
    <t>Carolina County Board of Education</t>
  </si>
  <si>
    <t>Exhibit 10</t>
  </si>
  <si>
    <t>Statement of Fiduciary Net Position</t>
  </si>
  <si>
    <t>Fiduciary Fund</t>
  </si>
  <si>
    <t>Private</t>
  </si>
  <si>
    <t>Purpose</t>
  </si>
  <si>
    <t>Trust</t>
  </si>
  <si>
    <t>Due from other government</t>
  </si>
  <si>
    <t>Assets held in trust for private purpose</t>
  </si>
  <si>
    <t>Exhibit 11</t>
  </si>
  <si>
    <t>Statement of Changes in Fiduciary Net Position</t>
  </si>
  <si>
    <t>ADDITIONS:</t>
  </si>
  <si>
    <t>Contributions and other revenue</t>
  </si>
  <si>
    <t>DEDUCTIONS:</t>
  </si>
  <si>
    <t>Instructional costs</t>
  </si>
  <si>
    <t>Net position, beginning</t>
  </si>
  <si>
    <t>Schedules of Required Supplementary Information</t>
  </si>
  <si>
    <t>SCHEDULE OF THE BOARD'S PROPORTIONATE SHARE OF THE NET PENSION LIABILITY</t>
  </si>
  <si>
    <t>Teachers' and State Employees' Retirement System</t>
  </si>
  <si>
    <t xml:space="preserve">Board's proportion of the net pension liability (asset) </t>
  </si>
  <si>
    <t>Board's proportionate share of the net pension liability (asset)</t>
  </si>
  <si>
    <t>Board's proportionate share of the net pension liability (asset) as a percentage of its covered payroll</t>
  </si>
  <si>
    <t>Plan fiduciary net position as a percentage of the total pension liability</t>
  </si>
  <si>
    <r>
      <t xml:space="preserve">Note to preparer:  </t>
    </r>
    <r>
      <rPr>
        <sz val="10"/>
        <rFont val="Times New Roman"/>
        <family val="1"/>
      </rPr>
      <t>Information is not required to be presented retroactively.  This schedule will NOT present 10 years' worth of information until fiscal year 2024.</t>
    </r>
  </si>
  <si>
    <t>Schedule of Board Contributions</t>
  </si>
  <si>
    <t>Contractually required contribution</t>
  </si>
  <si>
    <t xml:space="preserve">Contributions in relation to the contractually required contribution
</t>
  </si>
  <si>
    <t>Contribution deficiency (excess)</t>
  </si>
  <si>
    <t xml:space="preserve">Contributions as a percentage of covered payroll
</t>
  </si>
  <si>
    <t>Last Ten Fiscal Years</t>
  </si>
  <si>
    <t>Contributions in relation to the contractually required contribution</t>
  </si>
  <si>
    <t>Contributions as a percentage of the covered payroll</t>
  </si>
  <si>
    <t>SCHEDULE OF PROPORTIONATE SHARE OF NET OPEB ASSET</t>
  </si>
  <si>
    <t>Disability Income Plan of North Carolina</t>
  </si>
  <si>
    <t>Last Fiscal Year *</t>
  </si>
  <si>
    <t>Board's proportion of the net OPEB asset</t>
  </si>
  <si>
    <t xml:space="preserve">Board's proportionate share of the net OPEB asset </t>
  </si>
  <si>
    <t>Board's proportionate share of the net OPEB asset as a percentage of its covered payroll</t>
  </si>
  <si>
    <t>Plan Fiduciary net position as a percentage of the total OPEB asset</t>
  </si>
  <si>
    <t>Schedule of Contributions</t>
  </si>
  <si>
    <t>Schedule of Revenues, Expenditures, and</t>
  </si>
  <si>
    <t>Changes in Fund Balance - Budget and Actual</t>
  </si>
  <si>
    <t>Positive</t>
  </si>
  <si>
    <t>(Negative)</t>
  </si>
  <si>
    <t>Budget</t>
  </si>
  <si>
    <t>Actual</t>
  </si>
  <si>
    <t>Variance</t>
  </si>
  <si>
    <t>State of North Carolina:</t>
  </si>
  <si>
    <t>Carolina County:</t>
  </si>
  <si>
    <t>Other :</t>
  </si>
  <si>
    <t>Supplemental school taxes - municipality</t>
  </si>
  <si>
    <t>Sales taxes</t>
  </si>
  <si>
    <t>Tuition and fees</t>
  </si>
  <si>
    <t>Fines and forfeitures - Clerk of Court</t>
  </si>
  <si>
    <t>Rental of school property</t>
  </si>
  <si>
    <t>Interest earned on investments</t>
  </si>
  <si>
    <t xml:space="preserve">   Total revenues</t>
  </si>
  <si>
    <t>Regular instructional services:</t>
  </si>
  <si>
    <t>Regular curricular services</t>
  </si>
  <si>
    <t>CTE curricular services</t>
  </si>
  <si>
    <t>Special populations services:</t>
  </si>
  <si>
    <t>Children with disabilities curricular services</t>
  </si>
  <si>
    <t>Special populations CTE curricular services</t>
  </si>
  <si>
    <t>Limited English proficiency services</t>
  </si>
  <si>
    <t>Alternative programs and services:</t>
  </si>
  <si>
    <t>Alternative instructional services K-12</t>
  </si>
  <si>
    <t>Extended day/year instructional Services</t>
  </si>
  <si>
    <t>School leadership services</t>
  </si>
  <si>
    <t>Co-curricular services</t>
  </si>
  <si>
    <t>School-based support services:</t>
  </si>
  <si>
    <t>Educational media services</t>
  </si>
  <si>
    <t>Student Accounting</t>
  </si>
  <si>
    <t>Guidance Services</t>
  </si>
  <si>
    <t>Safety and Security Support Services</t>
  </si>
  <si>
    <t>Support and development services:</t>
  </si>
  <si>
    <t>Regular curricular support and development services</t>
  </si>
  <si>
    <t>CTE curricular support and development services</t>
  </si>
  <si>
    <t>Special population support and development services</t>
  </si>
  <si>
    <t>Alternative programs and services support and development services</t>
  </si>
  <si>
    <t>Technology support services</t>
  </si>
  <si>
    <t>Operational  support services:</t>
  </si>
  <si>
    <t>Communication services</t>
  </si>
  <si>
    <t>Printing and copying services</t>
  </si>
  <si>
    <t>Public utility and energy services</t>
  </si>
  <si>
    <t>Custodial/housekeeping services</t>
  </si>
  <si>
    <t>Transportation services</t>
  </si>
  <si>
    <t/>
  </si>
  <si>
    <t>Financial and human resource services:</t>
  </si>
  <si>
    <t>Financial services</t>
  </si>
  <si>
    <t>Human resource services</t>
  </si>
  <si>
    <t>Accountability services:</t>
  </si>
  <si>
    <t>Student testing services</t>
  </si>
  <si>
    <t>Planning, research development and program evaluation</t>
  </si>
  <si>
    <t>System-wide pupil support services:</t>
  </si>
  <si>
    <t>Educational media support services</t>
  </si>
  <si>
    <t>Guidance support services</t>
  </si>
  <si>
    <t>Safety and security support services</t>
  </si>
  <si>
    <t>Policy, leadership and public relations services:</t>
  </si>
  <si>
    <t>Board of education</t>
  </si>
  <si>
    <t>Legal services</t>
  </si>
  <si>
    <t>Audit services</t>
  </si>
  <si>
    <t>Leadership services</t>
  </si>
  <si>
    <t>Ancillary services:</t>
  </si>
  <si>
    <t>Community services</t>
  </si>
  <si>
    <t>Adult services</t>
  </si>
  <si>
    <t>Non-Programmed charges</t>
  </si>
  <si>
    <t>Payments to other governmental units</t>
  </si>
  <si>
    <t>Scholarships</t>
  </si>
  <si>
    <t xml:space="preserve">Net change in fund balance </t>
  </si>
  <si>
    <t>Fund balance, beginning</t>
  </si>
  <si>
    <t xml:space="preserve">   Increase in reserve for inventories</t>
  </si>
  <si>
    <t>Fund balance, ending</t>
  </si>
  <si>
    <r>
      <rPr>
        <b/>
        <sz val="10"/>
        <rFont val="Times New Roman"/>
        <family val="1"/>
      </rPr>
      <t>Note to preparer</t>
    </r>
    <r>
      <rPr>
        <sz val="10"/>
        <rFont val="Times New Roman"/>
        <family val="1"/>
      </rPr>
      <t xml:space="preserve">:  Carolina County revenues include both the statutorily defined Local Current Expense revenue and miscellaneous revenues that result from other transactions between Carolina County and the Board of Education.  Fees for rental of a Board of Education building for an event, for example.  However, revenue other than that which is statutorily identified as Local Current Expense revenue should be presented separately. </t>
    </r>
  </si>
  <si>
    <r>
      <t xml:space="preserve">NOTE TO PREPARER: </t>
    </r>
    <r>
      <rPr>
        <sz val="10"/>
        <color indexed="8"/>
        <rFont val="Times New Roman"/>
        <family val="1"/>
      </rPr>
      <t xml:space="preserve"> The Carolina County Board of Education has only one non-major fund, the Federal Grants Fund.  All relevant data, with the exception of the budget schedule, for this fund appears in the Basic Financial Statements.  Therefore, there are no supplemental schedules for the Federal Grants Fund except the budget to actual comparison.  For units with more than one non-major fund, a combining balance sheet and a combining statement of revenues, expenditures, and changes in fund balance should be included here.  Please refer to the Sample Financial Statements for Carolina County for examples. </t>
    </r>
  </si>
  <si>
    <t>Federal Grants Fund</t>
  </si>
  <si>
    <t>U. S. Government</t>
  </si>
  <si>
    <t>System-wide supporting services</t>
  </si>
  <si>
    <t>Capital outlay</t>
  </si>
  <si>
    <t xml:space="preserve">Note to Preparer: In accordance with GASB Statement No. 54 any fund balance in this example would be classified as restricted because the revenue source restricts use of funds for specific purposes. </t>
  </si>
  <si>
    <t>Capital Outlay Fund</t>
  </si>
  <si>
    <t xml:space="preserve">Schedule of Revenues, Expenditures, and </t>
  </si>
  <si>
    <t>Critical School Facilities Needs</t>
  </si>
  <si>
    <t>Public School Building Capital Fund</t>
  </si>
  <si>
    <t>Public School Building Bond Fund</t>
  </si>
  <si>
    <t xml:space="preserve"> Public School Capital Fund - Lottery</t>
  </si>
  <si>
    <t>State appropriations- buses</t>
  </si>
  <si>
    <t>Total State of North Carolina</t>
  </si>
  <si>
    <t>Appropriations from county - issued</t>
  </si>
  <si>
    <t xml:space="preserve">    installment purchase</t>
  </si>
  <si>
    <t>Restricted portion of sales taxes</t>
  </si>
  <si>
    <t xml:space="preserve">General county revenues </t>
  </si>
  <si>
    <t>Total  Carolina County</t>
  </si>
  <si>
    <t>Real property and buildings:</t>
  </si>
  <si>
    <t>North Carolina State Senior High</t>
  </si>
  <si>
    <t>Tar Heel Elementary</t>
  </si>
  <si>
    <t>Tar Heel Elementary - Lottery</t>
  </si>
  <si>
    <t>Duke Elementary</t>
  </si>
  <si>
    <t xml:space="preserve">Duke Elementary - Lottery </t>
  </si>
  <si>
    <t>Cardinal Senior High - mold remediation</t>
  </si>
  <si>
    <t>Total land and buildings</t>
  </si>
  <si>
    <t>Furniture and equipment:</t>
  </si>
  <si>
    <t>Total equipment and books</t>
  </si>
  <si>
    <t>Buses and motor vehicles:</t>
  </si>
  <si>
    <t>Central Office</t>
  </si>
  <si>
    <t>Interest</t>
  </si>
  <si>
    <t>Excess of revenues over expenditures</t>
  </si>
  <si>
    <t>Other financing sources:</t>
  </si>
  <si>
    <t>Total other financing sources</t>
  </si>
  <si>
    <r>
      <t>Note to preparer:</t>
    </r>
    <r>
      <rPr>
        <sz val="9"/>
        <color indexed="8"/>
        <rFont val="Times New Roman"/>
        <family val="1"/>
      </rPr>
      <t xml:space="preserve">   </t>
    </r>
    <r>
      <rPr>
        <u val="single"/>
        <sz val="9"/>
        <color indexed="8"/>
        <rFont val="Times New Roman"/>
        <family val="1"/>
      </rPr>
      <t xml:space="preserve">Please note that although DPI's chart of accounts allows for the allocation of capital outlay expenditures to be allocated across functions, this Schedule should be presented at the Board adopted level.  </t>
    </r>
  </si>
  <si>
    <r>
      <t xml:space="preserve">The additional detail provided in this schedule, </t>
    </r>
    <r>
      <rPr>
        <sz val="9"/>
        <rFont val="Times New Roman"/>
        <family val="1"/>
      </rPr>
      <t>which includes the receipts and expenditures of lottery proceeds by project,</t>
    </r>
    <r>
      <rPr>
        <sz val="9"/>
        <color indexed="8"/>
        <rFont val="Times New Roman"/>
        <family val="1"/>
      </rPr>
      <t xml:space="preserve"> will assist the State in preparing reports on school capital outlay expenditures.  The appropriations from county-issued installment purchases presented on this schedule as a revenue source represent debt transactions entered into by the county on behalf of the school system.   As such, these transactions should be reported as part of the county's appropriation to the school system.  The County is assumed to be authorized to enter into installment purchase transactions to finance school construction under G.S.160A-20.  The installment purchase was entered into by the county and the debt associated with that transaction is carried on the county's books.  However, the assets are, in substance, the assets of the school system.  Therefore, the expenditures of the debt proceeds should be recorded in the Board's Capital Outlay Fund.  The amount recognized as revenue by the school system is offset by amounts of debt proceeds expended by the county.  In accordance with generally accepted accounting principles, the proceeds of the lease purchase of computers entered into by the school system is accounted for as an other financing source.  Under State law, the payments for the computer lease should be accounted for in the capital outlay fund.  Finally, the installment purchases presented as other financing sources include a guaranteed energy savings contract entered into by the school system as authorized under G.S. 143-64.17C and a financing contract to purchase school buses as authorized under G.S. 115C-528.  The periodic debt service payments for the guaranteed energy savings contract will be recorded in the Local Current Expense Fund, where they partially offset the utility payments assumed to be saved because of the installment purchase transaction.  For a complete discussion of the principles used in preparing these statements for the board of education and the treatment of these various debt transactions, refer to Section 35 of the Audit Manual, "Principles Used  in the Preparation of the Illustrative Financial Statements."  </t>
    </r>
  </si>
  <si>
    <t xml:space="preserve">Replacement School Buses:  The Banc of America Public Capital Corp financing agreement must be recorded in its entirety in the LEA's Capital Outlay Fund in the year the debt is issued.  Even though there is no cash effect, it must be recorded since the agreement is in the name of the unit.  The entry will be to debit capital expenditures for school buses and to credit other financing sources for the amount of the debt issued.  </t>
  </si>
  <si>
    <r>
      <t>Note to Preparer</t>
    </r>
    <r>
      <rPr>
        <sz val="9"/>
        <color indexed="8"/>
        <rFont val="Times New Roman"/>
        <family val="1"/>
      </rPr>
      <t>:  Under GASB  Statement No. 54 and the Board of Education (BOE) spending policy, the BOE would have to use all restricted and committed resources first.  That would most likely level the $226,000 fund balance as General County revenues.  Since counties appropriate by capital project for schools this fund balance would be classified as restricted.</t>
    </r>
  </si>
  <si>
    <t>Schedule of Revenues and Expenditures</t>
  </si>
  <si>
    <t>Budget and Actual (Non-GAAP)</t>
  </si>
  <si>
    <t>School Food Service Fund</t>
  </si>
  <si>
    <t>Operating revenues, food sales</t>
  </si>
  <si>
    <t>Operating expenditures:</t>
  </si>
  <si>
    <t>Business support services:</t>
  </si>
  <si>
    <t>Total business support services</t>
  </si>
  <si>
    <t>Other support services:</t>
  </si>
  <si>
    <t>Total operating expenditures</t>
  </si>
  <si>
    <t>Operating loss</t>
  </si>
  <si>
    <t>Nonoperating revenues (expenditures):</t>
  </si>
  <si>
    <t xml:space="preserve">Interest earned </t>
  </si>
  <si>
    <t>Total nonoperating revenues (expenditures)</t>
  </si>
  <si>
    <t>Excess of revenues over (under) expenditures</t>
  </si>
  <si>
    <t xml:space="preserve">  before other financing sources</t>
  </si>
  <si>
    <t xml:space="preserve">Other financing sources: </t>
  </si>
  <si>
    <t xml:space="preserve">Excess of revenues and other sources </t>
  </si>
  <si>
    <t xml:space="preserve">  over expenditures</t>
  </si>
  <si>
    <t>Reconciliation of modified accrual</t>
  </si>
  <si>
    <t>to full accrual basis:</t>
  </si>
  <si>
    <t>Reconciling items:</t>
  </si>
  <si>
    <t xml:space="preserve">Net pension liability </t>
  </si>
  <si>
    <t xml:space="preserve">Net OPEB liability </t>
  </si>
  <si>
    <t>Deferred outflows</t>
  </si>
  <si>
    <t>Deferred outflows - OPEB</t>
  </si>
  <si>
    <t>Deferred outflows - DIPNIC</t>
  </si>
  <si>
    <t>Deferred inflows</t>
  </si>
  <si>
    <t>Deferred Inflows - OPEB</t>
  </si>
  <si>
    <t>Equipment purchases</t>
  </si>
  <si>
    <t>Increase in accrued vacation pay</t>
  </si>
  <si>
    <t>Decrease in inventory</t>
  </si>
  <si>
    <t>Change in net position (full accrual)</t>
  </si>
  <si>
    <t>Child Care Fund</t>
  </si>
  <si>
    <t>Budget and Actual (Non - GAAP)</t>
  </si>
  <si>
    <t xml:space="preserve">Variance </t>
  </si>
  <si>
    <t>Regular community service:</t>
  </si>
  <si>
    <t>Total regular community service</t>
  </si>
  <si>
    <t>Equipment</t>
  </si>
  <si>
    <t>Revenues over expenditures</t>
  </si>
  <si>
    <t>Revenues and other sources</t>
  </si>
  <si>
    <t xml:space="preserve">Reconciliation from budgetary basis </t>
  </si>
  <si>
    <t>(modified accrual) to full accrual:</t>
  </si>
  <si>
    <t xml:space="preserve">Deferred outflows </t>
  </si>
  <si>
    <t>Deferred outflows - DIPNC</t>
  </si>
  <si>
    <t xml:space="preserve">Deferred inflows </t>
  </si>
  <si>
    <t>Deferred inflows - OPEB</t>
  </si>
  <si>
    <t>Increase in salaries and benefits</t>
  </si>
  <si>
    <t>GASB 34 CALCULATION OF MAJOR FUNDS</t>
  </si>
  <si>
    <t xml:space="preserve">Expenditures/Expenses </t>
  </si>
  <si>
    <t>Assets and Deferred Outflows of resources</t>
  </si>
  <si>
    <t>Liabilities and Deferred Inflows of Resources</t>
  </si>
  <si>
    <r>
      <t>Computes "</t>
    </r>
    <r>
      <rPr>
        <b/>
        <sz val="8"/>
        <rFont val="Times New Roman"/>
        <family val="1"/>
      </rPr>
      <t>X</t>
    </r>
    <r>
      <rPr>
        <sz val="8"/>
        <rFont val="Times New Roman"/>
        <family val="1"/>
      </rPr>
      <t>" if Meets</t>
    </r>
  </si>
  <si>
    <r>
      <t>Computes "</t>
    </r>
    <r>
      <rPr>
        <b/>
        <sz val="8"/>
        <rFont val="Times New Roman"/>
        <family val="1"/>
      </rPr>
      <t>MAJOR</t>
    </r>
    <r>
      <rPr>
        <sz val="8"/>
        <rFont val="Times New Roman"/>
        <family val="1"/>
      </rPr>
      <t>" if Fund is Major</t>
    </r>
  </si>
  <si>
    <r>
      <t>If a "Category" Has an "</t>
    </r>
    <r>
      <rPr>
        <b/>
        <sz val="8"/>
        <rFont val="Times New Roman"/>
        <family val="1"/>
      </rPr>
      <t>X</t>
    </r>
    <r>
      <rPr>
        <sz val="8"/>
        <rFont val="Times New Roman"/>
        <family val="1"/>
      </rPr>
      <t>" in Both</t>
    </r>
  </si>
  <si>
    <t>Type of Fund</t>
  </si>
  <si>
    <t>10% Rule</t>
  </si>
  <si>
    <t>5% Rule</t>
  </si>
  <si>
    <t>Revenue</t>
  </si>
  <si>
    <t>Columns, Then Fund is a Major Fund</t>
  </si>
  <si>
    <t>N/A</t>
  </si>
  <si>
    <t>YES, ALWAYS MAJOR</t>
  </si>
  <si>
    <t>Special Revenue Funds:</t>
  </si>
  <si>
    <t>Capital Projects Funds:</t>
  </si>
  <si>
    <t>10 % of Total Governmental Funds</t>
  </si>
  <si>
    <t>Enterprise Funds:</t>
  </si>
  <si>
    <t>Total Enterprise Funds</t>
  </si>
  <si>
    <t>10% of Total Enterprise Funds</t>
  </si>
  <si>
    <t>Total Governmental &amp; Enterprise Funds</t>
  </si>
  <si>
    <t>5% of Total Governmental &amp; Enterprise Funds</t>
  </si>
  <si>
    <t>Check:</t>
  </si>
  <si>
    <t>Special Revenue Funds</t>
  </si>
  <si>
    <t>Capital Projects Funds</t>
  </si>
  <si>
    <t>Difference</t>
  </si>
  <si>
    <t>Bridges Charter School</t>
  </si>
  <si>
    <t>TSERS</t>
  </si>
  <si>
    <t>Lt Governor's Office</t>
  </si>
  <si>
    <t>RHBF</t>
  </si>
  <si>
    <t>Zeca School</t>
  </si>
  <si>
    <t>DIPNC</t>
  </si>
  <si>
    <t>divide by two</t>
  </si>
  <si>
    <t>Deferred Inflows of Resources Unearned Revenue</t>
  </si>
  <si>
    <t>Pension Deferred Inflows of Resources</t>
  </si>
  <si>
    <t>DIPNC Deferred Inflows of Resources</t>
  </si>
  <si>
    <t>Pension Deferred Outflows of Resources</t>
  </si>
  <si>
    <t>RHBF Deferred Outflows of Resources</t>
  </si>
  <si>
    <t>DIPNC Deferred Outflows of Resources</t>
  </si>
  <si>
    <t>Deferred inflows of resources related to unearned revenue</t>
  </si>
  <si>
    <t>Last Six Fiscal Years *</t>
  </si>
  <si>
    <t>Last Six Fiscal Years</t>
  </si>
  <si>
    <t>June 30, 2019</t>
  </si>
  <si>
    <t>For the Year Ended June 30, 2019</t>
  </si>
  <si>
    <t>FYE June 30, 2019</t>
  </si>
  <si>
    <t xml:space="preserve">  Deferred Outflows of Resources</t>
  </si>
  <si>
    <t xml:space="preserve">  Deferred Inflows of Resources</t>
  </si>
  <si>
    <t xml:space="preserve">  Total net position</t>
  </si>
  <si>
    <t>RHBF Deferred Inflows of Resources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</si>
</sst>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_(* #,##0_);_(* \(#,##0\);_(* &quot;-&quot;??_);_(@_)"/>
    <numFmt numFmtId="167" formatCode="_(* #,##0.000000_);_(* \(#,##0.000000\);_(* &quot;-&quot;??_);_(@_)"/>
    <numFmt numFmtId="168" formatCode="[$-409]mmmm\ d\,\ yyyy;@"/>
    <numFmt numFmtId="169" formatCode="_(* #,##0.0_);_(* \(#,##0.0\);_(* &quot;-&quot;?_);_(@_)"/>
    <numFmt numFmtId="170" formatCode="_(* #,##0.00000_);_(* \(#,##0.00000\);_(* &quot;-&quot;??_);_(@_)"/>
    <numFmt numFmtId="171" formatCode="0.000%"/>
    <numFmt numFmtId="172" formatCode="0.0000000%"/>
    <numFmt numFmtId="173" formatCode="mmmm\ d\,\ yyyy"/>
  </numFmts>
  <fonts count="77">
    <font>
      <sz val="10"/>
      <name val="Arial"/>
      <family val="0"/>
    </font>
    <font>
      <sz val="11"/>
      <color indexed="8"/>
      <name val="Calibri"/>
      <family val="2"/>
    </font>
    <font>
      <b/>
      <sz val="10"/>
      <name val="Times New Roman"/>
      <family val="1"/>
    </font>
    <font>
      <sz val="10"/>
      <name val="Times New Roman"/>
      <family val="1"/>
    </font>
    <font>
      <b/>
      <sz val="9"/>
      <name val="Times New Roman"/>
      <family val="1"/>
    </font>
    <font>
      <sz val="9"/>
      <name val="Times New Roman"/>
      <family val="1"/>
    </font>
    <font>
      <sz val="10"/>
      <color indexed="10"/>
      <name val="Times New Roman"/>
      <family val="1"/>
    </font>
    <font>
      <b/>
      <sz val="10"/>
      <color indexed="8"/>
      <name val="Times New Roman"/>
      <family val="1"/>
    </font>
    <font>
      <sz val="10"/>
      <color indexed="8"/>
      <name val="Times New Roman"/>
      <family val="1"/>
    </font>
    <font>
      <b/>
      <sz val="9"/>
      <name val="Tahoma"/>
      <family val="0"/>
    </font>
    <font>
      <sz val="9"/>
      <name val="Tahoma"/>
      <family val="0"/>
    </font>
    <font>
      <u val="single"/>
      <sz val="10"/>
      <name val="Times New Roman"/>
      <family val="1"/>
    </font>
    <font>
      <u val="single"/>
      <sz val="10"/>
      <color indexed="12"/>
      <name val="Arial"/>
      <family val="2"/>
    </font>
    <font>
      <u val="single"/>
      <sz val="10"/>
      <color indexed="12"/>
      <name val="Times New Roman"/>
      <family val="1"/>
    </font>
    <font>
      <sz val="10"/>
      <color indexed="9"/>
      <name val="Times New Roman"/>
      <family val="1"/>
    </font>
    <font>
      <sz val="12"/>
      <name val="Times New Roman"/>
      <family val="1"/>
    </font>
    <font>
      <sz val="9"/>
      <color indexed="8"/>
      <name val="Times New Roman"/>
      <family val="1"/>
    </font>
    <font>
      <u val="single"/>
      <sz val="9"/>
      <color indexed="8"/>
      <name val="Times New Roman"/>
      <family val="1"/>
    </font>
    <font>
      <sz val="9"/>
      <name val="Century Schoolbook"/>
      <family val="1"/>
    </font>
    <font>
      <sz val="8"/>
      <name val="Times New Roman"/>
      <family val="1"/>
    </font>
    <font>
      <u val="single"/>
      <sz val="8"/>
      <name val="Times New Roman"/>
      <family val="1"/>
    </font>
    <font>
      <b/>
      <sz val="8"/>
      <name val="Times New Roman"/>
      <family val="1"/>
    </font>
    <font>
      <b/>
      <sz val="12"/>
      <color indexed="8"/>
      <name val="Calibri"/>
      <family val="2"/>
    </font>
    <font>
      <sz val="12"/>
      <color indexed="8"/>
      <name val="Calibri"/>
      <family val="2"/>
    </font>
    <font>
      <sz val="11"/>
      <color indexed="48"/>
      <name val="Calibri"/>
      <family val="2"/>
    </font>
    <font>
      <u val="singleAccounting"/>
      <sz val="11"/>
      <color indexed="8"/>
      <name val="Calibri"/>
      <family val="2"/>
    </font>
    <font>
      <sz val="11"/>
      <color indexed="12"/>
      <name val="Calibri"/>
      <family val="2"/>
    </font>
    <font>
      <u val="single"/>
      <sz val="11"/>
      <color indexed="8"/>
      <name val="Calibri"/>
      <family val="2"/>
    </font>
    <font>
      <b/>
      <sz val="11"/>
      <color indexed="8"/>
      <name val="Calibri"/>
      <family val="2"/>
    </font>
    <font>
      <b/>
      <sz val="9"/>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12"/>
      <color rgb="FF000000"/>
      <name val="Calibri"/>
      <family val="2"/>
    </font>
    <font>
      <sz val="11"/>
      <color rgb="FF000000"/>
      <name val="Calibri"/>
      <family val="2"/>
    </font>
    <font>
      <sz val="12"/>
      <color rgb="FF000000"/>
      <name val="Calibri"/>
      <family val="2"/>
    </font>
    <font>
      <sz val="11"/>
      <color rgb="FF3333FF"/>
      <name val="Calibri"/>
      <family val="2"/>
    </font>
    <font>
      <u val="singleAccounting"/>
      <sz val="11"/>
      <color rgb="FF000000"/>
      <name val="Calibri"/>
      <family val="2"/>
    </font>
    <font>
      <sz val="11"/>
      <color rgb="FF0000FF"/>
      <name val="Calibri"/>
      <family val="2"/>
    </font>
    <font>
      <u val="single"/>
      <sz val="11"/>
      <color rgb="FF000000"/>
      <name val="Calibri"/>
      <family val="2"/>
    </font>
    <font>
      <b/>
      <sz val="11"/>
      <color rgb="FF000000"/>
      <name val="Calibri"/>
      <family val="2"/>
    </font>
    <font>
      <sz val="10"/>
      <color rgb="FF000000"/>
      <name val="Times New Roman"/>
      <family val="1"/>
    </font>
    <font>
      <b/>
      <sz val="10"/>
      <color rgb="FF000000"/>
      <name val="Times New Roman"/>
      <family val="1"/>
    </font>
    <font>
      <b/>
      <sz val="9"/>
      <color rgb="FF000000"/>
      <name val="Times New Roman"/>
      <family val="1"/>
    </font>
    <font>
      <sz val="9"/>
      <color rgb="FF0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6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style="thin"/>
      <right style="thin"/>
      <top/>
      <bottom style="thin"/>
    </border>
    <border>
      <left/>
      <right/>
      <top style="thin"/>
      <bottom style="double"/>
    </border>
    <border>
      <left/>
      <right/>
      <top style="thin"/>
      <bottom/>
    </border>
    <border>
      <left/>
      <right style="thin"/>
      <top style="thin"/>
      <bottom style="thin"/>
    </border>
    <border>
      <left style="thin"/>
      <right/>
      <top/>
      <bottom style="thin"/>
    </border>
    <border>
      <left/>
      <right style="thin"/>
      <top/>
      <bottom style="thin"/>
    </border>
    <border>
      <left/>
      <right/>
      <top/>
      <bottom style="double"/>
    </border>
    <border>
      <left/>
      <right/>
      <top/>
      <bottom style="thin">
        <color indexed="8"/>
      </bottom>
    </border>
    <border>
      <left/>
      <right/>
      <top/>
      <bottom style="double">
        <color indexed="8"/>
      </bottom>
    </border>
    <border>
      <left/>
      <right/>
      <top/>
      <bottom style="medium"/>
    </border>
    <border>
      <left/>
      <right/>
      <top/>
      <bottom style="medium">
        <color indexed="8"/>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8"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13">
    <xf numFmtId="0" fontId="0" fillId="0" borderId="0" xfId="0" applyAlignment="1">
      <alignment/>
    </xf>
    <xf numFmtId="0" fontId="3" fillId="0" borderId="0" xfId="0" applyFont="1" applyAlignment="1">
      <alignment/>
    </xf>
    <xf numFmtId="0" fontId="62" fillId="0" borderId="0" xfId="0" applyFont="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164" fontId="63" fillId="0" borderId="0" xfId="63" applyNumberFormat="1" applyFont="1" applyBorder="1" applyAlignment="1">
      <alignment horizontal="right"/>
    </xf>
    <xf numFmtId="165" fontId="63" fillId="0" borderId="0" xfId="47" applyNumberFormat="1" applyFont="1" applyAlignment="1">
      <alignment horizontal="right"/>
    </xf>
    <xf numFmtId="0" fontId="3" fillId="0" borderId="0" xfId="0" applyFont="1" applyAlignment="1">
      <alignment wrapText="1"/>
    </xf>
    <xf numFmtId="10" fontId="63" fillId="0" borderId="0" xfId="47" applyNumberFormat="1" applyFont="1" applyAlignment="1">
      <alignment horizontal="right"/>
    </xf>
    <xf numFmtId="10" fontId="3" fillId="0" borderId="0" xfId="0" applyNumberFormat="1" applyFont="1" applyAlignment="1">
      <alignment horizontal="right"/>
    </xf>
    <xf numFmtId="0" fontId="63" fillId="0" borderId="11" xfId="0" applyFont="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center" wrapText="1"/>
    </xf>
    <xf numFmtId="0" fontId="2" fillId="0" borderId="0" xfId="0" applyFont="1" applyAlignment="1">
      <alignment/>
    </xf>
    <xf numFmtId="0" fontId="62" fillId="0" borderId="0" xfId="0" applyFont="1" applyAlignment="1">
      <alignment/>
    </xf>
    <xf numFmtId="0" fontId="3" fillId="0" borderId="0" xfId="0" applyFont="1" applyFill="1" applyAlignment="1">
      <alignment/>
    </xf>
    <xf numFmtId="0" fontId="2" fillId="0" borderId="0" xfId="0" applyFont="1" applyFill="1" applyAlignment="1">
      <alignment horizontal="left"/>
    </xf>
    <xf numFmtId="166" fontId="3" fillId="0" borderId="0" xfId="45" applyNumberFormat="1" applyFont="1" applyFill="1" applyAlignment="1">
      <alignment/>
    </xf>
    <xf numFmtId="0" fontId="2" fillId="0" borderId="0" xfId="0" applyFont="1" applyFill="1" applyAlignment="1">
      <alignment horizontal="centerContinuous"/>
    </xf>
    <xf numFmtId="0" fontId="2" fillId="0" borderId="0" xfId="0" applyFont="1" applyFill="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3" fillId="0" borderId="13" xfId="0" applyFont="1" applyFill="1" applyBorder="1" applyAlignment="1">
      <alignment/>
    </xf>
    <xf numFmtId="0" fontId="2" fillId="0" borderId="11"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3" fillId="0" borderId="0" xfId="0" applyFont="1" applyFill="1" applyBorder="1" applyAlignment="1">
      <alignment/>
    </xf>
    <xf numFmtId="0" fontId="2" fillId="0" borderId="0" xfId="0" applyFont="1" applyFill="1" applyAlignment="1">
      <alignment wrapText="1"/>
    </xf>
    <xf numFmtId="0" fontId="3" fillId="0" borderId="0" xfId="0" applyFont="1" applyFill="1" applyAlignment="1">
      <alignment wrapText="1"/>
    </xf>
    <xf numFmtId="42" fontId="3" fillId="0" borderId="0" xfId="0" applyNumberFormat="1" applyFont="1" applyFill="1" applyAlignment="1">
      <alignment/>
    </xf>
    <xf numFmtId="42" fontId="3" fillId="0" borderId="0" xfId="0" applyNumberFormat="1" applyFont="1" applyFill="1" applyBorder="1" applyAlignment="1">
      <alignment/>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10" xfId="0" applyNumberFormat="1" applyFont="1" applyFill="1" applyBorder="1" applyAlignment="1">
      <alignment/>
    </xf>
    <xf numFmtId="0" fontId="3" fillId="0" borderId="0" xfId="0" applyFont="1" applyFill="1" applyAlignment="1">
      <alignment horizontal="left" wrapText="1" indent="1"/>
    </xf>
    <xf numFmtId="41" fontId="3" fillId="0" borderId="14" xfId="0" applyNumberFormat="1" applyFont="1" applyFill="1" applyBorder="1" applyAlignment="1">
      <alignment/>
    </xf>
    <xf numFmtId="0" fontId="3" fillId="0" borderId="0" xfId="0" applyFont="1" applyFill="1" applyAlignment="1">
      <alignment horizontal="left" wrapText="1" indent="2"/>
    </xf>
    <xf numFmtId="166" fontId="3" fillId="0" borderId="0" xfId="45" applyNumberFormat="1" applyFont="1" applyFill="1" applyBorder="1" applyAlignment="1">
      <alignment/>
    </xf>
    <xf numFmtId="166" fontId="3" fillId="0" borderId="0" xfId="45" applyNumberFormat="1" applyFont="1" applyFill="1" applyBorder="1" applyAlignment="1">
      <alignment horizontal="center" vertical="center"/>
    </xf>
    <xf numFmtId="166" fontId="3" fillId="0" borderId="0" xfId="45" applyNumberFormat="1" applyFont="1" applyFill="1" applyAlignment="1">
      <alignment horizontal="center" vertical="center"/>
    </xf>
    <xf numFmtId="41" fontId="3" fillId="0" borderId="0" xfId="0" applyNumberFormat="1" applyFont="1" applyFill="1" applyBorder="1" applyAlignment="1">
      <alignment horizontal="right"/>
    </xf>
    <xf numFmtId="43" fontId="3" fillId="0" borderId="0" xfId="0" applyNumberFormat="1" applyFont="1" applyFill="1" applyAlignment="1">
      <alignment/>
    </xf>
    <xf numFmtId="43" fontId="3" fillId="0" borderId="0" xfId="0" applyNumberFormat="1" applyFont="1" applyFill="1" applyBorder="1" applyAlignment="1">
      <alignment horizontal="right"/>
    </xf>
    <xf numFmtId="0" fontId="3" fillId="0" borderId="0" xfId="0" applyFont="1" applyFill="1" applyBorder="1" applyAlignment="1">
      <alignment horizontal="right"/>
    </xf>
    <xf numFmtId="0" fontId="2" fillId="0" borderId="0" xfId="0" applyFont="1" applyFill="1" applyAlignment="1">
      <alignment horizontal="center"/>
    </xf>
    <xf numFmtId="0" fontId="3" fillId="0" borderId="0" xfId="0" applyFont="1" applyFill="1" applyBorder="1" applyAlignment="1">
      <alignment horizontal="right" wrapText="1"/>
    </xf>
    <xf numFmtId="0" fontId="4" fillId="0" borderId="0" xfId="0" applyFont="1" applyFill="1" applyAlignment="1">
      <alignment horizontal="left"/>
    </xf>
    <xf numFmtId="0" fontId="5" fillId="0" borderId="0" xfId="0" applyFont="1" applyFill="1" applyAlignment="1">
      <alignment/>
    </xf>
    <xf numFmtId="166" fontId="3" fillId="0" borderId="0" xfId="0" applyNumberFormat="1" applyFont="1" applyFill="1" applyBorder="1" applyAlignment="1">
      <alignment/>
    </xf>
    <xf numFmtId="0" fontId="64" fillId="0" borderId="0" xfId="0" applyFont="1" applyFill="1" applyBorder="1" applyAlignment="1">
      <alignment horizontal="left"/>
    </xf>
    <xf numFmtId="166" fontId="65" fillId="0" borderId="0" xfId="45" applyNumberFormat="1" applyFont="1" applyFill="1" applyBorder="1" applyAlignment="1">
      <alignment/>
    </xf>
    <xf numFmtId="166" fontId="64" fillId="0" borderId="0" xfId="45" applyNumberFormat="1" applyFont="1" applyFill="1" applyBorder="1" applyAlignment="1">
      <alignment horizontal="left"/>
    </xf>
    <xf numFmtId="0" fontId="65" fillId="0" borderId="0" xfId="0" applyFont="1" applyFill="1" applyBorder="1" applyAlignment="1">
      <alignment/>
    </xf>
    <xf numFmtId="0" fontId="66" fillId="0" borderId="0" xfId="0" applyFont="1" applyFill="1" applyBorder="1" applyAlignment="1">
      <alignment horizontal="left"/>
    </xf>
    <xf numFmtId="0" fontId="3" fillId="0" borderId="0" xfId="0" applyFont="1" applyFill="1" applyAlignment="1">
      <alignment/>
    </xf>
    <xf numFmtId="166" fontId="67" fillId="0" borderId="0" xfId="45" applyNumberFormat="1" applyFont="1" applyFill="1" applyBorder="1" applyAlignment="1">
      <alignment/>
    </xf>
    <xf numFmtId="166" fontId="68" fillId="0" borderId="0" xfId="45" applyNumberFormat="1" applyFont="1" applyFill="1" applyBorder="1" applyAlignment="1">
      <alignment/>
    </xf>
    <xf numFmtId="166" fontId="64" fillId="0" borderId="0" xfId="45" applyNumberFormat="1" applyFont="1" applyFill="1" applyBorder="1" applyAlignment="1">
      <alignment horizontal="centerContinuous"/>
    </xf>
    <xf numFmtId="166" fontId="69" fillId="0" borderId="0" xfId="45" applyNumberFormat="1" applyFont="1" applyFill="1" applyBorder="1" applyAlignment="1">
      <alignment/>
    </xf>
    <xf numFmtId="166" fontId="70" fillId="0" borderId="0" xfId="45" applyNumberFormat="1" applyFont="1" applyFill="1" applyBorder="1" applyAlignment="1">
      <alignment/>
    </xf>
    <xf numFmtId="0" fontId="71" fillId="0" borderId="0" xfId="0" applyFont="1" applyFill="1" applyBorder="1" applyAlignment="1">
      <alignment/>
    </xf>
    <xf numFmtId="0" fontId="2" fillId="0" borderId="0" xfId="0" applyFont="1" applyFill="1" applyAlignment="1">
      <alignment horizontal="right"/>
    </xf>
    <xf numFmtId="0" fontId="2" fillId="0" borderId="10" xfId="0" applyFont="1" applyFill="1" applyBorder="1" applyAlignment="1">
      <alignment horizontal="center" wrapText="1"/>
    </xf>
    <xf numFmtId="165" fontId="3" fillId="0" borderId="0" xfId="47" applyNumberFormat="1" applyFont="1" applyFill="1" applyAlignment="1">
      <alignment/>
    </xf>
    <xf numFmtId="166" fontId="3" fillId="0" borderId="0" xfId="46" applyNumberFormat="1" applyFont="1" applyFill="1" applyAlignment="1">
      <alignment/>
    </xf>
    <xf numFmtId="0" fontId="3" fillId="0" borderId="0" xfId="0" applyFont="1" applyFill="1" applyAlignment="1">
      <alignment horizontal="left" indent="1"/>
    </xf>
    <xf numFmtId="166" fontId="3" fillId="0" borderId="10" xfId="46" applyNumberFormat="1" applyFont="1" applyFill="1" applyBorder="1" applyAlignment="1">
      <alignment/>
    </xf>
    <xf numFmtId="0" fontId="3" fillId="0" borderId="0" xfId="0" applyFont="1" applyFill="1" applyAlignment="1">
      <alignment horizontal="left" indent="2"/>
    </xf>
    <xf numFmtId="0" fontId="3" fillId="0" borderId="0" xfId="0" applyFont="1" applyFill="1" applyAlignment="1">
      <alignment horizontal="left" indent="3"/>
    </xf>
    <xf numFmtId="166" fontId="3" fillId="0" borderId="14" xfId="46" applyNumberFormat="1" applyFont="1" applyFill="1" applyBorder="1" applyAlignment="1">
      <alignment/>
    </xf>
    <xf numFmtId="166" fontId="3" fillId="0" borderId="0" xfId="46" applyNumberFormat="1" applyFont="1" applyFill="1" applyBorder="1" applyAlignment="1">
      <alignment/>
    </xf>
    <xf numFmtId="166" fontId="3" fillId="0" borderId="0" xfId="0" applyNumberFormat="1" applyFont="1" applyFill="1" applyAlignment="1">
      <alignment/>
    </xf>
    <xf numFmtId="165" fontId="3" fillId="0" borderId="0" xfId="0" applyNumberFormat="1" applyFont="1" applyFill="1" applyAlignment="1">
      <alignment/>
    </xf>
    <xf numFmtId="167" fontId="3" fillId="0" borderId="0" xfId="0" applyNumberFormat="1" applyFont="1" applyFill="1" applyAlignment="1">
      <alignment/>
    </xf>
    <xf numFmtId="165" fontId="3" fillId="0" borderId="16" xfId="47" applyNumberFormat="1" applyFont="1" applyFill="1" applyBorder="1" applyAlignment="1">
      <alignment/>
    </xf>
    <xf numFmtId="0" fontId="3" fillId="0" borderId="0" xfId="0" applyFont="1" applyFill="1" applyBorder="1" applyAlignment="1">
      <alignment wrapText="1"/>
    </xf>
    <xf numFmtId="0" fontId="2" fillId="0" borderId="10" xfId="0" applyFont="1" applyFill="1" applyBorder="1" applyAlignment="1">
      <alignment horizontal="center"/>
    </xf>
    <xf numFmtId="0" fontId="2" fillId="0" borderId="10" xfId="0" applyFont="1" applyFill="1" applyBorder="1" applyAlignment="1">
      <alignment horizontal="left"/>
    </xf>
    <xf numFmtId="42" fontId="3" fillId="0" borderId="0" xfId="46" applyNumberFormat="1" applyFont="1" applyFill="1" applyAlignment="1">
      <alignment/>
    </xf>
    <xf numFmtId="165" fontId="3" fillId="0" borderId="0" xfId="46" applyNumberFormat="1" applyFont="1" applyFill="1" applyAlignment="1">
      <alignment/>
    </xf>
    <xf numFmtId="44" fontId="3" fillId="0" borderId="0" xfId="0" applyNumberFormat="1" applyFont="1" applyFill="1" applyAlignment="1">
      <alignment/>
    </xf>
    <xf numFmtId="165" fontId="3" fillId="0" borderId="17" xfId="47" applyNumberFormat="1" applyFont="1" applyFill="1" applyBorder="1" applyAlignment="1">
      <alignment/>
    </xf>
    <xf numFmtId="0" fontId="3" fillId="0" borderId="0" xfId="0" applyFont="1" applyFill="1" applyAlignment="1">
      <alignment horizontal="left"/>
    </xf>
    <xf numFmtId="0" fontId="3" fillId="0" borderId="0" xfId="0" applyFont="1" applyFill="1" applyAlignment="1" quotePrefix="1">
      <alignment/>
    </xf>
    <xf numFmtId="0" fontId="2" fillId="0" borderId="0" xfId="0" applyFont="1" applyFill="1" applyAlignment="1">
      <alignment/>
    </xf>
    <xf numFmtId="165" fontId="2" fillId="0" borderId="0" xfId="0" applyNumberFormat="1" applyFont="1" applyFill="1" applyAlignment="1">
      <alignment/>
    </xf>
    <xf numFmtId="165" fontId="2" fillId="0" borderId="0" xfId="0" applyNumberFormat="1" applyFont="1" applyFill="1" applyAlignment="1">
      <alignment/>
    </xf>
    <xf numFmtId="165" fontId="3" fillId="0" borderId="0" xfId="0" applyNumberFormat="1" applyFont="1" applyFill="1" applyAlignment="1">
      <alignment wrapText="1"/>
    </xf>
    <xf numFmtId="0" fontId="3" fillId="0" borderId="0" xfId="0" applyFont="1" applyFill="1" applyAlignment="1">
      <alignment horizontal="right"/>
    </xf>
    <xf numFmtId="0" fontId="2" fillId="0" borderId="0" xfId="0" applyFont="1" applyFill="1" applyAlignment="1" quotePrefix="1">
      <alignment horizontal="center"/>
    </xf>
    <xf numFmtId="0" fontId="2" fillId="0" borderId="12" xfId="0" applyFont="1" applyFill="1" applyBorder="1" applyAlignment="1">
      <alignment horizontal="centerContinuous"/>
    </xf>
    <xf numFmtId="0" fontId="2" fillId="0" borderId="14" xfId="0" applyFont="1" applyFill="1" applyBorder="1" applyAlignment="1">
      <alignment horizontal="centerContinuous"/>
    </xf>
    <xf numFmtId="0" fontId="2" fillId="0" borderId="18" xfId="0" applyFont="1" applyFill="1" applyBorder="1" applyAlignment="1">
      <alignment horizontal="centerContinuous"/>
    </xf>
    <xf numFmtId="0" fontId="2" fillId="0" borderId="13" xfId="0" applyFont="1" applyFill="1" applyBorder="1" applyAlignment="1">
      <alignment horizontal="center"/>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169" fontId="3" fillId="0" borderId="0" xfId="0" applyNumberFormat="1" applyFont="1" applyFill="1" applyAlignment="1">
      <alignment/>
    </xf>
    <xf numFmtId="165" fontId="3" fillId="0" borderId="0" xfId="0" applyNumberFormat="1" applyFont="1" applyFill="1" applyBorder="1" applyAlignment="1">
      <alignment/>
    </xf>
    <xf numFmtId="0" fontId="6" fillId="0" borderId="0" xfId="0" applyFont="1" applyFill="1" applyAlignment="1">
      <alignment/>
    </xf>
    <xf numFmtId="166" fontId="3" fillId="0" borderId="0" xfId="47" applyNumberFormat="1" applyFont="1" applyFill="1" applyBorder="1" applyAlignment="1">
      <alignment/>
    </xf>
    <xf numFmtId="165" fontId="6" fillId="0" borderId="0" xfId="0" applyNumberFormat="1" applyFont="1" applyFill="1" applyAlignment="1">
      <alignment/>
    </xf>
    <xf numFmtId="170" fontId="3" fillId="0" borderId="0" xfId="46" applyNumberFormat="1" applyFont="1" applyFill="1" applyAlignment="1">
      <alignment/>
    </xf>
    <xf numFmtId="166" fontId="3" fillId="0" borderId="0" xfId="46" applyNumberFormat="1" applyFont="1" applyFill="1" applyAlignment="1">
      <alignment vertical="center"/>
    </xf>
    <xf numFmtId="0" fontId="3" fillId="0" borderId="0" xfId="0" applyFont="1" applyFill="1" applyAlignment="1">
      <alignment horizontal="left" wrapText="1" indent="3"/>
    </xf>
    <xf numFmtId="0" fontId="2" fillId="0" borderId="0" xfId="0" applyFont="1" applyFill="1" applyAlignment="1">
      <alignment horizontal="right" wrapText="1"/>
    </xf>
    <xf numFmtId="0" fontId="3" fillId="0" borderId="0" xfId="0" applyFont="1" applyFill="1" applyAlignment="1">
      <alignment vertical="top" wrapText="1"/>
    </xf>
    <xf numFmtId="42" fontId="3" fillId="0" borderId="21" xfId="0" applyNumberFormat="1" applyFont="1" applyFill="1" applyBorder="1" applyAlignment="1">
      <alignment/>
    </xf>
    <xf numFmtId="0" fontId="3" fillId="0" borderId="0" xfId="0" applyFont="1" applyFill="1" applyAlignment="1">
      <alignment horizontal="centerContinuous"/>
    </xf>
    <xf numFmtId="0" fontId="2" fillId="0" borderId="10" xfId="0" applyFont="1" applyFill="1" applyBorder="1" applyAlignment="1">
      <alignment horizontal="centerContinuous"/>
    </xf>
    <xf numFmtId="0" fontId="3" fillId="0" borderId="10" xfId="0" applyFont="1" applyFill="1" applyBorder="1" applyAlignment="1">
      <alignment horizontal="centerContinuous"/>
    </xf>
    <xf numFmtId="0" fontId="3" fillId="0" borderId="10" xfId="0" applyFont="1" applyFill="1" applyBorder="1" applyAlignment="1">
      <alignment horizontal="center"/>
    </xf>
    <xf numFmtId="0" fontId="3" fillId="0" borderId="14" xfId="0" applyFont="1" applyFill="1" applyBorder="1" applyAlignment="1">
      <alignment horizontal="center" wrapText="1"/>
    </xf>
    <xf numFmtId="165" fontId="3" fillId="0" borderId="0" xfId="46" applyNumberFormat="1" applyFont="1" applyFill="1" applyAlignment="1" applyProtection="1">
      <alignment/>
      <protection/>
    </xf>
    <xf numFmtId="166" fontId="3" fillId="0" borderId="0" xfId="46" applyNumberFormat="1" applyFont="1" applyFill="1" applyAlignment="1" applyProtection="1">
      <alignment/>
      <protection/>
    </xf>
    <xf numFmtId="166" fontId="3" fillId="0" borderId="10" xfId="46" applyNumberFormat="1" applyFont="1" applyFill="1" applyBorder="1" applyAlignment="1" applyProtection="1">
      <alignment/>
      <protection/>
    </xf>
    <xf numFmtId="166" fontId="3" fillId="0" borderId="22" xfId="46" applyNumberFormat="1" applyFont="1" applyFill="1" applyBorder="1" applyAlignment="1" applyProtection="1">
      <alignment/>
      <protection/>
    </xf>
    <xf numFmtId="0" fontId="6" fillId="0" borderId="0" xfId="0" applyFont="1" applyFill="1" applyAlignment="1">
      <alignment/>
    </xf>
    <xf numFmtId="166" fontId="3" fillId="0" borderId="22" xfId="46" applyNumberFormat="1" applyFont="1" applyFill="1" applyBorder="1" applyAlignment="1" applyProtection="1">
      <alignment horizontal="right"/>
      <protection/>
    </xf>
    <xf numFmtId="165" fontId="3" fillId="0" borderId="21" xfId="47" applyNumberFormat="1" applyFont="1" applyFill="1" applyBorder="1" applyAlignment="1" applyProtection="1">
      <alignment/>
      <protection/>
    </xf>
    <xf numFmtId="166" fontId="3" fillId="0" borderId="0" xfId="46" applyNumberFormat="1" applyFont="1" applyFill="1" applyBorder="1" applyAlignment="1" applyProtection="1">
      <alignment/>
      <protection/>
    </xf>
    <xf numFmtId="166" fontId="3" fillId="0" borderId="10" xfId="0" applyNumberFormat="1" applyFont="1" applyFill="1" applyBorder="1" applyAlignment="1">
      <alignment/>
    </xf>
    <xf numFmtId="165" fontId="3" fillId="0" borderId="23" xfId="46" applyNumberFormat="1" applyFont="1" applyFill="1" applyBorder="1" applyAlignment="1" applyProtection="1">
      <alignment/>
      <protection/>
    </xf>
    <xf numFmtId="0" fontId="2" fillId="0" borderId="0" xfId="0" applyFont="1" applyFill="1" applyBorder="1" applyAlignment="1">
      <alignment horizontal="center" wrapText="1"/>
    </xf>
    <xf numFmtId="165" fontId="3" fillId="0" borderId="0" xfId="47" applyNumberFormat="1" applyFont="1" applyFill="1" applyBorder="1" applyAlignment="1">
      <alignment/>
    </xf>
    <xf numFmtId="0" fontId="3" fillId="0" borderId="0" xfId="0" applyFont="1" applyFill="1" applyAlignment="1">
      <alignment horizontal="left" wrapText="1" indent="4"/>
    </xf>
    <xf numFmtId="0" fontId="3" fillId="0" borderId="0" xfId="0" applyFont="1" applyFill="1" applyAlignment="1">
      <alignment horizontal="left" wrapText="1" indent="5"/>
    </xf>
    <xf numFmtId="165" fontId="3" fillId="0" borderId="21" xfId="46" applyNumberFormat="1" applyFont="1" applyFill="1" applyBorder="1" applyAlignment="1">
      <alignment/>
    </xf>
    <xf numFmtId="165" fontId="3" fillId="0" borderId="0" xfId="46" applyNumberFormat="1" applyFont="1" applyFill="1" applyBorder="1" applyAlignment="1">
      <alignment/>
    </xf>
    <xf numFmtId="41" fontId="3" fillId="0" borderId="0" xfId="46" applyNumberFormat="1" applyFont="1" applyFill="1" applyBorder="1" applyAlignment="1">
      <alignment/>
    </xf>
    <xf numFmtId="15" fontId="2" fillId="0" borderId="0" xfId="0" applyNumberFormat="1" applyFont="1" applyFill="1" applyAlignment="1">
      <alignment horizontal="centerContinuous"/>
    </xf>
    <xf numFmtId="0" fontId="62" fillId="0" borderId="10" xfId="0" applyFont="1" applyBorder="1" applyAlignment="1">
      <alignment horizontal="center"/>
    </xf>
    <xf numFmtId="0" fontId="63" fillId="0" borderId="0" xfId="0" applyFont="1" applyBorder="1" applyAlignment="1">
      <alignment/>
    </xf>
    <xf numFmtId="171" fontId="63" fillId="0" borderId="0" xfId="63" applyNumberFormat="1" applyFont="1" applyBorder="1" applyAlignment="1">
      <alignment/>
    </xf>
    <xf numFmtId="165" fontId="63" fillId="0" borderId="0" xfId="47" applyNumberFormat="1" applyFont="1" applyAlignment="1">
      <alignment/>
    </xf>
    <xf numFmtId="165" fontId="63" fillId="0" borderId="0" xfId="47" applyNumberFormat="1" applyFont="1" applyFill="1" applyBorder="1" applyAlignment="1">
      <alignment/>
    </xf>
    <xf numFmtId="44" fontId="3" fillId="0" borderId="0" xfId="0" applyNumberFormat="1" applyFont="1" applyAlignment="1">
      <alignment/>
    </xf>
    <xf numFmtId="0" fontId="63" fillId="0" borderId="0" xfId="0" applyFont="1" applyFill="1" applyBorder="1" applyAlignment="1">
      <alignment/>
    </xf>
    <xf numFmtId="0" fontId="63" fillId="0" borderId="0" xfId="0" applyFont="1" applyAlignment="1">
      <alignment wrapText="1"/>
    </xf>
    <xf numFmtId="10" fontId="63" fillId="0" borderId="0" xfId="63" applyNumberFormat="1" applyFont="1" applyAlignment="1">
      <alignment wrapText="1"/>
    </xf>
    <xf numFmtId="0" fontId="63" fillId="0" borderId="0" xfId="0" applyFont="1" applyFill="1" applyBorder="1" applyAlignment="1">
      <alignment wrapText="1"/>
    </xf>
    <xf numFmtId="0" fontId="63" fillId="0" borderId="0" xfId="0" applyFont="1" applyAlignment="1">
      <alignment/>
    </xf>
    <xf numFmtId="0" fontId="2" fillId="0" borderId="0" xfId="0" applyFont="1" applyFill="1" applyBorder="1" applyAlignment="1">
      <alignment vertical="top"/>
    </xf>
    <xf numFmtId="0" fontId="3" fillId="0" borderId="0" xfId="0" applyFont="1" applyFill="1" applyBorder="1" applyAlignment="1">
      <alignment vertical="top" wrapText="1"/>
    </xf>
    <xf numFmtId="0" fontId="2" fillId="0" borderId="0" xfId="0" applyFont="1" applyFill="1" applyBorder="1" applyAlignment="1">
      <alignment horizontal="left" vertical="top"/>
    </xf>
    <xf numFmtId="165" fontId="63" fillId="0" borderId="0" xfId="47" applyNumberFormat="1" applyFont="1" applyBorder="1" applyAlignment="1">
      <alignment/>
    </xf>
    <xf numFmtId="0" fontId="63" fillId="0" borderId="0" xfId="0" applyFont="1" applyAlignment="1">
      <alignment vertical="top" wrapText="1"/>
    </xf>
    <xf numFmtId="166" fontId="63" fillId="0" borderId="10" xfId="46" applyNumberFormat="1" applyFont="1" applyBorder="1" applyAlignment="1">
      <alignment vertical="center"/>
    </xf>
    <xf numFmtId="166" fontId="63" fillId="0" borderId="0" xfId="46" applyNumberFormat="1" applyFont="1" applyBorder="1" applyAlignment="1">
      <alignment vertical="center"/>
    </xf>
    <xf numFmtId="0" fontId="3" fillId="0" borderId="0" xfId="0" applyFont="1" applyAlignment="1">
      <alignment vertical="center"/>
    </xf>
    <xf numFmtId="165" fontId="63" fillId="0" borderId="16" xfId="47" applyNumberFormat="1" applyFont="1" applyBorder="1" applyAlignment="1">
      <alignment/>
    </xf>
    <xf numFmtId="10" fontId="63" fillId="0" borderId="0" xfId="63" applyNumberFormat="1" applyFont="1" applyAlignment="1">
      <alignment vertical="center"/>
    </xf>
    <xf numFmtId="10" fontId="63" fillId="0" borderId="0" xfId="63" applyNumberFormat="1" applyFont="1" applyBorder="1" applyAlignment="1">
      <alignment vertical="center"/>
    </xf>
    <xf numFmtId="0" fontId="3" fillId="0" borderId="0" xfId="0" applyFont="1" applyFill="1" applyBorder="1" applyAlignment="1">
      <alignment vertical="top"/>
    </xf>
    <xf numFmtId="0" fontId="3" fillId="0" borderId="0" xfId="0" applyFont="1" applyBorder="1" applyAlignment="1">
      <alignment/>
    </xf>
    <xf numFmtId="0" fontId="3" fillId="0" borderId="0" xfId="0" applyFont="1" applyFill="1" applyBorder="1" applyAlignment="1">
      <alignment/>
    </xf>
    <xf numFmtId="165" fontId="3" fillId="0" borderId="16" xfId="0" applyNumberFormat="1" applyFont="1" applyBorder="1" applyAlignment="1">
      <alignment/>
    </xf>
    <xf numFmtId="165" fontId="3" fillId="0" borderId="0" xfId="0" applyNumberFormat="1" applyFont="1" applyBorder="1" applyAlignment="1">
      <alignment/>
    </xf>
    <xf numFmtId="10" fontId="3" fillId="0" borderId="0" xfId="0" applyNumberFormat="1" applyFont="1" applyAlignment="1">
      <alignment/>
    </xf>
    <xf numFmtId="172" fontId="3" fillId="0" borderId="0" xfId="0" applyNumberFormat="1" applyFont="1" applyAlignment="1">
      <alignment horizontal="right"/>
    </xf>
    <xf numFmtId="165" fontId="3" fillId="0" borderId="0" xfId="0" applyNumberFormat="1" applyFont="1" applyAlignment="1">
      <alignment/>
    </xf>
    <xf numFmtId="166" fontId="63" fillId="0" borderId="10" xfId="46" applyNumberFormat="1" applyFont="1" applyBorder="1" applyAlignment="1">
      <alignment horizontal="right" vertical="center"/>
    </xf>
    <xf numFmtId="165" fontId="3" fillId="0" borderId="16" xfId="0" applyNumberFormat="1" applyFont="1" applyBorder="1" applyAlignment="1">
      <alignment horizontal="right"/>
    </xf>
    <xf numFmtId="0" fontId="3" fillId="0" borderId="0" xfId="0" applyFont="1" applyAlignment="1">
      <alignment horizontal="right"/>
    </xf>
    <xf numFmtId="166" fontId="2" fillId="0" borderId="0" xfId="46" applyNumberFormat="1" applyFont="1" applyFill="1" applyAlignment="1">
      <alignment horizontal="centerContinuous"/>
    </xf>
    <xf numFmtId="166" fontId="2" fillId="0" borderId="0" xfId="46" applyNumberFormat="1" applyFont="1" applyFill="1" applyAlignment="1">
      <alignment/>
    </xf>
    <xf numFmtId="166" fontId="3" fillId="0" borderId="24" xfId="46" applyNumberFormat="1" applyFont="1" applyFill="1" applyBorder="1" applyAlignment="1">
      <alignment horizontal="centerContinuous"/>
    </xf>
    <xf numFmtId="166" fontId="11" fillId="0" borderId="0" xfId="46" applyNumberFormat="1" applyFont="1" applyFill="1" applyAlignment="1">
      <alignment horizontal="centerContinuous"/>
    </xf>
    <xf numFmtId="0" fontId="3" fillId="0" borderId="0" xfId="0" applyFont="1" applyFill="1" applyAlignment="1">
      <alignment horizontal="center"/>
    </xf>
    <xf numFmtId="166" fontId="13" fillId="0" borderId="0" xfId="56" applyNumberFormat="1" applyFont="1" applyFill="1" applyAlignment="1" applyProtection="1">
      <alignment/>
      <protection/>
    </xf>
    <xf numFmtId="166" fontId="3" fillId="0" borderId="0" xfId="46" applyNumberFormat="1" applyFont="1" applyFill="1" applyAlignment="1">
      <alignment horizontal="center"/>
    </xf>
    <xf numFmtId="166" fontId="3" fillId="0" borderId="10" xfId="46" applyNumberFormat="1" applyFont="1" applyFill="1" applyBorder="1" applyAlignment="1">
      <alignment horizontal="center"/>
    </xf>
    <xf numFmtId="166" fontId="11" fillId="0" borderId="10" xfId="46" applyNumberFormat="1" applyFont="1" applyFill="1" applyBorder="1" applyAlignment="1">
      <alignment horizontal="centerContinuous"/>
    </xf>
    <xf numFmtId="166" fontId="3" fillId="0" borderId="0" xfId="46" applyNumberFormat="1" applyFont="1" applyFill="1" applyBorder="1" applyAlignment="1">
      <alignment horizontal="center"/>
    </xf>
    <xf numFmtId="166" fontId="11" fillId="0" borderId="0" xfId="46" applyNumberFormat="1" applyFont="1" applyFill="1" applyBorder="1" applyAlignment="1">
      <alignment horizontal="centerContinuous"/>
    </xf>
    <xf numFmtId="165" fontId="3" fillId="0" borderId="10" xfId="46" applyNumberFormat="1" applyFont="1" applyFill="1" applyBorder="1" applyAlignment="1">
      <alignment/>
    </xf>
    <xf numFmtId="41" fontId="3" fillId="0" borderId="0" xfId="44" applyFont="1" applyFill="1" applyAlignment="1">
      <alignment/>
    </xf>
    <xf numFmtId="41" fontId="3" fillId="0" borderId="10" xfId="44" applyFont="1" applyFill="1" applyBorder="1" applyAlignment="1">
      <alignment/>
    </xf>
    <xf numFmtId="41" fontId="3" fillId="0" borderId="0" xfId="44" applyFont="1" applyFill="1" applyBorder="1" applyAlignment="1">
      <alignment/>
    </xf>
    <xf numFmtId="166" fontId="8" fillId="0" borderId="0" xfId="46" applyNumberFormat="1" applyFont="1" applyFill="1" applyAlignment="1">
      <alignment/>
    </xf>
    <xf numFmtId="166" fontId="8" fillId="0" borderId="14" xfId="46" applyNumberFormat="1" applyFont="1" applyFill="1" applyBorder="1" applyAlignment="1">
      <alignment/>
    </xf>
    <xf numFmtId="166" fontId="8" fillId="0" borderId="10" xfId="46" applyNumberFormat="1" applyFont="1" applyFill="1" applyBorder="1" applyAlignment="1">
      <alignment/>
    </xf>
    <xf numFmtId="166" fontId="3" fillId="0" borderId="0" xfId="46" applyNumberFormat="1" applyFont="1" applyFill="1" applyBorder="1" applyAlignment="1">
      <alignment horizontal="right"/>
    </xf>
    <xf numFmtId="166" fontId="3" fillId="0" borderId="0" xfId="46" applyNumberFormat="1" applyFont="1" applyFill="1" applyAlignment="1" quotePrefix="1">
      <alignment/>
    </xf>
    <xf numFmtId="166" fontId="8" fillId="0" borderId="0" xfId="46" applyNumberFormat="1" applyFont="1" applyFill="1" applyBorder="1" applyAlignment="1">
      <alignment/>
    </xf>
    <xf numFmtId="166" fontId="3" fillId="0" borderId="17" xfId="46" applyNumberFormat="1" applyFont="1" applyFill="1" applyBorder="1" applyAlignment="1">
      <alignment/>
    </xf>
    <xf numFmtId="166" fontId="14" fillId="0" borderId="0" xfId="46" applyNumberFormat="1" applyFont="1" applyFill="1" applyAlignment="1">
      <alignment/>
    </xf>
    <xf numFmtId="43" fontId="3" fillId="0" borderId="0" xfId="46" applyNumberFormat="1" applyFont="1" applyFill="1" applyAlignment="1">
      <alignment/>
    </xf>
    <xf numFmtId="49" fontId="3" fillId="0" borderId="0" xfId="46" applyNumberFormat="1" applyFont="1" applyFill="1" applyAlignment="1">
      <alignment/>
    </xf>
    <xf numFmtId="0" fontId="5" fillId="0" borderId="0" xfId="0" applyFont="1" applyFill="1" applyAlignment="1">
      <alignment horizontal="centerContinuous"/>
    </xf>
    <xf numFmtId="0" fontId="15" fillId="0" borderId="0" xfId="0" applyFont="1" applyFill="1" applyAlignment="1">
      <alignment horizontal="centerContinuous"/>
    </xf>
    <xf numFmtId="0" fontId="4" fillId="0" borderId="0" xfId="0" applyFont="1" applyFill="1" applyAlignment="1">
      <alignment horizontal="centerContinuous"/>
    </xf>
    <xf numFmtId="173" fontId="5" fillId="0" borderId="0" xfId="0" applyNumberFormat="1" applyFont="1" applyFill="1" applyAlignment="1">
      <alignment horizontal="centerContinuous"/>
    </xf>
    <xf numFmtId="15" fontId="15" fillId="0" borderId="0" xfId="0" applyNumberFormat="1" applyFont="1" applyFill="1" applyAlignment="1">
      <alignment horizontal="centerContinuous"/>
    </xf>
    <xf numFmtId="15" fontId="15" fillId="0" borderId="0" xfId="0" applyNumberFormat="1" applyFont="1" applyFill="1" applyBorder="1" applyAlignment="1">
      <alignment horizontal="centerContinuous"/>
    </xf>
    <xf numFmtId="0" fontId="15" fillId="0" borderId="0" xfId="0" applyFont="1" applyFill="1" applyBorder="1" applyAlignment="1">
      <alignment horizontal="centerContinuous"/>
    </xf>
    <xf numFmtId="0" fontId="3" fillId="0" borderId="0" xfId="0" applyFont="1" applyAlignment="1">
      <alignment vertical="top" wrapText="1" readingOrder="1"/>
    </xf>
    <xf numFmtId="0" fontId="5" fillId="0" borderId="0" xfId="0" applyFont="1" applyFill="1" applyBorder="1" applyAlignment="1">
      <alignment/>
    </xf>
    <xf numFmtId="37" fontId="5" fillId="0" borderId="0" xfId="0" applyNumberFormat="1" applyFont="1" applyFill="1" applyBorder="1" applyAlignment="1" applyProtection="1">
      <alignment/>
      <protection/>
    </xf>
    <xf numFmtId="166" fontId="5" fillId="0" borderId="0" xfId="46" applyNumberFormat="1" applyFont="1" applyFill="1" applyBorder="1" applyAlignment="1" applyProtection="1">
      <alignment/>
      <protection/>
    </xf>
    <xf numFmtId="0" fontId="5" fillId="0" borderId="0" xfId="0" applyFont="1" applyFill="1" applyBorder="1" applyAlignment="1">
      <alignment horizontal="left"/>
    </xf>
    <xf numFmtId="37" fontId="5" fillId="0" borderId="0" xfId="0" applyNumberFormat="1" applyFont="1" applyFill="1" applyBorder="1" applyAlignment="1" applyProtection="1">
      <alignment horizontal="left"/>
      <protection/>
    </xf>
    <xf numFmtId="166" fontId="5" fillId="0" borderId="0" xfId="46" applyNumberFormat="1" applyFont="1" applyFill="1" applyBorder="1" applyAlignment="1" applyProtection="1">
      <alignment horizontal="left"/>
      <protection/>
    </xf>
    <xf numFmtId="0" fontId="5" fillId="0" borderId="0" xfId="0" applyFont="1" applyFill="1" applyBorder="1" applyAlignment="1">
      <alignment horizontal="left" indent="1"/>
    </xf>
    <xf numFmtId="166" fontId="5" fillId="0" borderId="0" xfId="46" applyNumberFormat="1" applyFont="1" applyFill="1" applyBorder="1" applyAlignment="1">
      <alignment/>
    </xf>
    <xf numFmtId="0" fontId="5" fillId="0" borderId="0" xfId="0" applyFont="1" applyFill="1" applyBorder="1" applyAlignment="1">
      <alignment horizontal="left" indent="2"/>
    </xf>
    <xf numFmtId="0" fontId="5" fillId="0" borderId="0" xfId="0" applyFont="1" applyFill="1" applyBorder="1" applyAlignment="1">
      <alignment horizontal="left" indent="3"/>
    </xf>
    <xf numFmtId="0" fontId="4" fillId="0" borderId="0" xfId="0" applyFont="1" applyFill="1" applyAlignment="1">
      <alignment/>
    </xf>
    <xf numFmtId="0" fontId="3" fillId="0" borderId="0" xfId="0" applyFont="1" applyFill="1" applyBorder="1" applyAlignment="1">
      <alignment horizontal="center"/>
    </xf>
    <xf numFmtId="0" fontId="3" fillId="0" borderId="22" xfId="0" applyFont="1" applyFill="1" applyBorder="1" applyAlignment="1">
      <alignment horizontal="center"/>
    </xf>
    <xf numFmtId="166" fontId="3" fillId="0" borderId="0" xfId="46" applyNumberFormat="1" applyFont="1" applyFill="1" applyAlignment="1">
      <alignment horizontal="left"/>
    </xf>
    <xf numFmtId="165" fontId="3" fillId="0" borderId="10" xfId="47" applyNumberFormat="1" applyFont="1" applyFill="1" applyBorder="1" applyAlignment="1">
      <alignment/>
    </xf>
    <xf numFmtId="165" fontId="3" fillId="0" borderId="10" xfId="47" applyNumberFormat="1" applyFont="1" applyFill="1" applyBorder="1" applyAlignment="1" applyProtection="1">
      <alignment/>
      <protection/>
    </xf>
    <xf numFmtId="165" fontId="3" fillId="0" borderId="0" xfId="47" applyNumberFormat="1" applyFont="1" applyFill="1" applyAlignment="1" applyProtection="1">
      <alignment/>
      <protection/>
    </xf>
    <xf numFmtId="37" fontId="3" fillId="0" borderId="0" xfId="0" applyNumberFormat="1" applyFont="1" applyFill="1" applyBorder="1" applyAlignment="1" applyProtection="1">
      <alignment/>
      <protection/>
    </xf>
    <xf numFmtId="41" fontId="3" fillId="0" borderId="0" xfId="46" applyNumberFormat="1" applyFont="1" applyFill="1" applyBorder="1" applyAlignment="1" applyProtection="1">
      <alignment/>
      <protection/>
    </xf>
    <xf numFmtId="37" fontId="3" fillId="0" borderId="0" xfId="0" applyNumberFormat="1" applyFont="1" applyFill="1" applyAlignment="1" applyProtection="1">
      <alignment/>
      <protection/>
    </xf>
    <xf numFmtId="43" fontId="3" fillId="0" borderId="0" xfId="46" applyFont="1" applyFill="1" applyBorder="1" applyAlignment="1" applyProtection="1">
      <alignment/>
      <protection/>
    </xf>
    <xf numFmtId="43" fontId="3" fillId="0" borderId="0" xfId="46" applyFont="1" applyFill="1" applyBorder="1" applyAlignment="1">
      <alignment/>
    </xf>
    <xf numFmtId="37" fontId="3" fillId="0" borderId="10" xfId="0" applyNumberFormat="1" applyFont="1" applyFill="1" applyBorder="1" applyAlignment="1" applyProtection="1">
      <alignment/>
      <protection/>
    </xf>
    <xf numFmtId="44" fontId="3" fillId="0" borderId="21" xfId="46" applyNumberFormat="1" applyFont="1" applyFill="1" applyBorder="1" applyAlignment="1" applyProtection="1">
      <alignment/>
      <protection/>
    </xf>
    <xf numFmtId="166" fontId="3" fillId="0" borderId="0" xfId="46" applyNumberFormat="1" applyFont="1" applyFill="1" applyBorder="1" applyAlignment="1">
      <alignment horizontal="left"/>
    </xf>
    <xf numFmtId="44" fontId="3" fillId="0" borderId="21" xfId="46" applyNumberFormat="1" applyFont="1" applyFill="1" applyBorder="1" applyAlignment="1">
      <alignment/>
    </xf>
    <xf numFmtId="43" fontId="3" fillId="0" borderId="10" xfId="46" applyFont="1" applyFill="1" applyBorder="1" applyAlignment="1" applyProtection="1">
      <alignment/>
      <protection/>
    </xf>
    <xf numFmtId="0" fontId="3" fillId="0" borderId="0" xfId="46" applyNumberFormat="1" applyFont="1" applyFill="1" applyBorder="1" applyAlignment="1">
      <alignment horizontal="centerContinuous"/>
    </xf>
    <xf numFmtId="166" fontId="3" fillId="0" borderId="0" xfId="46" applyNumberFormat="1" applyFont="1" applyFill="1" applyBorder="1" applyAlignment="1">
      <alignment horizontal="centerContinuous"/>
    </xf>
    <xf numFmtId="166" fontId="3" fillId="0" borderId="0" xfId="46" applyNumberFormat="1" applyFont="1" applyFill="1" applyAlignment="1">
      <alignment/>
    </xf>
    <xf numFmtId="44" fontId="3" fillId="0" borderId="21" xfId="47" applyFont="1" applyFill="1" applyBorder="1" applyAlignment="1">
      <alignment/>
    </xf>
    <xf numFmtId="165" fontId="3" fillId="0" borderId="21" xfId="47" applyNumberFormat="1" applyFont="1" applyFill="1" applyBorder="1" applyAlignment="1">
      <alignment/>
    </xf>
    <xf numFmtId="0" fontId="2" fillId="0" borderId="0" xfId="60" applyFont="1" applyFill="1" applyAlignment="1">
      <alignment horizontal="centerContinuous"/>
      <protection/>
    </xf>
    <xf numFmtId="0" fontId="2" fillId="0" borderId="0" xfId="60" applyFont="1" applyFill="1">
      <alignment/>
      <protection/>
    </xf>
    <xf numFmtId="0" fontId="3" fillId="0" borderId="24" xfId="60" applyFont="1" applyFill="1" applyBorder="1" applyAlignment="1">
      <alignment horizontal="centerContinuous"/>
      <protection/>
    </xf>
    <xf numFmtId="0" fontId="3" fillId="0" borderId="0" xfId="60" applyFont="1" applyFill="1">
      <alignment/>
      <protection/>
    </xf>
    <xf numFmtId="0" fontId="3" fillId="0" borderId="0" xfId="60" applyFont="1" applyFill="1" applyAlignment="1">
      <alignment horizontal="center"/>
      <protection/>
    </xf>
    <xf numFmtId="0" fontId="3" fillId="0" borderId="10" xfId="60" applyFont="1" applyFill="1" applyBorder="1" applyAlignment="1">
      <alignment horizontal="center"/>
      <protection/>
    </xf>
    <xf numFmtId="165" fontId="3" fillId="0" borderId="10" xfId="49" applyNumberFormat="1" applyFont="1" applyFill="1" applyBorder="1" applyAlignment="1">
      <alignment/>
    </xf>
    <xf numFmtId="165" fontId="3" fillId="0" borderId="0" xfId="49" applyNumberFormat="1" applyFont="1" applyFill="1" applyBorder="1" applyAlignment="1">
      <alignment/>
    </xf>
    <xf numFmtId="0" fontId="3" fillId="0" borderId="0" xfId="60" applyFont="1" applyFill="1" applyAlignment="1" quotePrefix="1">
      <alignment horizontal="left"/>
      <protection/>
    </xf>
    <xf numFmtId="166" fontId="3" fillId="0" borderId="10" xfId="45" applyNumberFormat="1" applyFont="1" applyFill="1" applyBorder="1" applyAlignment="1">
      <alignment/>
    </xf>
    <xf numFmtId="166" fontId="3" fillId="0" borderId="14" xfId="45" applyNumberFormat="1" applyFont="1" applyFill="1" applyBorder="1" applyAlignment="1">
      <alignment/>
    </xf>
    <xf numFmtId="165" fontId="3" fillId="0" borderId="21" xfId="49" applyNumberFormat="1" applyFont="1" applyFill="1" applyBorder="1" applyAlignment="1">
      <alignment/>
    </xf>
    <xf numFmtId="166" fontId="3" fillId="0" borderId="0" xfId="49" applyNumberFormat="1" applyFont="1" applyFill="1" applyBorder="1" applyAlignment="1">
      <alignment/>
    </xf>
    <xf numFmtId="165" fontId="3" fillId="0" borderId="0" xfId="49" applyNumberFormat="1" applyFont="1" applyFill="1" applyAlignment="1">
      <alignment/>
    </xf>
    <xf numFmtId="0" fontId="3" fillId="33" borderId="0" xfId="60" applyFont="1" applyFill="1">
      <alignment/>
      <protection/>
    </xf>
    <xf numFmtId="166" fontId="3" fillId="33" borderId="0" xfId="45" applyNumberFormat="1" applyFont="1" applyFill="1" applyAlignment="1">
      <alignment/>
    </xf>
    <xf numFmtId="43" fontId="3" fillId="33" borderId="0" xfId="45" applyNumberFormat="1" applyFont="1" applyFill="1" applyAlignment="1">
      <alignment/>
    </xf>
    <xf numFmtId="165" fontId="3" fillId="0" borderId="16" xfId="49" applyNumberFormat="1" applyFont="1" applyFill="1" applyBorder="1" applyAlignment="1">
      <alignment/>
    </xf>
    <xf numFmtId="165" fontId="3" fillId="0" borderId="0" xfId="60" applyNumberFormat="1" applyFont="1" applyFill="1">
      <alignment/>
      <protection/>
    </xf>
    <xf numFmtId="166" fontId="2" fillId="0" borderId="0" xfId="45" applyNumberFormat="1" applyFont="1" applyFill="1" applyAlignment="1">
      <alignment horizontal="centerContinuous"/>
    </xf>
    <xf numFmtId="166" fontId="2" fillId="0" borderId="0" xfId="45" applyNumberFormat="1" applyFont="1" applyFill="1" applyAlignment="1">
      <alignment/>
    </xf>
    <xf numFmtId="166" fontId="3" fillId="0" borderId="25" xfId="45" applyNumberFormat="1" applyFont="1" applyFill="1" applyBorder="1" applyAlignment="1">
      <alignment/>
    </xf>
    <xf numFmtId="166" fontId="3" fillId="0" borderId="0" xfId="45" applyNumberFormat="1" applyFont="1" applyFill="1" applyAlignment="1">
      <alignment horizontal="center"/>
    </xf>
    <xf numFmtId="166" fontId="3" fillId="0" borderId="0" xfId="45" applyNumberFormat="1" applyFont="1" applyFill="1" applyAlignment="1">
      <alignment horizontal="left"/>
    </xf>
    <xf numFmtId="166" fontId="3" fillId="0" borderId="22" xfId="45" applyNumberFormat="1" applyFont="1" applyFill="1" applyBorder="1" applyAlignment="1">
      <alignment horizontal="center"/>
    </xf>
    <xf numFmtId="166" fontId="3" fillId="0" borderId="22" xfId="45" applyNumberFormat="1" applyFont="1" applyFill="1" applyBorder="1" applyAlignment="1" applyProtection="1">
      <alignment/>
      <protection/>
    </xf>
    <xf numFmtId="166" fontId="3" fillId="0" borderId="0" xfId="45" applyNumberFormat="1" applyFont="1" applyFill="1" applyAlignment="1" applyProtection="1">
      <alignment/>
      <protection/>
    </xf>
    <xf numFmtId="166" fontId="3" fillId="0" borderId="0" xfId="45" applyNumberFormat="1" applyFont="1" applyFill="1" applyBorder="1" applyAlignment="1" applyProtection="1">
      <alignment horizontal="right"/>
      <protection/>
    </xf>
    <xf numFmtId="166" fontId="3" fillId="0" borderId="0" xfId="45" applyNumberFormat="1" applyFont="1" applyFill="1" applyAlignment="1" applyProtection="1">
      <alignment horizontal="right"/>
      <protection/>
    </xf>
    <xf numFmtId="166" fontId="3" fillId="0" borderId="10" xfId="45" applyNumberFormat="1" applyFont="1" applyFill="1" applyBorder="1" applyAlignment="1" applyProtection="1">
      <alignment horizontal="right"/>
      <protection/>
    </xf>
    <xf numFmtId="166" fontId="3" fillId="0" borderId="10" xfId="45" applyNumberFormat="1" applyFont="1" applyFill="1" applyBorder="1" applyAlignment="1" applyProtection="1">
      <alignment/>
      <protection/>
    </xf>
    <xf numFmtId="166" fontId="3" fillId="0" borderId="0" xfId="45" applyNumberFormat="1" applyFont="1" applyFill="1" applyBorder="1" applyAlignment="1" applyProtection="1">
      <alignment/>
      <protection/>
    </xf>
    <xf numFmtId="166" fontId="3" fillId="0" borderId="0" xfId="45" applyNumberFormat="1" applyFont="1" applyFill="1" applyAlignment="1" applyProtection="1">
      <alignment horizontal="left"/>
      <protection/>
    </xf>
    <xf numFmtId="166" fontId="3" fillId="33" borderId="0" xfId="45" applyNumberFormat="1" applyFont="1" applyFill="1" applyAlignment="1">
      <alignment horizontal="left"/>
    </xf>
    <xf numFmtId="165" fontId="3" fillId="0" borderId="16" xfId="49" applyNumberFormat="1" applyFont="1" applyFill="1" applyBorder="1" applyAlignment="1" applyProtection="1">
      <alignment/>
      <protection/>
    </xf>
    <xf numFmtId="165" fontId="3" fillId="0" borderId="0" xfId="49" applyNumberFormat="1" applyFont="1" applyFill="1" applyAlignment="1" applyProtection="1">
      <alignment/>
      <protection/>
    </xf>
    <xf numFmtId="37" fontId="19" fillId="0" borderId="0" xfId="0" applyNumberFormat="1" applyFont="1" applyFill="1" applyAlignment="1">
      <alignment/>
    </xf>
    <xf numFmtId="37" fontId="19" fillId="0" borderId="0" xfId="0" applyNumberFormat="1" applyFont="1" applyFill="1" applyAlignment="1" quotePrefix="1">
      <alignment horizontal="left"/>
    </xf>
    <xf numFmtId="37" fontId="19" fillId="0" borderId="0" xfId="0" applyNumberFormat="1" applyFont="1" applyFill="1" applyBorder="1" applyAlignment="1">
      <alignment horizontal="center"/>
    </xf>
    <xf numFmtId="37" fontId="19" fillId="0" borderId="10" xfId="0" applyNumberFormat="1" applyFont="1" applyFill="1" applyBorder="1" applyAlignment="1" quotePrefix="1">
      <alignment horizontal="center"/>
    </xf>
    <xf numFmtId="37" fontId="19" fillId="0" borderId="0" xfId="0" applyNumberFormat="1" applyFont="1" applyFill="1" applyAlignment="1" quotePrefix="1">
      <alignment horizontal="center"/>
    </xf>
    <xf numFmtId="37" fontId="20" fillId="0" borderId="0" xfId="0" applyNumberFormat="1" applyFont="1" applyFill="1" applyAlignment="1">
      <alignment horizontal="center"/>
    </xf>
    <xf numFmtId="37" fontId="20" fillId="0" borderId="0" xfId="0" applyNumberFormat="1" applyFont="1" applyFill="1" applyAlignment="1" quotePrefix="1">
      <alignment horizontal="center"/>
    </xf>
    <xf numFmtId="37" fontId="21" fillId="0" borderId="0" xfId="0" applyNumberFormat="1" applyFont="1" applyFill="1" applyAlignment="1" quotePrefix="1">
      <alignment horizontal="center"/>
    </xf>
    <xf numFmtId="37" fontId="19" fillId="0" borderId="0" xfId="0" applyNumberFormat="1" applyFont="1" applyFill="1" applyAlignment="1">
      <alignment horizontal="left" indent="1"/>
    </xf>
    <xf numFmtId="37" fontId="21" fillId="0" borderId="0" xfId="0" applyNumberFormat="1" applyFont="1" applyFill="1" applyAlignment="1">
      <alignment horizontal="center"/>
    </xf>
    <xf numFmtId="43" fontId="19" fillId="0" borderId="0" xfId="45" applyFont="1" applyFill="1" applyAlignment="1">
      <alignment/>
    </xf>
    <xf numFmtId="37" fontId="19" fillId="0" borderId="0" xfId="0" applyNumberFormat="1" applyFont="1" applyFill="1" applyAlignment="1">
      <alignment horizontal="left"/>
    </xf>
    <xf numFmtId="37" fontId="19" fillId="0" borderId="16" xfId="0" applyNumberFormat="1" applyFont="1" applyFill="1" applyBorder="1" applyAlignment="1">
      <alignment/>
    </xf>
    <xf numFmtId="37" fontId="19" fillId="0" borderId="21" xfId="0" applyNumberFormat="1" applyFont="1" applyFill="1" applyBorder="1" applyAlignment="1">
      <alignment/>
    </xf>
    <xf numFmtId="37" fontId="19" fillId="0" borderId="0" xfId="0" applyNumberFormat="1" applyFont="1" applyFill="1" applyAlignment="1" quotePrefix="1">
      <alignment horizontal="left" indent="1"/>
    </xf>
    <xf numFmtId="37" fontId="19" fillId="0" borderId="0" xfId="0" applyNumberFormat="1" applyFont="1" applyFill="1" applyAlignment="1">
      <alignment horizontal="left" indent="2"/>
    </xf>
    <xf numFmtId="0" fontId="0" fillId="0" borderId="0" xfId="0" applyFont="1" applyAlignment="1">
      <alignment/>
    </xf>
    <xf numFmtId="166" fontId="15" fillId="34" borderId="0" xfId="46" applyNumberFormat="1" applyFont="1" applyFill="1" applyAlignment="1">
      <alignment/>
    </xf>
    <xf numFmtId="0" fontId="3" fillId="0" borderId="0" xfId="0" applyFont="1" applyAlignment="1">
      <alignment/>
    </xf>
    <xf numFmtId="0" fontId="3" fillId="0" borderId="0" xfId="0" applyFont="1" applyFill="1" applyAlignment="1">
      <alignment horizontal="left" wrapText="1" indent="1"/>
    </xf>
    <xf numFmtId="0" fontId="4" fillId="0" borderId="0" xfId="0" applyFont="1" applyFill="1" applyAlignment="1">
      <alignment horizontal="right"/>
    </xf>
    <xf numFmtId="0" fontId="4" fillId="0" borderId="11" xfId="0" applyFont="1" applyFill="1" applyBorder="1" applyAlignment="1">
      <alignment horizontal="center"/>
    </xf>
    <xf numFmtId="0" fontId="4" fillId="0" borderId="12" xfId="0" applyFont="1" applyFill="1" applyBorder="1" applyAlignment="1">
      <alignment horizontal="center"/>
    </xf>
    <xf numFmtId="0" fontId="5" fillId="0" borderId="13" xfId="0" applyFont="1" applyFill="1" applyBorder="1" applyAlignment="1">
      <alignment/>
    </xf>
    <xf numFmtId="0" fontId="4" fillId="0" borderId="11"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4" fillId="0" borderId="0" xfId="0" applyFont="1" applyFill="1" applyAlignment="1">
      <alignment wrapText="1"/>
    </xf>
    <xf numFmtId="0" fontId="5" fillId="0" borderId="0" xfId="0" applyFont="1" applyFill="1" applyAlignment="1">
      <alignment wrapText="1"/>
    </xf>
    <xf numFmtId="42" fontId="5" fillId="0" borderId="0" xfId="0" applyNumberFormat="1" applyFont="1" applyFill="1" applyAlignment="1">
      <alignment/>
    </xf>
    <xf numFmtId="41" fontId="5" fillId="0" borderId="0" xfId="0" applyNumberFormat="1" applyFont="1" applyFill="1" applyAlignment="1">
      <alignment/>
    </xf>
    <xf numFmtId="41" fontId="5" fillId="0" borderId="10" xfId="0" applyNumberFormat="1" applyFont="1" applyFill="1" applyBorder="1" applyAlignment="1">
      <alignment/>
    </xf>
    <xf numFmtId="0" fontId="5" fillId="0" borderId="0" xfId="0" applyFont="1" applyFill="1" applyAlignment="1">
      <alignment horizontal="left" wrapText="1" indent="1"/>
    </xf>
    <xf numFmtId="41" fontId="5" fillId="0" borderId="14" xfId="0" applyNumberFormat="1" applyFont="1" applyFill="1" applyBorder="1" applyAlignment="1">
      <alignment/>
    </xf>
    <xf numFmtId="41" fontId="5" fillId="0" borderId="0" xfId="0" applyNumberFormat="1" applyFont="1" applyFill="1" applyBorder="1" applyAlignment="1">
      <alignment/>
    </xf>
    <xf numFmtId="0" fontId="5" fillId="0" borderId="0" xfId="0" applyFont="1" applyFill="1" applyAlignment="1">
      <alignment horizontal="left" wrapText="1" indent="2"/>
    </xf>
    <xf numFmtId="42" fontId="5" fillId="0" borderId="16" xfId="0" applyNumberFormat="1" applyFont="1" applyFill="1" applyBorder="1" applyAlignment="1">
      <alignment/>
    </xf>
    <xf numFmtId="42" fontId="5" fillId="0" borderId="10" xfId="0" applyNumberFormat="1" applyFont="1" applyFill="1" applyBorder="1" applyAlignment="1">
      <alignment/>
    </xf>
    <xf numFmtId="166" fontId="5" fillId="0" borderId="0" xfId="0" applyNumberFormat="1" applyFont="1" applyFill="1" applyAlignment="1">
      <alignment/>
    </xf>
    <xf numFmtId="0" fontId="3" fillId="0" borderId="0" xfId="0" applyFont="1" applyBorder="1" applyAlignment="1">
      <alignment wrapText="1"/>
    </xf>
    <xf numFmtId="0" fontId="3" fillId="0" borderId="0" xfId="0" applyFont="1" applyAlignment="1">
      <alignment horizontal="center"/>
    </xf>
    <xf numFmtId="0" fontId="3" fillId="0" borderId="0" xfId="0" applyFont="1" applyFill="1" applyBorder="1" applyAlignment="1">
      <alignment vertical="top" wrapText="1"/>
    </xf>
    <xf numFmtId="37" fontId="19" fillId="33" borderId="0" xfId="0" applyNumberFormat="1" applyFont="1" applyFill="1" applyAlignment="1">
      <alignment/>
    </xf>
    <xf numFmtId="0" fontId="2" fillId="0" borderId="0" xfId="0" applyFont="1" applyFill="1" applyAlignment="1">
      <alignment horizontal="center"/>
    </xf>
    <xf numFmtId="15" fontId="2" fillId="0" borderId="0" xfId="0" applyNumberFormat="1" applyFont="1" applyFill="1" applyAlignment="1" quotePrefix="1">
      <alignment horizontal="center"/>
    </xf>
    <xf numFmtId="0" fontId="2" fillId="0" borderId="10" xfId="0" applyFont="1" applyFill="1" applyBorder="1" applyAlignment="1">
      <alignment horizontal="center"/>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24" xfId="0" applyFont="1" applyFill="1" applyBorder="1" applyAlignment="1">
      <alignment vertical="center" wrapText="1"/>
    </xf>
    <xf numFmtId="0" fontId="3" fillId="0" borderId="30" xfId="0" applyFont="1" applyFill="1" applyBorder="1" applyAlignment="1">
      <alignment vertical="center" wrapText="1"/>
    </xf>
    <xf numFmtId="0" fontId="2" fillId="0" borderId="0" xfId="0" applyFont="1" applyFill="1" applyAlignment="1">
      <alignment wrapText="1"/>
    </xf>
    <xf numFmtId="0" fontId="2" fillId="0" borderId="14" xfId="0" applyFont="1" applyFill="1" applyBorder="1" applyAlignment="1">
      <alignment horizontal="center"/>
    </xf>
    <xf numFmtId="0" fontId="3" fillId="0" borderId="0" xfId="0" applyFont="1" applyFill="1" applyAlignment="1">
      <alignment horizontal="left" wrapText="1" indent="1"/>
    </xf>
    <xf numFmtId="168" fontId="2" fillId="0" borderId="0" xfId="0" applyNumberFormat="1" applyFont="1" applyFill="1" applyAlignment="1" quotePrefix="1">
      <alignment horizontal="center"/>
    </xf>
    <xf numFmtId="168" fontId="2" fillId="0" borderId="0" xfId="0" applyNumberFormat="1" applyFont="1" applyFill="1" applyAlignment="1">
      <alignment horizontal="center"/>
    </xf>
    <xf numFmtId="0" fontId="3" fillId="0" borderId="0" xfId="0" applyFont="1" applyFill="1" applyAlignment="1">
      <alignment horizontal="left" wrapText="1"/>
    </xf>
    <xf numFmtId="0" fontId="3" fillId="0" borderId="0" xfId="0" applyFont="1" applyFill="1" applyAlignment="1">
      <alignment wrapText="1"/>
    </xf>
    <xf numFmtId="0" fontId="72" fillId="0" borderId="26" xfId="0" applyFont="1" applyBorder="1" applyAlignment="1">
      <alignment horizontal="left" vertical="center" wrapText="1" readingOrder="1"/>
    </xf>
    <xf numFmtId="0" fontId="3" fillId="0" borderId="27" xfId="0" applyFont="1" applyBorder="1" applyAlignment="1">
      <alignment wrapText="1" readingOrder="1"/>
    </xf>
    <xf numFmtId="0" fontId="3" fillId="0" borderId="28" xfId="0" applyFont="1" applyBorder="1" applyAlignment="1">
      <alignment wrapText="1" readingOrder="1"/>
    </xf>
    <xf numFmtId="0" fontId="3" fillId="0" borderId="29" xfId="0" applyFont="1" applyBorder="1" applyAlignment="1">
      <alignment wrapText="1" readingOrder="1"/>
    </xf>
    <xf numFmtId="0" fontId="3" fillId="0" borderId="24" xfId="0" applyFont="1" applyBorder="1" applyAlignment="1">
      <alignment wrapText="1" readingOrder="1"/>
    </xf>
    <xf numFmtId="0" fontId="3" fillId="0" borderId="30" xfId="0" applyFont="1" applyBorder="1" applyAlignment="1">
      <alignment wrapText="1" readingOrder="1"/>
    </xf>
    <xf numFmtId="49" fontId="2" fillId="0" borderId="0" xfId="0" applyNumberFormat="1" applyFont="1" applyFill="1" applyAlignment="1">
      <alignment horizontal="center"/>
    </xf>
    <xf numFmtId="0" fontId="73" fillId="0" borderId="26" xfId="0" applyFont="1" applyBorder="1" applyAlignment="1">
      <alignment horizontal="left" vertical="center" wrapText="1" readingOrder="1"/>
    </xf>
    <xf numFmtId="0" fontId="3" fillId="0" borderId="27" xfId="0" applyFont="1" applyBorder="1" applyAlignment="1">
      <alignment wrapText="1"/>
    </xf>
    <xf numFmtId="0" fontId="3" fillId="0" borderId="28" xfId="0" applyFont="1" applyBorder="1" applyAlignment="1">
      <alignment wrapText="1"/>
    </xf>
    <xf numFmtId="0" fontId="3" fillId="0" borderId="31" xfId="0" applyFont="1" applyBorder="1" applyAlignment="1">
      <alignment wrapText="1"/>
    </xf>
    <xf numFmtId="0" fontId="3" fillId="0" borderId="0" xfId="0" applyFont="1" applyBorder="1" applyAlignment="1">
      <alignment wrapText="1"/>
    </xf>
    <xf numFmtId="0" fontId="3" fillId="0" borderId="32" xfId="0" applyFont="1" applyBorder="1" applyAlignment="1">
      <alignment wrapText="1"/>
    </xf>
    <xf numFmtId="0" fontId="3" fillId="0" borderId="29" xfId="0" applyFont="1" applyBorder="1" applyAlignment="1">
      <alignment wrapText="1"/>
    </xf>
    <xf numFmtId="0" fontId="3" fillId="0" borderId="24" xfId="0" applyFont="1" applyBorder="1" applyAlignment="1">
      <alignment wrapText="1"/>
    </xf>
    <xf numFmtId="0" fontId="3" fillId="0" borderId="30" xfId="0" applyFont="1" applyBorder="1" applyAlignment="1">
      <alignment wrapText="1"/>
    </xf>
    <xf numFmtId="0" fontId="4" fillId="0" borderId="10" xfId="0" applyFont="1" applyFill="1" applyBorder="1" applyAlignment="1">
      <alignment horizontal="center"/>
    </xf>
    <xf numFmtId="0" fontId="4" fillId="0" borderId="0" xfId="0" applyFont="1" applyFill="1" applyAlignment="1">
      <alignment horizontal="center"/>
    </xf>
    <xf numFmtId="166" fontId="3" fillId="0" borderId="0" xfId="45" applyNumberFormat="1" applyFont="1" applyFill="1" applyBorder="1" applyAlignment="1">
      <alignment horizontal="center" vertical="center" wrapText="1"/>
    </xf>
    <xf numFmtId="0" fontId="2" fillId="0" borderId="0" xfId="0" applyFont="1" applyAlignment="1">
      <alignment horizontal="center"/>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0" xfId="0" applyFont="1" applyFill="1" applyBorder="1" applyAlignment="1">
      <alignment horizontal="left" vertical="top" wrapText="1"/>
    </xf>
    <xf numFmtId="0" fontId="62" fillId="0" borderId="0" xfId="0" applyFont="1" applyAlignment="1">
      <alignment horizontal="center"/>
    </xf>
    <xf numFmtId="0" fontId="62" fillId="0" borderId="0" xfId="0" applyFont="1" applyAlignment="1">
      <alignment horizontal="center" wrapText="1"/>
    </xf>
    <xf numFmtId="0" fontId="3" fillId="0" borderId="0" xfId="0" applyFont="1" applyAlignment="1">
      <alignment horizontal="center"/>
    </xf>
    <xf numFmtId="0" fontId="2" fillId="0" borderId="26" xfId="0" applyFont="1" applyFill="1" applyBorder="1" applyAlignment="1">
      <alignment wrapText="1"/>
    </xf>
    <xf numFmtId="0" fontId="2" fillId="0" borderId="27" xfId="0" applyFont="1" applyFill="1" applyBorder="1" applyAlignment="1">
      <alignment wrapText="1"/>
    </xf>
    <xf numFmtId="0" fontId="3" fillId="0" borderId="27" xfId="0" applyFont="1" applyFill="1" applyBorder="1" applyAlignment="1">
      <alignment wrapText="1"/>
    </xf>
    <xf numFmtId="0" fontId="3" fillId="0" borderId="28" xfId="0" applyFont="1" applyFill="1" applyBorder="1" applyAlignment="1">
      <alignment wrapText="1"/>
    </xf>
    <xf numFmtId="0" fontId="3" fillId="0" borderId="29" xfId="0" applyFont="1" applyFill="1" applyBorder="1" applyAlignment="1">
      <alignment wrapText="1"/>
    </xf>
    <xf numFmtId="0" fontId="3" fillId="0" borderId="24" xfId="0" applyFont="1" applyFill="1" applyBorder="1" applyAlignment="1">
      <alignment wrapText="1"/>
    </xf>
    <xf numFmtId="0" fontId="3" fillId="0" borderId="30" xfId="0" applyFont="1" applyFill="1" applyBorder="1" applyAlignment="1">
      <alignment wrapText="1"/>
    </xf>
    <xf numFmtId="166" fontId="2" fillId="0" borderId="0" xfId="46" applyNumberFormat="1" applyFont="1" applyFill="1" applyAlignment="1">
      <alignment horizontal="center"/>
    </xf>
    <xf numFmtId="166" fontId="3" fillId="0" borderId="0" xfId="46" applyNumberFormat="1" applyFont="1" applyFill="1" applyAlignment="1">
      <alignment wrapText="1"/>
    </xf>
    <xf numFmtId="49" fontId="3" fillId="0" borderId="33" xfId="46" applyNumberFormat="1" applyFont="1" applyFill="1" applyBorder="1" applyAlignment="1">
      <alignment wrapText="1"/>
    </xf>
    <xf numFmtId="0" fontId="3" fillId="0" borderId="34" xfId="0" applyFont="1" applyFill="1" applyBorder="1" applyAlignment="1">
      <alignment wrapText="1"/>
    </xf>
    <xf numFmtId="0" fontId="3" fillId="0" borderId="35" xfId="0" applyFont="1" applyFill="1" applyBorder="1" applyAlignment="1">
      <alignment wrapText="1"/>
    </xf>
    <xf numFmtId="0" fontId="3" fillId="0" borderId="36" xfId="0" applyFont="1" applyFill="1" applyBorder="1" applyAlignment="1">
      <alignment wrapText="1"/>
    </xf>
    <xf numFmtId="0" fontId="3" fillId="0" borderId="0" xfId="0" applyFont="1" applyFill="1" applyBorder="1" applyAlignment="1">
      <alignment wrapText="1"/>
    </xf>
    <xf numFmtId="0" fontId="3" fillId="0" borderId="37" xfId="0" applyFont="1" applyFill="1" applyBorder="1" applyAlignment="1">
      <alignment wrapText="1"/>
    </xf>
    <xf numFmtId="0" fontId="3" fillId="0" borderId="38" xfId="0" applyFont="1" applyFill="1" applyBorder="1" applyAlignment="1">
      <alignment wrapText="1"/>
    </xf>
    <xf numFmtId="0" fontId="3" fillId="0" borderId="39" xfId="0" applyFont="1" applyFill="1" applyBorder="1" applyAlignment="1">
      <alignment wrapText="1"/>
    </xf>
    <xf numFmtId="0" fontId="3" fillId="0" borderId="40" xfId="0" applyFont="1" applyFill="1" applyBorder="1" applyAlignment="1">
      <alignment wrapText="1"/>
    </xf>
    <xf numFmtId="0" fontId="73" fillId="0" borderId="26" xfId="0" applyFont="1" applyBorder="1" applyAlignment="1">
      <alignment horizontal="left" vertical="top" wrapText="1" readingOrder="1"/>
    </xf>
    <xf numFmtId="0" fontId="73" fillId="0" borderId="27" xfId="0" applyFont="1" applyBorder="1" applyAlignment="1">
      <alignment horizontal="left" vertical="top" wrapText="1" readingOrder="1"/>
    </xf>
    <xf numFmtId="0" fontId="73" fillId="0" borderId="28" xfId="0" applyFont="1" applyBorder="1" applyAlignment="1">
      <alignment horizontal="left" vertical="top" wrapText="1" readingOrder="1"/>
    </xf>
    <xf numFmtId="0" fontId="73" fillId="0" borderId="31" xfId="0" applyFont="1" applyBorder="1" applyAlignment="1">
      <alignment horizontal="left" vertical="top" wrapText="1" readingOrder="1"/>
    </xf>
    <xf numFmtId="0" fontId="73" fillId="0" borderId="0" xfId="0" applyFont="1" applyBorder="1" applyAlignment="1">
      <alignment horizontal="left" vertical="top" wrapText="1" readingOrder="1"/>
    </xf>
    <xf numFmtId="0" fontId="73" fillId="0" borderId="32" xfId="0" applyFont="1" applyBorder="1" applyAlignment="1">
      <alignment horizontal="left" vertical="top" wrapText="1" readingOrder="1"/>
    </xf>
    <xf numFmtId="0" fontId="73" fillId="0" borderId="29" xfId="0" applyFont="1" applyBorder="1" applyAlignment="1">
      <alignment horizontal="left" vertical="top" wrapText="1" readingOrder="1"/>
    </xf>
    <xf numFmtId="0" fontId="73" fillId="0" borderId="24" xfId="0" applyFont="1" applyBorder="1" applyAlignment="1">
      <alignment horizontal="left" vertical="top" wrapText="1" readingOrder="1"/>
    </xf>
    <xf numFmtId="0" fontId="73" fillId="0" borderId="30" xfId="0" applyFont="1" applyBorder="1" applyAlignment="1">
      <alignment horizontal="left" vertical="top" wrapText="1" readingOrder="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0" fontId="8" fillId="0" borderId="29" xfId="0" applyFont="1" applyBorder="1" applyAlignment="1">
      <alignment horizontal="left" vertical="top" wrapText="1"/>
    </xf>
    <xf numFmtId="0" fontId="8" fillId="0" borderId="24" xfId="0" applyFont="1" applyBorder="1" applyAlignment="1">
      <alignment horizontal="left" vertical="top" wrapText="1"/>
    </xf>
    <xf numFmtId="0" fontId="8" fillId="0" borderId="30" xfId="0" applyFont="1" applyBorder="1" applyAlignment="1">
      <alignment horizontal="left" vertical="top" wrapText="1"/>
    </xf>
    <xf numFmtId="166" fontId="2" fillId="0" borderId="0" xfId="46" applyNumberFormat="1" applyFont="1" applyFill="1" applyBorder="1" applyAlignment="1">
      <alignment horizontal="center"/>
    </xf>
    <xf numFmtId="166" fontId="3" fillId="0" borderId="24" xfId="46" applyNumberFormat="1" applyFont="1" applyFill="1" applyBorder="1" applyAlignment="1">
      <alignment horizontal="center"/>
    </xf>
    <xf numFmtId="0" fontId="74" fillId="0" borderId="26" xfId="0" applyFont="1" applyFill="1" applyBorder="1" applyAlignment="1">
      <alignment horizontal="left" vertical="top" wrapText="1" readingOrder="1"/>
    </xf>
    <xf numFmtId="0" fontId="3" fillId="0" borderId="27" xfId="0" applyFont="1" applyFill="1" applyBorder="1" applyAlignment="1">
      <alignment vertical="top" wrapText="1" readingOrder="1"/>
    </xf>
    <xf numFmtId="0" fontId="3" fillId="0" borderId="28" xfId="0" applyFont="1" applyFill="1" applyBorder="1" applyAlignment="1">
      <alignment vertical="top" wrapText="1" readingOrder="1"/>
    </xf>
    <xf numFmtId="0" fontId="3" fillId="0" borderId="31" xfId="0" applyFont="1" applyFill="1" applyBorder="1" applyAlignment="1">
      <alignment vertical="top" wrapText="1" readingOrder="1"/>
    </xf>
    <xf numFmtId="0" fontId="3" fillId="0" borderId="0" xfId="0" applyFont="1" applyFill="1" applyBorder="1" applyAlignment="1">
      <alignment vertical="top" wrapText="1" readingOrder="1"/>
    </xf>
    <xf numFmtId="0" fontId="3" fillId="0" borderId="32" xfId="0" applyFont="1" applyFill="1" applyBorder="1" applyAlignment="1">
      <alignment vertical="top" wrapText="1" readingOrder="1"/>
    </xf>
    <xf numFmtId="0" fontId="75" fillId="0" borderId="31" xfId="0" applyFont="1" applyFill="1" applyBorder="1" applyAlignment="1">
      <alignment horizontal="left" vertical="top" wrapText="1" readingOrder="1"/>
    </xf>
    <xf numFmtId="0" fontId="3" fillId="0" borderId="0" xfId="0" applyFont="1" applyFill="1" applyBorder="1" applyAlignment="1">
      <alignment vertical="top" wrapText="1"/>
    </xf>
    <xf numFmtId="0" fontId="3" fillId="0" borderId="32" xfId="0" applyFont="1" applyFill="1" applyBorder="1" applyAlignment="1">
      <alignment vertical="top" wrapText="1"/>
    </xf>
    <xf numFmtId="0" fontId="3" fillId="0" borderId="31" xfId="0" applyFont="1" applyFill="1" applyBorder="1" applyAlignment="1">
      <alignment vertical="top" wrapText="1"/>
    </xf>
    <xf numFmtId="0" fontId="3" fillId="0" borderId="29" xfId="0" applyFont="1" applyFill="1" applyBorder="1" applyAlignment="1">
      <alignment vertical="top" wrapText="1"/>
    </xf>
    <xf numFmtId="0" fontId="3" fillId="0" borderId="24" xfId="0" applyFont="1" applyFill="1" applyBorder="1" applyAlignment="1">
      <alignment vertical="top" wrapText="1"/>
    </xf>
    <xf numFmtId="0" fontId="3" fillId="0" borderId="30" xfId="0" applyFont="1" applyFill="1" applyBorder="1" applyAlignment="1">
      <alignment vertical="top" wrapText="1"/>
    </xf>
    <xf numFmtId="0" fontId="74" fillId="0" borderId="26" xfId="0" applyFont="1" applyFill="1" applyBorder="1" applyAlignment="1">
      <alignment vertical="center" wrapText="1" readingOrder="1"/>
    </xf>
    <xf numFmtId="0" fontId="3" fillId="0" borderId="31" xfId="0" applyFont="1" applyFill="1" applyBorder="1" applyAlignment="1">
      <alignment wrapText="1"/>
    </xf>
    <xf numFmtId="0" fontId="3" fillId="0" borderId="32" xfId="0" applyFont="1" applyFill="1" applyBorder="1" applyAlignment="1">
      <alignment wrapText="1"/>
    </xf>
    <xf numFmtId="37" fontId="19" fillId="0" borderId="10" xfId="0" applyNumberFormat="1" applyFont="1" applyFill="1" applyBorder="1" applyAlignment="1" quotePrefix="1">
      <alignment horizontal="center"/>
    </xf>
    <xf numFmtId="37" fontId="19" fillId="0" borderId="10" xfId="0" applyNumberFormat="1" applyFont="1" applyFill="1" applyBorder="1" applyAlignment="1">
      <alignment horizontal="center"/>
    </xf>
    <xf numFmtId="37" fontId="20" fillId="0" borderId="0" xfId="0" applyNumberFormat="1" applyFont="1" applyFill="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omma 3"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Schedule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128</xdr:row>
      <xdr:rowOff>123825</xdr:rowOff>
    </xdr:from>
    <xdr:to>
      <xdr:col>0</xdr:col>
      <xdr:colOff>123825</xdr:colOff>
      <xdr:row>128</xdr:row>
      <xdr:rowOff>133350</xdr:rowOff>
    </xdr:to>
    <xdr:sp fLocksText="0">
      <xdr:nvSpPr>
        <xdr:cNvPr id="1" name="Text 5"/>
        <xdr:cNvSpPr txBox="1">
          <a:spLocks noChangeArrowheads="1"/>
        </xdr:cNvSpPr>
      </xdr:nvSpPr>
      <xdr:spPr>
        <a:xfrm>
          <a:off x="123825" y="21116925"/>
          <a:ext cx="0" cy="9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ctreasurer.com/SHARE/Audit%20Manual/2002%20Audit%20Manual/BOE%20(35D)/School%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ctreasurer.com/SHARE/Audit%20Manual/2001%20Audit%20Manual/BOE%20(35D)/School%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gc0204\Desktop\2017%20JE%20test%20TSERS\BOE%20JE%20test%20201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gc0204\Desktop\Copy%20of%20BOEfinancials2016.pa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st-flsp4\redir$\Nayak%20Preeta\Illustratives%202018\PN%20BOEFinancials%20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hibit 1 part 1"/>
      <sheetName val="Exhibit 1 part 2"/>
      <sheetName val="Exhibit 2"/>
      <sheetName val="Exhibit 3"/>
      <sheetName val="Exhibit 4"/>
      <sheetName val="Exhibit 5 part 1"/>
      <sheetName val="Module1"/>
      <sheetName val="Exhibit 5 part 2"/>
      <sheetName val="Exh A-1"/>
      <sheetName val="Exh B-1"/>
      <sheetName val="Exh B-2"/>
      <sheetName val="Exh B-3"/>
      <sheetName val="Exh B-4"/>
      <sheetName val="Exh C-1"/>
      <sheetName val="Exh D-1"/>
      <sheetName val="Exh D-2"/>
      <sheetName val="Exh D-3 part 1"/>
      <sheetName val="Exh D-3 part 2"/>
      <sheetName val="Exh D-4"/>
      <sheetName val="Exh D-5"/>
      <sheetName val="Exh E-1"/>
      <sheetName val="Exh E-2"/>
    </sheetNames>
    <sheetDataSet>
      <sheetData sheetId="8">
        <row r="12">
          <cell r="A12" t="str">
            <v>Revenues:</v>
          </cell>
        </row>
        <row r="13">
          <cell r="B13" t="str">
            <v>State of North Carolina:</v>
          </cell>
        </row>
        <row r="14">
          <cell r="C14" t="str">
            <v>Textbooks</v>
          </cell>
          <cell r="F14">
            <v>34000</v>
          </cell>
          <cell r="H14">
            <v>35000</v>
          </cell>
          <cell r="J14">
            <v>1000</v>
          </cell>
          <cell r="M14">
            <v>33250</v>
          </cell>
        </row>
        <row r="15">
          <cell r="C15" t="str">
            <v>Other</v>
          </cell>
          <cell r="F15">
            <v>666400</v>
          </cell>
          <cell r="H15">
            <v>667640</v>
          </cell>
          <cell r="J15">
            <v>1240</v>
          </cell>
          <cell r="M15">
            <v>641714</v>
          </cell>
        </row>
        <row r="16">
          <cell r="D16" t="str">
            <v>Total</v>
          </cell>
          <cell r="F16">
            <v>700400</v>
          </cell>
          <cell r="H16">
            <v>702640</v>
          </cell>
          <cell r="J16">
            <v>2240</v>
          </cell>
          <cell r="M16">
            <v>674964</v>
          </cell>
        </row>
        <row r="18">
          <cell r="B18" t="str">
            <v>Carolina County:</v>
          </cell>
        </row>
        <row r="19">
          <cell r="C19" t="str">
            <v>Appropriation from general revenues</v>
          </cell>
          <cell r="F19">
            <v>1959200</v>
          </cell>
          <cell r="H19">
            <v>1980000</v>
          </cell>
          <cell r="J19">
            <v>20800</v>
          </cell>
          <cell r="M19">
            <v>1881000</v>
          </cell>
        </row>
        <row r="20">
          <cell r="C20" t="str">
            <v>Timber receipts</v>
          </cell>
          <cell r="F20">
            <v>20000</v>
          </cell>
          <cell r="H20">
            <v>20000</v>
          </cell>
          <cell r="J20">
            <v>0</v>
          </cell>
          <cell r="M20">
            <v>19000</v>
          </cell>
        </row>
        <row r="21">
          <cell r="D21" t="str">
            <v>Total </v>
          </cell>
          <cell r="F21">
            <v>1979200</v>
          </cell>
          <cell r="H21">
            <v>2000000</v>
          </cell>
          <cell r="J21">
            <v>20800</v>
          </cell>
          <cell r="M21">
            <v>1900000</v>
          </cell>
        </row>
        <row r="23">
          <cell r="B23" t="str">
            <v>Other :</v>
          </cell>
        </row>
        <row r="24">
          <cell r="C24" t="str">
            <v> ABC  revenues</v>
          </cell>
          <cell r="F24">
            <v>10000</v>
          </cell>
          <cell r="H24">
            <v>9900</v>
          </cell>
          <cell r="J24">
            <v>-100</v>
          </cell>
          <cell r="M24">
            <v>8910</v>
          </cell>
        </row>
        <row r="25">
          <cell r="C25" t="str">
            <v>Supplemental school taxes</v>
          </cell>
          <cell r="F25">
            <v>10000</v>
          </cell>
          <cell r="H25">
            <v>12000</v>
          </cell>
          <cell r="J25">
            <v>2000</v>
          </cell>
          <cell r="M25">
            <v>10800</v>
          </cell>
        </row>
        <row r="26">
          <cell r="C26" t="str">
            <v>Sales taxes</v>
          </cell>
          <cell r="F26">
            <v>2170</v>
          </cell>
          <cell r="H26">
            <v>2700</v>
          </cell>
          <cell r="J26">
            <v>530</v>
          </cell>
          <cell r="M26">
            <v>2430</v>
          </cell>
        </row>
        <row r="27">
          <cell r="C27" t="str">
            <v>Sales tax reimbursements - food stamps and food</v>
          </cell>
          <cell r="F27">
            <v>330</v>
          </cell>
          <cell r="H27">
            <v>300</v>
          </cell>
          <cell r="J27">
            <v>-30</v>
          </cell>
          <cell r="M27">
            <v>270</v>
          </cell>
        </row>
        <row r="28">
          <cell r="C28" t="str">
            <v>Inventory tax reimbursements</v>
          </cell>
          <cell r="F28">
            <v>2700</v>
          </cell>
          <cell r="H28">
            <v>3600</v>
          </cell>
          <cell r="J28">
            <v>900</v>
          </cell>
          <cell r="M28">
            <v>3240</v>
          </cell>
        </row>
        <row r="29">
          <cell r="C29" t="str">
            <v>Tuition and fees</v>
          </cell>
          <cell r="F29">
            <v>4800</v>
          </cell>
          <cell r="H29">
            <v>5000</v>
          </cell>
          <cell r="J29">
            <v>200</v>
          </cell>
          <cell r="M29">
            <v>4500</v>
          </cell>
        </row>
        <row r="30">
          <cell r="C30" t="str">
            <v>Fines and forfeitures</v>
          </cell>
          <cell r="F30">
            <v>3400</v>
          </cell>
          <cell r="H30">
            <v>3438</v>
          </cell>
          <cell r="J30">
            <v>38</v>
          </cell>
          <cell r="M30">
            <v>3094.2</v>
          </cell>
        </row>
        <row r="31">
          <cell r="C31" t="str">
            <v>Rental of school property</v>
          </cell>
          <cell r="F31">
            <v>3000</v>
          </cell>
          <cell r="H31">
            <v>4000</v>
          </cell>
          <cell r="J31">
            <v>1000</v>
          </cell>
          <cell r="M31">
            <v>3600</v>
          </cell>
        </row>
        <row r="32">
          <cell r="C32" t="str">
            <v>Interest earned on investments</v>
          </cell>
          <cell r="F32">
            <v>3600</v>
          </cell>
          <cell r="H32">
            <v>1900</v>
          </cell>
          <cell r="J32">
            <v>-1700</v>
          </cell>
          <cell r="M32">
            <v>1805</v>
          </cell>
        </row>
        <row r="33">
          <cell r="D33" t="str">
            <v>Total</v>
          </cell>
          <cell r="F33">
            <v>40000</v>
          </cell>
          <cell r="H33">
            <v>42838</v>
          </cell>
          <cell r="J33">
            <v>2838</v>
          </cell>
          <cell r="M33">
            <v>38649.2</v>
          </cell>
        </row>
        <row r="35">
          <cell r="D35" t="str">
            <v>   Total revenues</v>
          </cell>
          <cell r="F35">
            <v>2719600</v>
          </cell>
          <cell r="H35">
            <v>2745478</v>
          </cell>
          <cell r="J35">
            <v>25878</v>
          </cell>
          <cell r="M35">
            <v>2613613.2</v>
          </cell>
        </row>
        <row r="37">
          <cell r="A37" t="str">
            <v>Expenditures:</v>
          </cell>
        </row>
        <row r="38">
          <cell r="B38" t="str">
            <v>Instructional programs:</v>
          </cell>
        </row>
        <row r="39">
          <cell r="C39" t="str">
            <v>Regular:</v>
          </cell>
        </row>
        <row r="40">
          <cell r="D40" t="str">
            <v>Regular</v>
          </cell>
          <cell r="H40">
            <v>100900</v>
          </cell>
          <cell r="M40">
            <v>95855</v>
          </cell>
        </row>
        <row r="41">
          <cell r="D41" t="str">
            <v>Summer  band</v>
          </cell>
          <cell r="H41">
            <v>200000</v>
          </cell>
          <cell r="M41">
            <v>190000</v>
          </cell>
        </row>
        <row r="42">
          <cell r="D42" t="str">
            <v>Instructional aides</v>
          </cell>
          <cell r="H42">
            <v>7500</v>
          </cell>
          <cell r="M42">
            <v>7125</v>
          </cell>
        </row>
        <row r="43">
          <cell r="E43" t="str">
            <v>Total</v>
          </cell>
          <cell r="F43">
            <v>308900</v>
          </cell>
          <cell r="H43">
            <v>308400</v>
          </cell>
          <cell r="J43">
            <v>500</v>
          </cell>
          <cell r="M43">
            <v>292980</v>
          </cell>
        </row>
        <row r="45">
          <cell r="C45" t="str">
            <v>Special:</v>
          </cell>
        </row>
        <row r="46">
          <cell r="D46" t="str">
            <v>Exceptional children</v>
          </cell>
          <cell r="H46">
            <v>80000</v>
          </cell>
          <cell r="M46">
            <v>76000</v>
          </cell>
        </row>
        <row r="47">
          <cell r="D47" t="str">
            <v>Gifted and talented</v>
          </cell>
          <cell r="H47">
            <v>16000</v>
          </cell>
          <cell r="M47">
            <v>15200</v>
          </cell>
        </row>
        <row r="48">
          <cell r="D48" t="str">
            <v>Special Olympics</v>
          </cell>
          <cell r="H48">
            <v>2900</v>
          </cell>
          <cell r="M48">
            <v>2755</v>
          </cell>
        </row>
        <row r="49">
          <cell r="E49" t="str">
            <v>Total</v>
          </cell>
          <cell r="F49">
            <v>99000</v>
          </cell>
          <cell r="H49">
            <v>98900</v>
          </cell>
          <cell r="J49">
            <v>100</v>
          </cell>
          <cell r="M49">
            <v>93955</v>
          </cell>
        </row>
        <row r="51">
          <cell r="C51" t="str">
            <v>Math/Science:</v>
          </cell>
        </row>
        <row r="52">
          <cell r="D52" t="str">
            <v>Innovative</v>
          </cell>
          <cell r="H52">
            <v>900000</v>
          </cell>
          <cell r="M52">
            <v>855000</v>
          </cell>
        </row>
        <row r="53">
          <cell r="D53" t="str">
            <v>Math</v>
          </cell>
          <cell r="H53">
            <v>300000</v>
          </cell>
          <cell r="M53">
            <v>285000</v>
          </cell>
        </row>
        <row r="54">
          <cell r="D54" t="str">
            <v>Science</v>
          </cell>
          <cell r="H54">
            <v>40000</v>
          </cell>
          <cell r="M54">
            <v>38000</v>
          </cell>
        </row>
        <row r="55">
          <cell r="E55" t="str">
            <v>Total</v>
          </cell>
          <cell r="F55">
            <v>1240000</v>
          </cell>
          <cell r="H55">
            <v>1240000</v>
          </cell>
          <cell r="J55">
            <v>0</v>
          </cell>
          <cell r="M55">
            <v>1178000</v>
          </cell>
        </row>
        <row r="56">
          <cell r="C56" t="str">
            <v>Other:</v>
          </cell>
        </row>
        <row r="57">
          <cell r="D57" t="str">
            <v>Employee benefits</v>
          </cell>
          <cell r="F57">
            <v>700000</v>
          </cell>
          <cell r="H57">
            <v>700000</v>
          </cell>
          <cell r="J57">
            <v>0</v>
          </cell>
          <cell r="M57">
            <v>665000</v>
          </cell>
        </row>
        <row r="58">
          <cell r="E58" t="str">
            <v>Total instructional programs</v>
          </cell>
          <cell r="F58">
            <v>2347900</v>
          </cell>
          <cell r="H58">
            <v>2347300</v>
          </cell>
          <cell r="J58">
            <v>600</v>
          </cell>
          <cell r="M58">
            <v>2229935</v>
          </cell>
        </row>
        <row r="60">
          <cell r="B60" t="str">
            <v>Supporting services:</v>
          </cell>
        </row>
        <row r="61">
          <cell r="C61" t="str">
            <v>Pupil services:</v>
          </cell>
        </row>
        <row r="62">
          <cell r="D62" t="str">
            <v>Attendance</v>
          </cell>
          <cell r="H62">
            <v>20000</v>
          </cell>
          <cell r="M62">
            <v>19000</v>
          </cell>
        </row>
        <row r="63">
          <cell r="D63" t="str">
            <v>Psychological services</v>
          </cell>
          <cell r="H63">
            <v>9000</v>
          </cell>
          <cell r="M63">
            <v>8550</v>
          </cell>
        </row>
        <row r="64">
          <cell r="E64" t="str">
            <v>Total</v>
          </cell>
          <cell r="F64">
            <v>29000</v>
          </cell>
          <cell r="H64">
            <v>29000</v>
          </cell>
          <cell r="J64">
            <v>0</v>
          </cell>
          <cell r="M64">
            <v>27550</v>
          </cell>
        </row>
        <row r="66">
          <cell r="C66" t="str">
            <v>Instructional staff services:</v>
          </cell>
        </row>
        <row r="67">
          <cell r="D67" t="str">
            <v>Staff training</v>
          </cell>
          <cell r="H67">
            <v>20000</v>
          </cell>
          <cell r="M67">
            <v>19000</v>
          </cell>
        </row>
        <row r="68">
          <cell r="D68" t="str">
            <v>Educational media</v>
          </cell>
          <cell r="H68">
            <v>950</v>
          </cell>
          <cell r="M68">
            <v>902.5</v>
          </cell>
        </row>
        <row r="69">
          <cell r="E69" t="str">
            <v>Total</v>
          </cell>
          <cell r="F69">
            <v>21000</v>
          </cell>
          <cell r="H69">
            <v>20950</v>
          </cell>
          <cell r="J69">
            <v>50</v>
          </cell>
          <cell r="M69">
            <v>19902.5</v>
          </cell>
        </row>
        <row r="71">
          <cell r="C71" t="str">
            <v>Administrative services:</v>
          </cell>
        </row>
        <row r="72">
          <cell r="D72" t="str">
            <v>Board of education</v>
          </cell>
          <cell r="H72">
            <v>42000</v>
          </cell>
          <cell r="M72">
            <v>39900</v>
          </cell>
        </row>
        <row r="73">
          <cell r="D73" t="str">
            <v>Other administrative support</v>
          </cell>
          <cell r="H73">
            <v>67000</v>
          </cell>
          <cell r="M73">
            <v>63650</v>
          </cell>
        </row>
        <row r="74">
          <cell r="E74" t="str">
            <v>Total</v>
          </cell>
          <cell r="F74">
            <v>109400</v>
          </cell>
          <cell r="H74">
            <v>109000</v>
          </cell>
          <cell r="J74">
            <v>400</v>
          </cell>
          <cell r="M74">
            <v>103550</v>
          </cell>
        </row>
        <row r="76">
          <cell r="C76" t="str">
            <v>Business services:</v>
          </cell>
        </row>
        <row r="77">
          <cell r="D77" t="str">
            <v>Operation of plant</v>
          </cell>
          <cell r="H77">
            <v>10000</v>
          </cell>
          <cell r="M77">
            <v>9500</v>
          </cell>
        </row>
        <row r="78">
          <cell r="D78" t="str">
            <v>Transportation of pupils</v>
          </cell>
          <cell r="H78">
            <v>85598</v>
          </cell>
          <cell r="M78">
            <v>81318.1</v>
          </cell>
        </row>
        <row r="79">
          <cell r="E79" t="str">
            <v>Total</v>
          </cell>
          <cell r="F79">
            <v>96000</v>
          </cell>
          <cell r="H79">
            <v>95598</v>
          </cell>
          <cell r="J79">
            <v>402</v>
          </cell>
          <cell r="M79">
            <v>90818.1</v>
          </cell>
        </row>
        <row r="81">
          <cell r="C81" t="str">
            <v>Other</v>
          </cell>
          <cell r="F81">
            <v>30600</v>
          </cell>
          <cell r="H81">
            <v>30600</v>
          </cell>
          <cell r="J81">
            <v>0</v>
          </cell>
          <cell r="M81">
            <v>29070</v>
          </cell>
        </row>
        <row r="83">
          <cell r="E83" t="str">
            <v>Total supporting services</v>
          </cell>
          <cell r="F83">
            <v>286000</v>
          </cell>
          <cell r="H83">
            <v>285148</v>
          </cell>
          <cell r="J83">
            <v>852</v>
          </cell>
          <cell r="M83">
            <v>270890.6</v>
          </cell>
        </row>
        <row r="85">
          <cell r="B85" t="str">
            <v>Community services</v>
          </cell>
          <cell r="F85">
            <v>6000</v>
          </cell>
          <cell r="H85">
            <v>5091</v>
          </cell>
          <cell r="J85">
            <v>909</v>
          </cell>
          <cell r="M85">
            <v>8313.45</v>
          </cell>
        </row>
        <row r="87">
          <cell r="B87" t="str">
            <v>Nonprogram charges</v>
          </cell>
        </row>
        <row r="88">
          <cell r="D88" t="str">
            <v>Payments to charter schools</v>
          </cell>
          <cell r="F88">
            <v>79275</v>
          </cell>
          <cell r="H88">
            <v>75000</v>
          </cell>
          <cell r="M88">
            <v>37500</v>
          </cell>
        </row>
        <row r="89">
          <cell r="D89" t="str">
            <v>Other</v>
          </cell>
          <cell r="F89">
            <v>425</v>
          </cell>
          <cell r="H89">
            <v>364</v>
          </cell>
          <cell r="M89">
            <v>345.8</v>
          </cell>
        </row>
        <row r="90">
          <cell r="E90" t="str">
            <v>Total</v>
          </cell>
          <cell r="F90">
            <v>79700</v>
          </cell>
          <cell r="H90">
            <v>75364</v>
          </cell>
          <cell r="J90">
            <v>4336</v>
          </cell>
          <cell r="M90">
            <v>37845.8</v>
          </cell>
        </row>
        <row r="92">
          <cell r="C92" t="str">
            <v>Total expenditures</v>
          </cell>
          <cell r="F92">
            <v>2719600</v>
          </cell>
          <cell r="H92">
            <v>2712903</v>
          </cell>
          <cell r="J92">
            <v>6697</v>
          </cell>
          <cell r="M92">
            <v>2546984.85</v>
          </cell>
        </row>
        <row r="93">
          <cell r="J93">
            <v>6697</v>
          </cell>
        </row>
        <row r="94">
          <cell r="C94" t="str">
            <v>Excess of revenues over expenditures </v>
          </cell>
          <cell r="F94">
            <v>0</v>
          </cell>
          <cell r="H94">
            <v>32575</v>
          </cell>
          <cell r="J94">
            <v>32575</v>
          </cell>
          <cell r="M94">
            <v>66628.3500000001</v>
          </cell>
        </row>
        <row r="96">
          <cell r="A96" t="str">
            <v>Fund balance:</v>
          </cell>
        </row>
        <row r="97">
          <cell r="B97" t="str">
            <v>Beginning of year, July 1</v>
          </cell>
          <cell r="H97">
            <v>26055</v>
          </cell>
          <cell r="M97">
            <v>-40573.35000000009</v>
          </cell>
        </row>
        <row r="98">
          <cell r="B98" t="str">
            <v>   Increase in reserve for inventories</v>
          </cell>
          <cell r="H98">
            <v>1200</v>
          </cell>
          <cell r="M98">
            <v>0</v>
          </cell>
        </row>
        <row r="99">
          <cell r="B99" t="str">
            <v>End of year, June 30</v>
          </cell>
          <cell r="H99">
            <v>59830</v>
          </cell>
          <cell r="M99">
            <v>26055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hibit 1 part 1"/>
      <sheetName val="Exhibit 1 part 2"/>
      <sheetName val="Exhibit 2"/>
      <sheetName val="Exhibit 3"/>
      <sheetName val="Exhibit 4"/>
      <sheetName val="Exhibit 5 part 1"/>
      <sheetName val="Module1"/>
      <sheetName val="Exhibit 5 part 2"/>
      <sheetName val="Exh A-1"/>
      <sheetName val="Exh B-1"/>
      <sheetName val="Exh B-2"/>
      <sheetName val="Exh B-3"/>
      <sheetName val="Exh B-4"/>
      <sheetName val="Exh C-1"/>
      <sheetName val="Exh D-1"/>
      <sheetName val="Exh D-2"/>
      <sheetName val="Exh D-3 part 1"/>
      <sheetName val="Exh D-3 part 2"/>
      <sheetName val="Exh D-4"/>
      <sheetName val="Exh D-5"/>
      <sheetName val="Exh E-1"/>
      <sheetName val="Exh E-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WNetPos"/>
      <sheetName val="GWStmtAct"/>
      <sheetName val="GASB34GovtFundsBS"/>
      <sheetName val="GASB34GovtFundsIS"/>
      <sheetName val="Recon Change Net Pos"/>
      <sheetName val="GASB34GovtFundsBudget"/>
      <sheetName val="Net Pos-Prop"/>
      <sheetName val="Rev, exp-Prop"/>
      <sheetName val="Cash Flow-Prop"/>
    </sheetNames>
    <sheetDataSet>
      <sheetData sheetId="0">
        <row r="2">
          <cell r="A2" t="str">
            <v>Carolina County Board of Education, North Carolina</v>
          </cell>
        </row>
        <row r="48">
          <cell r="A48" t="str">
            <v>The notes to the financial statements are an integral part of this statement.</v>
          </cell>
        </row>
      </sheetData>
      <sheetData sheetId="1">
        <row r="61">
          <cell r="A61" t="str">
            <v>The notes to the financial statements are an integral part of this statement.</v>
          </cell>
        </row>
      </sheetData>
      <sheetData sheetId="3">
        <row r="57">
          <cell r="D57">
            <v>1200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WNetPos"/>
      <sheetName val="GWStmtAct"/>
      <sheetName val="GASB34GovtFundsBS"/>
      <sheetName val="GASB34GovtFundsIS"/>
      <sheetName val="Recon Change Net Pos"/>
      <sheetName val="GASB34GovtFundsBudget"/>
      <sheetName val="Net Pos-Prop"/>
      <sheetName val="Rev, exp-Prop"/>
      <sheetName val="Cash Flow-Prop (2)"/>
      <sheetName val="Cash Flow-Prop"/>
      <sheetName val="Fid Fund BS"/>
      <sheetName val="Fid Fund IS"/>
      <sheetName val="RSI TSERS NPL"/>
      <sheetName val="RSI TSERS Contr"/>
      <sheetName val="GenFund Bud-Act"/>
      <sheetName val="BS-NonMajorGovt"/>
      <sheetName val="FGF-BA"/>
      <sheetName val="COF-BA "/>
      <sheetName val="SFSF-BA"/>
      <sheetName val="CCF-BA"/>
      <sheetName val="Major Fund Det"/>
      <sheetName val="Sheet1"/>
    </sheetNames>
    <sheetDataSet>
      <sheetData sheetId="0">
        <row r="2">
          <cell r="A2" t="str">
            <v>Carolina County Board of Education, North Carolina</v>
          </cell>
        </row>
      </sheetData>
      <sheetData sheetId="1">
        <row r="61">
          <cell r="A61" t="str">
            <v>The notes to the financial statements are an integral part of this statement.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WNetPos"/>
      <sheetName val="GWStmtAct"/>
      <sheetName val="GASB34GovtFundsBS"/>
      <sheetName val="GASB34GovtFundsIS"/>
      <sheetName val="Recon Change Net Pos"/>
      <sheetName val="GASB34GovtFundsBudget"/>
      <sheetName val="Net Pos-Prop"/>
      <sheetName val="Rev, exp-Prop"/>
      <sheetName val="Cash Flow-Prop"/>
      <sheetName val="Fid Fund BS"/>
      <sheetName val="Fid Fund IS"/>
      <sheetName val="RSI TSERS NPL"/>
      <sheetName val="RSI TSERS Contr"/>
      <sheetName val="RSI RHBF"/>
      <sheetName val="RSI RHBF Contr"/>
      <sheetName val="RSI DIPNC"/>
      <sheetName val="RSI DIPNC Contr"/>
      <sheetName val="GenFund Bud-Act"/>
      <sheetName val="BS-NonMajorGovt"/>
      <sheetName val="FGF-BA"/>
      <sheetName val="COF-BA "/>
      <sheetName val="SFSF-BA"/>
      <sheetName val="CCF-BA"/>
      <sheetName val="Major Fund Det"/>
      <sheetName val="Sheet1"/>
    </sheetNames>
    <sheetDataSet>
      <sheetData sheetId="1">
        <row r="2">
          <cell r="A2" t="str">
            <v>Carolina County Board of Education, North Carolina</v>
          </cell>
        </row>
      </sheetData>
      <sheetData sheetId="8">
        <row r="44">
          <cell r="B44">
            <v>149.94</v>
          </cell>
          <cell r="C44">
            <v>64.26</v>
          </cell>
        </row>
        <row r="45">
          <cell r="B45">
            <v>-74.61999999999999</v>
          </cell>
          <cell r="C45">
            <v>-31.98</v>
          </cell>
        </row>
        <row r="47">
          <cell r="B47">
            <v>59408.02</v>
          </cell>
          <cell r="C47">
            <v>25460.58</v>
          </cell>
        </row>
      </sheetData>
      <sheetData sheetId="11">
        <row r="14">
          <cell r="B14">
            <v>460812</v>
          </cell>
          <cell r="C14">
            <v>501643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9"/>
  <sheetViews>
    <sheetView showGridLines="0" tabSelected="1" zoomScalePageLayoutView="0" workbookViewId="0" topLeftCell="A1">
      <selection activeCell="B13" sqref="B13"/>
    </sheetView>
  </sheetViews>
  <sheetFormatPr defaultColWidth="9.140625" defaultRowHeight="12.75"/>
  <cols>
    <col min="1" max="1" width="46.28125" style="19" customWidth="1"/>
    <col min="2" max="5" width="15.7109375" style="19" customWidth="1"/>
    <col min="6" max="6" width="12.421875" style="19" bestFit="1" customWidth="1"/>
    <col min="7" max="7" width="10.421875" style="19" bestFit="1" customWidth="1"/>
    <col min="8" max="16384" width="9.140625" style="19" customWidth="1"/>
  </cols>
  <sheetData>
    <row r="1" spans="1:5" ht="12.75">
      <c r="A1" s="23"/>
      <c r="B1" s="23"/>
      <c r="C1" s="23"/>
      <c r="D1" s="23"/>
      <c r="E1" s="65" t="s">
        <v>64</v>
      </c>
    </row>
    <row r="2" spans="1:5" ht="12.75">
      <c r="A2" s="311" t="s">
        <v>0</v>
      </c>
      <c r="B2" s="311"/>
      <c r="C2" s="311"/>
      <c r="D2" s="311"/>
      <c r="E2" s="311"/>
    </row>
    <row r="3" spans="1:5" ht="12.75">
      <c r="A3" s="311" t="s">
        <v>65</v>
      </c>
      <c r="B3" s="311"/>
      <c r="C3" s="311"/>
      <c r="D3" s="311"/>
      <c r="E3" s="311"/>
    </row>
    <row r="4" spans="1:5" ht="12.75">
      <c r="A4" s="312" t="s">
        <v>555</v>
      </c>
      <c r="B4" s="311"/>
      <c r="C4" s="311"/>
      <c r="D4" s="311"/>
      <c r="E4" s="311"/>
    </row>
    <row r="5" spans="1:5" ht="12.75">
      <c r="A5" s="23"/>
      <c r="B5" s="23"/>
      <c r="C5" s="23"/>
      <c r="D5" s="23"/>
      <c r="E5" s="23"/>
    </row>
    <row r="6" spans="1:5" ht="12.75">
      <c r="A6" s="23"/>
      <c r="B6" s="23"/>
      <c r="C6" s="23"/>
      <c r="D6" s="23"/>
      <c r="E6" s="23"/>
    </row>
    <row r="7" spans="1:4" ht="12.75">
      <c r="A7" s="23"/>
      <c r="B7" s="313" t="s">
        <v>66</v>
      </c>
      <c r="C7" s="313"/>
      <c r="D7" s="313"/>
    </row>
    <row r="8" spans="1:4" ht="25.5">
      <c r="A8" s="23"/>
      <c r="B8" s="66" t="s">
        <v>67</v>
      </c>
      <c r="C8" s="66" t="s">
        <v>68</v>
      </c>
      <c r="D8" s="66" t="s">
        <v>20</v>
      </c>
    </row>
    <row r="9" spans="1:4" ht="12.75">
      <c r="A9" s="23" t="s">
        <v>69</v>
      </c>
      <c r="B9" s="23"/>
      <c r="C9" s="23"/>
      <c r="D9" s="23"/>
    </row>
    <row r="10" spans="1:4" ht="12.75">
      <c r="A10" s="32" t="s">
        <v>70</v>
      </c>
      <c r="B10" s="67">
        <f>387500+40000-(0.8*48500)-(0.8*27219)-(0.8*0.5*1260)-(0.8*50000)-(0.8*30000)-(560)</f>
        <v>301860.8</v>
      </c>
      <c r="C10" s="67">
        <f>348444-(0.2*48500)-(0.2*27219)-(0.2*1260*0.5)-(0.2*50000)-(0.2*30000)-(140)</f>
        <v>317034.2</v>
      </c>
      <c r="D10" s="67">
        <f aca="true" t="shared" si="0" ref="D10:D16">+B10+C10</f>
        <v>618895</v>
      </c>
    </row>
    <row r="11" spans="1:4" ht="12.75">
      <c r="A11" s="32" t="s">
        <v>71</v>
      </c>
      <c r="B11" s="68">
        <f>406472-15150-25000+(200000)</f>
        <v>566322</v>
      </c>
      <c r="C11" s="68">
        <v>143714</v>
      </c>
      <c r="D11" s="68">
        <f t="shared" si="0"/>
        <v>710036</v>
      </c>
    </row>
    <row r="12" spans="1:4" ht="12.75">
      <c r="A12" s="32" t="s">
        <v>72</v>
      </c>
      <c r="B12" s="68">
        <v>1430</v>
      </c>
      <c r="C12" s="68">
        <v>4500</v>
      </c>
      <c r="D12" s="68">
        <f t="shared" si="0"/>
        <v>5930</v>
      </c>
    </row>
    <row r="13" spans="1:5" ht="12.75">
      <c r="A13" s="32" t="s">
        <v>73</v>
      </c>
      <c r="B13" s="68">
        <f>(1821*0.8*0.5)-(453)</f>
        <v>275.4000000000001</v>
      </c>
      <c r="C13" s="68">
        <f>(0.2*1821*0.5)-(113)</f>
        <v>69.10000000000002</v>
      </c>
      <c r="D13" s="68">
        <f>SUM(B13:C13)</f>
        <v>344.5000000000001</v>
      </c>
      <c r="E13" s="75"/>
    </row>
    <row r="14" spans="1:4" ht="12.75">
      <c r="A14" s="32" t="s">
        <v>74</v>
      </c>
      <c r="B14" s="68">
        <v>7700</v>
      </c>
      <c r="C14" s="68">
        <v>-7700</v>
      </c>
      <c r="D14" s="68">
        <f t="shared" si="0"/>
        <v>0</v>
      </c>
    </row>
    <row r="15" spans="1:4" ht="12.75">
      <c r="A15" s="32" t="s">
        <v>75</v>
      </c>
      <c r="B15" s="68">
        <v>14200</v>
      </c>
      <c r="C15" s="68">
        <v>42660</v>
      </c>
      <c r="D15" s="68">
        <f t="shared" si="0"/>
        <v>56860</v>
      </c>
    </row>
    <row r="16" spans="1:4" ht="12.75">
      <c r="A16" s="32" t="s">
        <v>76</v>
      </c>
      <c r="B16" s="68">
        <v>11580</v>
      </c>
      <c r="C16" s="68">
        <v>0</v>
      </c>
      <c r="D16" s="68">
        <f t="shared" si="0"/>
        <v>11580</v>
      </c>
    </row>
    <row r="17" spans="1:4" ht="12.75">
      <c r="A17" s="19" t="s">
        <v>77</v>
      </c>
      <c r="B17" s="68"/>
      <c r="C17" s="68"/>
      <c r="D17" s="68"/>
    </row>
    <row r="18" spans="1:4" ht="14.25" customHeight="1">
      <c r="A18" s="38" t="s">
        <v>78</v>
      </c>
      <c r="B18" s="68">
        <v>3857000</v>
      </c>
      <c r="C18" s="68">
        <v>0</v>
      </c>
      <c r="D18" s="68">
        <f>+B18+C18</f>
        <v>3857000</v>
      </c>
    </row>
    <row r="19" spans="1:4" ht="12.75">
      <c r="A19" s="69" t="s">
        <v>79</v>
      </c>
      <c r="B19" s="70">
        <f>4302293+1100910+6001882</f>
        <v>11405085</v>
      </c>
      <c r="C19" s="70">
        <v>49170</v>
      </c>
      <c r="D19" s="70">
        <f>SUM(B19:C19)</f>
        <v>11454255</v>
      </c>
    </row>
    <row r="20" spans="1:4" ht="12.75">
      <c r="A20" s="71" t="s">
        <v>80</v>
      </c>
      <c r="B20" s="70">
        <f>SUM(B18:B19)</f>
        <v>15262085</v>
      </c>
      <c r="C20" s="70">
        <f>SUM(C18:C19)</f>
        <v>49170</v>
      </c>
      <c r="D20" s="70">
        <f>SUM(D18:D19)</f>
        <v>15311255</v>
      </c>
    </row>
    <row r="21" spans="1:4" ht="12.75">
      <c r="A21" s="72" t="s">
        <v>81</v>
      </c>
      <c r="B21" s="73">
        <f>B20+SUM(B10:B16)</f>
        <v>16165453.2</v>
      </c>
      <c r="C21" s="73">
        <f>C20+SUM(C10:C16)</f>
        <v>549447.3</v>
      </c>
      <c r="D21" s="73">
        <f>D20+SUM(D10:D16)</f>
        <v>16714900.5</v>
      </c>
    </row>
    <row r="22" spans="1:4" ht="12.75">
      <c r="A22" s="72"/>
      <c r="B22" s="74"/>
      <c r="C22" s="74"/>
      <c r="D22" s="74"/>
    </row>
    <row r="23" spans="1:11" ht="12.75" hidden="1">
      <c r="A23" s="19" t="s">
        <v>549</v>
      </c>
      <c r="B23" s="74">
        <f>0.8*((38325-38325-1668+348+26105-5450+39000)+(-39000+25830-5102+7152-5551+129867-25973-7394-103894+45000)+(523-45523+2314-5102-26552-5551+171895+72020-34379-16040+46000+22095)+(6003-12232-97898-10652+48500-46000)+(23715+1331+37967+6848+50000-48500))</f>
        <v>176041.6</v>
      </c>
      <c r="C23" s="74">
        <f>ROUND(0.25*B23,0)</f>
        <v>44010</v>
      </c>
      <c r="D23" s="74">
        <f>SUM(B23:C23)</f>
        <v>220051.6</v>
      </c>
      <c r="F23" s="75"/>
      <c r="G23" s="75"/>
      <c r="H23" s="75"/>
      <c r="K23" s="75"/>
    </row>
    <row r="24" spans="1:11" ht="12.75" hidden="1">
      <c r="A24" s="19" t="s">
        <v>550</v>
      </c>
      <c r="B24" s="74">
        <f>0.8*(27219)+(0.8*(30000+118+57630-27219))</f>
        <v>70198.40000000001</v>
      </c>
      <c r="C24" s="74">
        <f>0.2*27219+(0.2*(30000+118+57630-27219))</f>
        <v>17549.600000000002</v>
      </c>
      <c r="D24" s="74">
        <f>SUM(B24:C24)</f>
        <v>87748.00000000001</v>
      </c>
      <c r="F24" s="75"/>
      <c r="G24" s="75"/>
      <c r="H24" s="75"/>
      <c r="K24" s="75"/>
    </row>
    <row r="25" spans="1:11" ht="12.75" hidden="1">
      <c r="A25" s="19" t="s">
        <v>551</v>
      </c>
      <c r="B25" s="74">
        <f>0.8*(499+399+227+1260)*0.5+(378+65+92+126+560-504)</f>
        <v>1671</v>
      </c>
      <c r="C25" s="74">
        <f>B25*0.25</f>
        <v>417.75</v>
      </c>
      <c r="D25" s="74">
        <f>SUM(B25:C25)</f>
        <v>2088.75</v>
      </c>
      <c r="F25" s="75"/>
      <c r="G25" s="75"/>
      <c r="H25" s="75"/>
      <c r="K25" s="75"/>
    </row>
    <row r="26" spans="1:11" ht="12.75">
      <c r="A26" s="19" t="s">
        <v>558</v>
      </c>
      <c r="B26" s="74">
        <f>SUM(B23:B25)</f>
        <v>247911</v>
      </c>
      <c r="C26" s="74">
        <f>SUM(C23:C25)</f>
        <v>61977.350000000006</v>
      </c>
      <c r="D26" s="74">
        <f>SUM(D23:D25)</f>
        <v>309888.35000000003</v>
      </c>
      <c r="F26" s="75"/>
      <c r="G26" s="75"/>
      <c r="H26" s="75"/>
      <c r="K26" s="75"/>
    </row>
    <row r="27" spans="1:6" ht="12.75">
      <c r="A27" s="72"/>
      <c r="B27" s="74"/>
      <c r="C27" s="74"/>
      <c r="D27" s="74"/>
      <c r="F27" s="75"/>
    </row>
    <row r="28" spans="1:8" ht="12.75">
      <c r="A28" s="23" t="s">
        <v>83</v>
      </c>
      <c r="H28" s="75"/>
    </row>
    <row r="29" spans="1:6" ht="12.75">
      <c r="A29" s="32" t="s">
        <v>84</v>
      </c>
      <c r="B29" s="68">
        <v>80300</v>
      </c>
      <c r="C29" s="68">
        <v>5200</v>
      </c>
      <c r="D29" s="68">
        <v>85500</v>
      </c>
      <c r="F29" s="75"/>
    </row>
    <row r="30" spans="1:7" ht="12.75" customHeight="1">
      <c r="A30" s="32" t="s">
        <v>85</v>
      </c>
      <c r="B30" s="68">
        <f>305000</f>
        <v>305000</v>
      </c>
      <c r="C30" s="68">
        <v>0</v>
      </c>
      <c r="D30" s="68">
        <f>SUM(B30:C30)</f>
        <v>305000</v>
      </c>
      <c r="G30" s="68"/>
    </row>
    <row r="31" spans="1:4" ht="12.75">
      <c r="A31" s="19" t="s">
        <v>86</v>
      </c>
      <c r="B31" s="68">
        <f>831</f>
        <v>831</v>
      </c>
      <c r="C31" s="68">
        <v>0</v>
      </c>
      <c r="D31" s="68">
        <f>SUM(B31:C31)</f>
        <v>831</v>
      </c>
    </row>
    <row r="32" spans="1:4" ht="12.75">
      <c r="A32" s="19" t="s">
        <v>87</v>
      </c>
      <c r="B32" s="68"/>
      <c r="C32" s="68"/>
      <c r="D32" s="68"/>
    </row>
    <row r="33" spans="1:4" ht="12.75">
      <c r="A33" s="69" t="s">
        <v>88</v>
      </c>
      <c r="B33" s="68">
        <f>109536-2000</f>
        <v>107536</v>
      </c>
      <c r="C33" s="68">
        <v>5000</v>
      </c>
      <c r="D33" s="68">
        <f>SUM(B33:C33)</f>
        <v>112536</v>
      </c>
    </row>
    <row r="34" spans="1:4" ht="12.75">
      <c r="A34" s="19" t="s">
        <v>89</v>
      </c>
      <c r="B34" s="68">
        <f>0.8*((182131-38325-1668+26105-11847-169836+53655)+(-43612+7152-7394-11238+129867+33892)+(-45523+3317-7019-7854+171895+72020+43872)+(-102678)+(130292))-1</f>
        <v>325762.2</v>
      </c>
      <c r="C34" s="68">
        <f>0.25*B34</f>
        <v>81440.55</v>
      </c>
      <c r="D34" s="68">
        <f>SUM(B34:C34)</f>
        <v>407202.75</v>
      </c>
    </row>
    <row r="35" spans="1:4" ht="12.75">
      <c r="A35" s="19" t="s">
        <v>90</v>
      </c>
      <c r="B35" s="68">
        <f>0.8*(1204359)-(0.8*(110972))</f>
        <v>874709.6000000001</v>
      </c>
      <c r="C35" s="68">
        <f>0.25*B35</f>
        <v>218677.40000000002</v>
      </c>
      <c r="D35" s="68">
        <f>SUM(B35:C35)</f>
        <v>1093387</v>
      </c>
    </row>
    <row r="36" spans="1:6" ht="12.75">
      <c r="A36" s="69" t="s">
        <v>91</v>
      </c>
      <c r="B36" s="70">
        <f>24377-7840+164000+120000-54000-45696</f>
        <v>200841</v>
      </c>
      <c r="C36" s="70">
        <f>13016-5000</f>
        <v>8016</v>
      </c>
      <c r="D36" s="68">
        <f>SUM(B36:C36)</f>
        <v>208857</v>
      </c>
      <c r="F36" s="76"/>
    </row>
    <row r="37" spans="1:6" ht="12.75">
      <c r="A37" s="71" t="s">
        <v>92</v>
      </c>
      <c r="B37" s="73">
        <f>SUM(B29:B36)</f>
        <v>1894979.8</v>
      </c>
      <c r="C37" s="73">
        <f>SUM(C29:C36)</f>
        <v>318333.95</v>
      </c>
      <c r="D37" s="73">
        <f>SUM(B37:C37)</f>
        <v>2213313.75</v>
      </c>
      <c r="F37" s="76"/>
    </row>
    <row r="38" spans="1:6" ht="12.75">
      <c r="A38" s="71"/>
      <c r="B38" s="74"/>
      <c r="C38" s="74"/>
      <c r="D38" s="74"/>
      <c r="F38" s="76"/>
    </row>
    <row r="39" spans="1:4" ht="12.75" hidden="1">
      <c r="A39" s="58" t="s">
        <v>546</v>
      </c>
      <c r="B39" s="74">
        <v>16100</v>
      </c>
      <c r="C39" s="74">
        <v>0</v>
      </c>
      <c r="D39" s="68">
        <f>SUM(B39:C39)</f>
        <v>16100</v>
      </c>
    </row>
    <row r="40" spans="1:8" ht="12.75" hidden="1">
      <c r="A40" s="19" t="s">
        <v>547</v>
      </c>
      <c r="B40" s="74">
        <f>56250-15150-25000+0.8*((11847+169836-2473-33967)+(1667+24163-2913-40008+7394+11238-2438-7394-103894)+(-12811)+(-8881+26291)+(-4972-9642))-12880-3222</f>
        <v>18432.4</v>
      </c>
      <c r="C40" s="74">
        <f>0.2*((11847+169836-2473-33967)+(1667+24163-2913-40008+7394+11238-2438-7394-103894)+(-12811)+(-8881+26291)+(-4972-9642)-16101-1)+3222</f>
        <v>4610.2</v>
      </c>
      <c r="D40" s="68">
        <f>SUM(B40:C40)</f>
        <v>23042.600000000002</v>
      </c>
      <c r="G40" s="75"/>
      <c r="H40" s="75"/>
    </row>
    <row r="41" spans="1:8" ht="12.75" hidden="1">
      <c r="A41" s="19" t="s">
        <v>561</v>
      </c>
      <c r="B41" s="74">
        <f>0.8*(86355+331675+448+5865)+(0.8*(-11584-448-1173+142005))</f>
        <v>442514.4</v>
      </c>
      <c r="C41" s="74">
        <f>0.2*(424343)+(0.2*(-11584-448-1173+142005))</f>
        <v>110628.6</v>
      </c>
      <c r="D41" s="68">
        <f>SUM(B41:C41)</f>
        <v>553143</v>
      </c>
      <c r="G41" s="75"/>
      <c r="H41" s="75"/>
    </row>
    <row r="42" spans="1:8" ht="12.75" hidden="1">
      <c r="A42" s="19" t="s">
        <v>548</v>
      </c>
      <c r="B42" s="74">
        <v>0</v>
      </c>
      <c r="C42" s="74">
        <f>0</f>
        <v>0</v>
      </c>
      <c r="D42" s="68">
        <f>SUM(B42:C42)</f>
        <v>0</v>
      </c>
      <c r="G42" s="75"/>
      <c r="H42" s="75"/>
    </row>
    <row r="43" spans="1:4" ht="12.75">
      <c r="A43" s="19" t="s">
        <v>559</v>
      </c>
      <c r="B43" s="74">
        <f>SUM(B39:B42)</f>
        <v>477046.80000000005</v>
      </c>
      <c r="C43" s="74">
        <f>SUM(C39:C42)</f>
        <v>115238.8</v>
      </c>
      <c r="D43" s="74">
        <f>SUM(D39:D42)</f>
        <v>592285.6</v>
      </c>
    </row>
    <row r="44" spans="1:7" ht="12.75">
      <c r="A44" s="23"/>
      <c r="B44" s="74"/>
      <c r="C44" s="74"/>
      <c r="D44" s="74"/>
      <c r="G44" s="75"/>
    </row>
    <row r="45" spans="1:6" ht="12.75">
      <c r="A45" s="23" t="s">
        <v>95</v>
      </c>
      <c r="B45" s="74"/>
      <c r="C45" s="74"/>
      <c r="D45" s="74"/>
      <c r="F45" s="75"/>
    </row>
    <row r="46" spans="1:4" ht="12.75">
      <c r="A46" s="32" t="s">
        <v>96</v>
      </c>
      <c r="B46" s="68">
        <f>8159293-24377-164000+1100910+6001882</f>
        <v>15073708</v>
      </c>
      <c r="C46" s="68">
        <v>49170</v>
      </c>
      <c r="D46" s="68">
        <f>SUM(B46:C46)</f>
        <v>15122878</v>
      </c>
    </row>
    <row r="47" spans="1:6" ht="12.75">
      <c r="A47" s="32" t="s">
        <v>97</v>
      </c>
      <c r="B47" s="68"/>
      <c r="C47" s="68"/>
      <c r="D47" s="68"/>
      <c r="F47" s="77"/>
    </row>
    <row r="48" spans="1:4" ht="12.75">
      <c r="A48" s="32" t="s">
        <v>98</v>
      </c>
      <c r="B48" s="68">
        <v>100072</v>
      </c>
      <c r="C48" s="68">
        <v>0</v>
      </c>
      <c r="D48" s="68">
        <f>SUM(B48:C48)</f>
        <v>100072</v>
      </c>
    </row>
    <row r="49" spans="1:4" ht="12.75">
      <c r="A49" s="32" t="s">
        <v>99</v>
      </c>
      <c r="B49" s="68">
        <v>14650</v>
      </c>
      <c r="C49" s="68">
        <v>0</v>
      </c>
      <c r="D49" s="68">
        <f>SUM(B49:C49)</f>
        <v>14650</v>
      </c>
    </row>
    <row r="50" spans="1:4" ht="12.75">
      <c r="A50" s="32" t="s">
        <v>100</v>
      </c>
      <c r="B50" s="68">
        <v>226000</v>
      </c>
      <c r="C50" s="68">
        <v>0</v>
      </c>
      <c r="D50" s="68">
        <f>SUM(B50:C50)</f>
        <v>226000</v>
      </c>
    </row>
    <row r="51" spans="1:4" ht="12.75">
      <c r="A51" s="38" t="s">
        <v>101</v>
      </c>
      <c r="B51" s="68">
        <f>B13+B25-B42</f>
        <v>1946.4</v>
      </c>
      <c r="C51" s="68">
        <f>C13+C25-C42</f>
        <v>486.85</v>
      </c>
      <c r="D51" s="68">
        <f>D13+D25-D42</f>
        <v>2433.25</v>
      </c>
    </row>
    <row r="52" spans="1:4" ht="12.75">
      <c r="A52" s="19" t="s">
        <v>102</v>
      </c>
      <c r="B52" s="70">
        <f>+B21+B26-B37-B46-B49-B48-B50-B51-B43</f>
        <v>-1375038.8000000017</v>
      </c>
      <c r="C52" s="70">
        <f>+C21+C26-C37-C46-C49-C48-C50-C51-C43</f>
        <v>128195.05</v>
      </c>
      <c r="D52" s="70">
        <f>+D21+D26-D37-D46-D49-D48-D50-D51-D43</f>
        <v>-1246843.7499999986</v>
      </c>
    </row>
    <row r="53" spans="1:7" ht="13.5" thickBot="1">
      <c r="A53" s="19" t="s">
        <v>560</v>
      </c>
      <c r="B53" s="78">
        <f>SUM(B46:B52)</f>
        <v>14041337.599999998</v>
      </c>
      <c r="C53" s="78">
        <f>SUM(C46:C52)-1</f>
        <v>177850.9</v>
      </c>
      <c r="D53" s="78">
        <f>SUM(D46:D52)-2</f>
        <v>14219187.500000002</v>
      </c>
      <c r="F53" s="75"/>
      <c r="G53" s="75"/>
    </row>
    <row r="54" spans="2:4" ht="14.25" thickBot="1" thickTop="1">
      <c r="B54" s="75"/>
      <c r="C54" s="75"/>
      <c r="D54" s="75"/>
    </row>
    <row r="55" spans="1:5" ht="12.75">
      <c r="A55" s="314" t="s">
        <v>104</v>
      </c>
      <c r="B55" s="315"/>
      <c r="C55" s="315"/>
      <c r="D55" s="315"/>
      <c r="E55" s="316"/>
    </row>
    <row r="56" spans="1:5" ht="54" customHeight="1" thickBot="1">
      <c r="A56" s="317"/>
      <c r="B56" s="318"/>
      <c r="C56" s="318"/>
      <c r="D56" s="318"/>
      <c r="E56" s="319"/>
    </row>
    <row r="57" spans="1:5" ht="12.75">
      <c r="A57" s="79"/>
      <c r="B57" s="79"/>
      <c r="C57" s="79"/>
      <c r="D57" s="79"/>
      <c r="E57" s="79"/>
    </row>
    <row r="58" ht="12.75">
      <c r="A58" s="19" t="s">
        <v>105</v>
      </c>
    </row>
    <row r="60" spans="1:4" ht="12.75">
      <c r="A60" s="45"/>
      <c r="B60" s="75"/>
      <c r="C60" s="75"/>
      <c r="D60" s="75"/>
    </row>
    <row r="61" spans="2:4" ht="12.75">
      <c r="B61" s="76">
        <f>B53-GWStmtAct!G55</f>
        <v>-0.19999998435378075</v>
      </c>
      <c r="C61" s="76">
        <f>C53-GWStmtAct!H55</f>
        <v>0.10999999998603016</v>
      </c>
      <c r="D61" s="76">
        <f>D53-GWStmtAct!I55</f>
        <v>-0.08999997936189175</v>
      </c>
    </row>
    <row r="63" spans="2:4" ht="12.75">
      <c r="B63" s="75">
        <f>B21+B23+B24+B25-B37-B39-B40-B41-B53-B42</f>
        <v>0</v>
      </c>
      <c r="C63" s="75">
        <f>C21+C23+C24+C25-C37-C39-C40-C41-C53-C42</f>
        <v>1</v>
      </c>
      <c r="D63" s="75">
        <f>D21+D23+D24+D25-D37-D39-D40-D41-D53-D42</f>
        <v>2</v>
      </c>
    </row>
    <row r="79" ht="12.75">
      <c r="B79" s="23"/>
    </row>
  </sheetData>
  <sheetProtection/>
  <mergeCells count="5">
    <mergeCell ref="A2:E2"/>
    <mergeCell ref="A3:E3"/>
    <mergeCell ref="A4:E4"/>
    <mergeCell ref="B7:D7"/>
    <mergeCell ref="A55:E56"/>
  </mergeCells>
  <printOptions/>
  <pageMargins left="0.7" right="0.7" top="0.75" bottom="0.75" header="0.3" footer="0.3"/>
  <pageSetup fitToHeight="1" fitToWidth="1" horizontalDpi="600" verticalDpi="600" orientation="portrait" scale="84" r:id="rId3"/>
  <headerFooter>
    <oddFooter>&amp;CPage &amp;P of &amp;N</oddFooter>
  </headerFooter>
  <legacyDrawing r:id="rId2"/>
</worksheet>
</file>

<file path=xl/worksheets/sheet10.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B28" sqref="B28"/>
    </sheetView>
  </sheetViews>
  <sheetFormatPr defaultColWidth="9.140625" defaultRowHeight="12.75"/>
  <cols>
    <col min="1" max="2" width="2.7109375" style="19" customWidth="1"/>
    <col min="3" max="3" width="36.57421875" style="19" customWidth="1"/>
    <col min="4" max="7" width="9.140625" style="19" customWidth="1"/>
    <col min="8" max="8" width="9.8515625" style="19" bestFit="1" customWidth="1"/>
    <col min="9" max="16384" width="9.140625" style="19" customWidth="1"/>
  </cols>
  <sheetData>
    <row r="1" spans="1:8" ht="12.75">
      <c r="A1" s="22" t="s">
        <v>314</v>
      </c>
      <c r="B1" s="22"/>
      <c r="C1" s="22"/>
      <c r="D1" s="22"/>
      <c r="E1" s="22"/>
      <c r="F1" s="22"/>
      <c r="G1" s="111"/>
      <c r="H1" s="88" t="s">
        <v>315</v>
      </c>
    </row>
    <row r="2" spans="1:7" ht="12.75">
      <c r="A2" s="22" t="s">
        <v>316</v>
      </c>
      <c r="B2" s="22"/>
      <c r="C2" s="22"/>
      <c r="D2" s="22"/>
      <c r="E2" s="22"/>
      <c r="F2" s="22"/>
      <c r="G2" s="22"/>
    </row>
    <row r="3" spans="1:7" ht="12.75">
      <c r="A3" s="22" t="s">
        <v>317</v>
      </c>
      <c r="B3" s="22"/>
      <c r="C3" s="22"/>
      <c r="D3" s="22"/>
      <c r="E3" s="22"/>
      <c r="F3" s="22"/>
      <c r="G3" s="22"/>
    </row>
    <row r="4" spans="1:9" ht="12.75">
      <c r="A4" s="346" t="s">
        <v>556</v>
      </c>
      <c r="B4" s="346"/>
      <c r="C4" s="346"/>
      <c r="D4" s="346"/>
      <c r="E4" s="346"/>
      <c r="F4" s="346"/>
      <c r="G4" s="346"/>
      <c r="H4" s="17"/>
      <c r="I4" s="17"/>
    </row>
    <row r="6" ht="12.75">
      <c r="G6" s="48" t="s">
        <v>318</v>
      </c>
    </row>
    <row r="7" ht="12.75">
      <c r="G7" s="48" t="s">
        <v>319</v>
      </c>
    </row>
    <row r="8" ht="12.75">
      <c r="G8" s="80" t="s">
        <v>320</v>
      </c>
    </row>
    <row r="9" ht="12.75">
      <c r="A9" s="23" t="s">
        <v>69</v>
      </c>
    </row>
    <row r="11" spans="1:7" ht="12.75">
      <c r="A11" s="19" t="s">
        <v>70</v>
      </c>
      <c r="G11" s="33">
        <v>13000</v>
      </c>
    </row>
    <row r="12" spans="1:7" ht="12.75">
      <c r="A12" s="19" t="s">
        <v>321</v>
      </c>
      <c r="G12" s="37">
        <v>142</v>
      </c>
    </row>
    <row r="13" ht="12.75">
      <c r="G13" s="39">
        <v>13142</v>
      </c>
    </row>
    <row r="14" ht="12.75">
      <c r="G14" s="35"/>
    </row>
    <row r="15" spans="1:7" ht="12.75">
      <c r="A15" s="23" t="s">
        <v>83</v>
      </c>
      <c r="G15" s="37">
        <v>0</v>
      </c>
    </row>
    <row r="16" ht="12.75">
      <c r="G16" s="35"/>
    </row>
    <row r="17" spans="1:7" ht="12.75">
      <c r="A17" s="23" t="s">
        <v>95</v>
      </c>
      <c r="G17" s="35"/>
    </row>
    <row r="18" ht="12.75">
      <c r="G18" s="35"/>
    </row>
    <row r="19" spans="1:7" ht="13.5" thickBot="1">
      <c r="A19" s="19" t="s">
        <v>322</v>
      </c>
      <c r="G19" s="110">
        <v>13142</v>
      </c>
    </row>
    <row r="20" ht="13.5" thickTop="1"/>
    <row r="22" ht="12.75">
      <c r="A22" s="19" t="e">
        <f>#REF!</f>
        <v>#REF!</v>
      </c>
    </row>
  </sheetData>
  <sheetProtection/>
  <mergeCells count="1">
    <mergeCell ref="A4:G4"/>
  </mergeCells>
  <printOptions horizontalCentered="1"/>
  <pageMargins left="0.75" right="0.75" top="1" bottom="1" header="0.5" footer="0.5"/>
  <pageSetup firstPageNumber="19" useFirstPageNumber="1" fitToHeight="0"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H178"/>
  <sheetViews>
    <sheetView showGridLines="0" zoomScalePageLayoutView="0" workbookViewId="0" topLeftCell="A1">
      <selection activeCell="B28" sqref="B28"/>
    </sheetView>
  </sheetViews>
  <sheetFormatPr defaultColWidth="9.140625" defaultRowHeight="12.75"/>
  <cols>
    <col min="1" max="2" width="2.7109375" style="19" customWidth="1"/>
    <col min="3" max="3" width="36.57421875" style="19" customWidth="1"/>
    <col min="4" max="6" width="9.140625" style="19" customWidth="1"/>
    <col min="7" max="8" width="9.8515625" style="19" bestFit="1" customWidth="1"/>
    <col min="9" max="16384" width="9.140625" style="19" customWidth="1"/>
  </cols>
  <sheetData>
    <row r="1" spans="1:8" ht="12.75">
      <c r="A1" s="22" t="s">
        <v>314</v>
      </c>
      <c r="B1" s="22"/>
      <c r="C1" s="22"/>
      <c r="D1" s="22"/>
      <c r="E1" s="22"/>
      <c r="F1" s="22"/>
      <c r="G1" s="111"/>
      <c r="H1" s="88" t="s">
        <v>323</v>
      </c>
    </row>
    <row r="2" spans="1:7" ht="12.75">
      <c r="A2" s="22" t="s">
        <v>324</v>
      </c>
      <c r="B2" s="22"/>
      <c r="C2" s="22"/>
      <c r="D2" s="22"/>
      <c r="E2" s="22"/>
      <c r="F2" s="22"/>
      <c r="G2" s="22"/>
    </row>
    <row r="3" spans="1:7" ht="12.75">
      <c r="A3" s="22" t="s">
        <v>317</v>
      </c>
      <c r="B3" s="22"/>
      <c r="C3" s="22"/>
      <c r="D3" s="22"/>
      <c r="E3" s="22"/>
      <c r="F3" s="22"/>
      <c r="G3" s="22"/>
    </row>
    <row r="4" spans="1:7" ht="12.75">
      <c r="A4" s="133" t="str">
        <f>GWStmtAct!A4</f>
        <v>For the Year Ended June 30, 2019</v>
      </c>
      <c r="B4" s="22"/>
      <c r="C4" s="22"/>
      <c r="D4" s="22"/>
      <c r="E4" s="22"/>
      <c r="F4" s="22"/>
      <c r="G4" s="22"/>
    </row>
    <row r="5" spans="1:7" ht="12.75">
      <c r="A5" s="22"/>
      <c r="B5" s="22"/>
      <c r="C5" s="22"/>
      <c r="D5" s="22"/>
      <c r="E5" s="22"/>
      <c r="F5" s="22"/>
      <c r="G5" s="22"/>
    </row>
    <row r="6" spans="1:7" ht="12.75">
      <c r="A6" s="22"/>
      <c r="B6" s="22"/>
      <c r="C6" s="22"/>
      <c r="D6" s="22"/>
      <c r="E6" s="22"/>
      <c r="F6" s="22"/>
      <c r="G6" s="48" t="s">
        <v>318</v>
      </c>
    </row>
    <row r="7" spans="1:7" ht="12.75">
      <c r="A7" s="22"/>
      <c r="B7" s="22"/>
      <c r="C7" s="22"/>
      <c r="D7" s="22"/>
      <c r="E7" s="22"/>
      <c r="F7" s="22"/>
      <c r="G7" s="48" t="s">
        <v>319</v>
      </c>
    </row>
    <row r="8" ht="12.75">
      <c r="G8" s="80" t="s">
        <v>320</v>
      </c>
    </row>
    <row r="9" ht="12.75">
      <c r="A9" s="88" t="s">
        <v>325</v>
      </c>
    </row>
    <row r="10" spans="1:7" ht="12.75">
      <c r="A10" s="58"/>
      <c r="B10" s="19" t="s">
        <v>326</v>
      </c>
      <c r="G10" s="33">
        <v>10000</v>
      </c>
    </row>
    <row r="11" spans="1:7" ht="12.75">
      <c r="A11" s="58"/>
      <c r="G11" s="35"/>
    </row>
    <row r="12" spans="1:7" ht="12.75">
      <c r="A12" s="88" t="s">
        <v>327</v>
      </c>
      <c r="G12" s="36"/>
    </row>
    <row r="13" spans="1:7" ht="12.75">
      <c r="A13" s="58"/>
      <c r="B13" s="19" t="s">
        <v>328</v>
      </c>
      <c r="G13" s="37">
        <v>4858</v>
      </c>
    </row>
    <row r="14" spans="1:7" ht="12.75">
      <c r="A14" s="58"/>
      <c r="G14" s="36"/>
    </row>
    <row r="15" spans="1:7" ht="12.75">
      <c r="A15" s="58" t="s">
        <v>156</v>
      </c>
      <c r="G15" s="36">
        <v>5142</v>
      </c>
    </row>
    <row r="16" spans="1:7" ht="12.75">
      <c r="A16" s="58"/>
      <c r="G16" s="36"/>
    </row>
    <row r="17" spans="1:7" ht="12.75">
      <c r="A17" s="58" t="s">
        <v>329</v>
      </c>
      <c r="G17" s="37">
        <v>8000</v>
      </c>
    </row>
    <row r="18" spans="1:7" ht="13.5" thickBot="1">
      <c r="A18" s="58" t="s">
        <v>157</v>
      </c>
      <c r="G18" s="110">
        <v>13142</v>
      </c>
    </row>
    <row r="19" ht="13.5" thickTop="1">
      <c r="G19" s="34"/>
    </row>
    <row r="20" spans="1:6" ht="12.75">
      <c r="A20" s="58"/>
      <c r="F20" s="30"/>
    </row>
    <row r="21" ht="12.75">
      <c r="A21" s="58" t="e">
        <f>#REF!</f>
        <v>#REF!</v>
      </c>
    </row>
    <row r="22" ht="12.75">
      <c r="A22" s="58"/>
    </row>
    <row r="23" ht="12.75">
      <c r="A23" s="58"/>
    </row>
    <row r="24" ht="12.75">
      <c r="A24" s="58"/>
    </row>
    <row r="126" ht="12.75">
      <c r="D126" s="65"/>
    </row>
    <row r="178" ht="12.75">
      <c r="E178" s="65"/>
    </row>
  </sheetData>
  <sheetProtection/>
  <printOptions horizontalCentered="1"/>
  <pageMargins left="0.75" right="0.75" top="1" bottom="1" header="0.5" footer="0.5"/>
  <pageSetup firstPageNumber="19" useFirstPageNumber="1" fitToHeight="0" horizontalDpi="600" verticalDpi="600" orientation="portrait" scale="91" r:id="rId1"/>
</worksheet>
</file>

<file path=xl/worksheets/sheet12.xml><?xml version="1.0" encoding="utf-8"?>
<worksheet xmlns="http://schemas.openxmlformats.org/spreadsheetml/2006/main" xmlns:r="http://schemas.openxmlformats.org/officeDocument/2006/relationships">
  <sheetPr>
    <pageSetUpPr fitToPage="1"/>
  </sheetPr>
  <dimension ref="A2:I30"/>
  <sheetViews>
    <sheetView showGridLines="0" zoomScalePageLayoutView="0" workbookViewId="0" topLeftCell="A1">
      <selection activeCell="B14" sqref="B14"/>
    </sheetView>
  </sheetViews>
  <sheetFormatPr defaultColWidth="8.8515625" defaultRowHeight="12.75"/>
  <cols>
    <col min="1" max="1" width="58.7109375" style="1" customWidth="1"/>
    <col min="2" max="5" width="12.421875" style="1" customWidth="1"/>
    <col min="6" max="6" width="12.421875" style="1" bestFit="1" customWidth="1"/>
    <col min="7" max="7" width="21.140625" style="1" customWidth="1"/>
    <col min="8" max="8" width="8.8515625" style="1" customWidth="1"/>
    <col min="9" max="9" width="12.421875" style="1" bestFit="1" customWidth="1"/>
    <col min="10" max="10" width="8.8515625" style="1" customWidth="1"/>
    <col min="11" max="11" width="12.28125" style="1" bestFit="1" customWidth="1"/>
    <col min="12" max="16384" width="8.8515625" style="1" customWidth="1"/>
  </cols>
  <sheetData>
    <row r="2" spans="1:8" ht="12.75">
      <c r="A2" s="346" t="str">
        <f>'[5]GWStmtAct'!A2</f>
        <v>Carolina County Board of Education, North Carolina</v>
      </c>
      <c r="B2" s="346"/>
      <c r="C2" s="346"/>
      <c r="D2" s="346"/>
      <c r="E2" s="346"/>
      <c r="F2" s="346"/>
      <c r="G2" s="346"/>
      <c r="H2" s="346"/>
    </row>
    <row r="3" spans="1:8" ht="12.75">
      <c r="A3" s="353" t="s">
        <v>330</v>
      </c>
      <c r="B3" s="353"/>
      <c r="C3" s="353"/>
      <c r="D3" s="353"/>
      <c r="E3" s="353"/>
      <c r="F3" s="353"/>
      <c r="G3" s="353"/>
      <c r="H3" s="353"/>
    </row>
    <row r="4" spans="1:8" ht="12.75" customHeight="1">
      <c r="A4" s="354" t="s">
        <v>331</v>
      </c>
      <c r="B4" s="354"/>
      <c r="C4" s="354"/>
      <c r="D4" s="354"/>
      <c r="E4" s="354"/>
      <c r="F4" s="354"/>
      <c r="G4" s="354"/>
      <c r="H4" s="354"/>
    </row>
    <row r="5" spans="1:8" ht="12.75">
      <c r="A5" s="354" t="s">
        <v>332</v>
      </c>
      <c r="B5" s="354"/>
      <c r="C5" s="354"/>
      <c r="D5" s="354"/>
      <c r="E5" s="354"/>
      <c r="F5" s="354"/>
      <c r="G5" s="354"/>
      <c r="H5" s="354"/>
    </row>
    <row r="6" spans="1:8" ht="12.75">
      <c r="A6" s="355" t="s">
        <v>553</v>
      </c>
      <c r="B6" s="355"/>
      <c r="C6" s="355"/>
      <c r="D6" s="355"/>
      <c r="E6" s="355"/>
      <c r="F6" s="355"/>
      <c r="G6" s="355"/>
      <c r="H6" s="355"/>
    </row>
    <row r="7" spans="1:8" ht="12.75">
      <c r="A7" s="14"/>
      <c r="B7" s="14"/>
      <c r="C7" s="308"/>
      <c r="D7" s="14"/>
      <c r="E7" s="14"/>
      <c r="F7" s="14"/>
      <c r="G7" s="14"/>
      <c r="H7" s="14"/>
    </row>
    <row r="10" spans="2:7" ht="12.75">
      <c r="B10" s="134">
        <v>2019</v>
      </c>
      <c r="C10" s="134">
        <v>2018</v>
      </c>
      <c r="D10" s="134">
        <v>2017</v>
      </c>
      <c r="E10" s="134">
        <v>2016</v>
      </c>
      <c r="F10" s="134">
        <v>2015</v>
      </c>
      <c r="G10" s="134">
        <v>2014</v>
      </c>
    </row>
    <row r="11" spans="6:7" ht="12.75">
      <c r="F11" s="4"/>
      <c r="G11" s="4"/>
    </row>
    <row r="12" spans="1:7" ht="12.75">
      <c r="A12" s="135" t="s">
        <v>333</v>
      </c>
      <c r="B12" s="136">
        <v>4E-05</v>
      </c>
      <c r="C12" s="136">
        <v>3.21E-05</v>
      </c>
      <c r="D12" s="136">
        <v>4.13E-05</v>
      </c>
      <c r="E12" s="136">
        <v>3.56E-05</v>
      </c>
      <c r="F12" s="136">
        <v>3.43E-05</v>
      </c>
      <c r="G12" s="136">
        <v>3E-05</v>
      </c>
    </row>
    <row r="13" spans="1:9" ht="12.75">
      <c r="A13" s="135" t="s">
        <v>334</v>
      </c>
      <c r="B13" s="137">
        <v>407204</v>
      </c>
      <c r="C13" s="137">
        <v>276911</v>
      </c>
      <c r="D13" s="138">
        <v>379589</v>
      </c>
      <c r="E13" s="138">
        <v>148882</v>
      </c>
      <c r="F13" s="138">
        <v>40215</v>
      </c>
      <c r="G13" s="138">
        <v>182131</v>
      </c>
      <c r="I13" s="139"/>
    </row>
    <row r="14" spans="1:7" ht="12.75">
      <c r="A14" s="140" t="s">
        <v>7</v>
      </c>
      <c r="B14" s="137">
        <v>449907</v>
      </c>
      <c r="C14" s="137">
        <v>460812</v>
      </c>
      <c r="D14" s="137">
        <f>'RSI TSERS Contr'!F13</f>
        <v>501643</v>
      </c>
      <c r="E14" s="137">
        <v>434966</v>
      </c>
      <c r="F14" s="137">
        <v>425669</v>
      </c>
      <c r="G14" s="137">
        <v>422669</v>
      </c>
    </row>
    <row r="15" spans="1:7" s="7" customFormat="1" ht="25.5">
      <c r="A15" s="141" t="s">
        <v>335</v>
      </c>
      <c r="B15" s="142">
        <f aca="true" t="shared" si="0" ref="B15:G15">B13/B14</f>
        <v>0.9050848286423638</v>
      </c>
      <c r="C15" s="142">
        <f t="shared" si="0"/>
        <v>0.6009196809110874</v>
      </c>
      <c r="D15" s="142">
        <f t="shared" si="0"/>
        <v>0.7566915116925782</v>
      </c>
      <c r="E15" s="142">
        <f t="shared" si="0"/>
        <v>0.34228422451409996</v>
      </c>
      <c r="F15" s="142">
        <f t="shared" si="0"/>
        <v>0.09447481493836761</v>
      </c>
      <c r="G15" s="142">
        <f t="shared" si="0"/>
        <v>0.43090692716996043</v>
      </c>
    </row>
    <row r="16" spans="1:7" s="7" customFormat="1" ht="12.75">
      <c r="A16" s="143" t="s">
        <v>336</v>
      </c>
      <c r="B16" s="142">
        <v>0.9201</v>
      </c>
      <c r="C16" s="142">
        <v>0.8951</v>
      </c>
      <c r="D16" s="142">
        <v>0.8732</v>
      </c>
      <c r="E16" s="142">
        <v>0.9464</v>
      </c>
      <c r="F16" s="142">
        <v>0.9824</v>
      </c>
      <c r="G16" s="142">
        <v>0.906</v>
      </c>
    </row>
    <row r="18" spans="1:5" ht="12.75">
      <c r="A18" s="144" t="s">
        <v>10</v>
      </c>
      <c r="B18" s="144"/>
      <c r="C18" s="144"/>
      <c r="D18" s="144"/>
      <c r="E18" s="144"/>
    </row>
    <row r="19" ht="13.5" thickBot="1"/>
    <row r="20" spans="1:9" ht="12.75">
      <c r="A20" s="347" t="s">
        <v>337</v>
      </c>
      <c r="B20" s="348"/>
      <c r="C20" s="348"/>
      <c r="D20" s="348"/>
      <c r="E20" s="348"/>
      <c r="F20" s="348"/>
      <c r="G20" s="348"/>
      <c r="H20" s="349"/>
      <c r="I20" s="145"/>
    </row>
    <row r="21" spans="1:9" ht="13.5" thickBot="1">
      <c r="A21" s="350"/>
      <c r="B21" s="351"/>
      <c r="C21" s="351"/>
      <c r="D21" s="351"/>
      <c r="E21" s="351"/>
      <c r="F21" s="351"/>
      <c r="G21" s="351"/>
      <c r="H21" s="352"/>
      <c r="I21" s="145"/>
    </row>
    <row r="23" spans="1:9" ht="12.75">
      <c r="A23" s="146"/>
      <c r="B23" s="146"/>
      <c r="C23" s="309"/>
      <c r="D23" s="146"/>
      <c r="E23" s="146"/>
      <c r="F23" s="146"/>
      <c r="G23" s="146"/>
      <c r="H23" s="146"/>
      <c r="I23" s="146"/>
    </row>
    <row r="24" spans="1:9" ht="12.75">
      <c r="A24" s="146"/>
      <c r="B24" s="146"/>
      <c r="C24" s="309"/>
      <c r="D24" s="146"/>
      <c r="E24" s="146"/>
      <c r="F24" s="146"/>
      <c r="G24" s="146"/>
      <c r="H24" s="146"/>
      <c r="I24" s="146"/>
    </row>
    <row r="25" spans="1:9" ht="12.75">
      <c r="A25" s="146"/>
      <c r="B25" s="146"/>
      <c r="C25" s="309"/>
      <c r="D25" s="146"/>
      <c r="E25" s="146"/>
      <c r="F25" s="146"/>
      <c r="G25" s="146"/>
      <c r="H25" s="146"/>
      <c r="I25" s="146"/>
    </row>
    <row r="26" spans="1:9" ht="12.75">
      <c r="A26" s="146"/>
      <c r="B26" s="146"/>
      <c r="C26" s="309"/>
      <c r="D26" s="146"/>
      <c r="E26" s="146"/>
      <c r="F26" s="146"/>
      <c r="G26" s="146"/>
      <c r="H26" s="146"/>
      <c r="I26" s="146"/>
    </row>
    <row r="27" spans="1:9" ht="12.75">
      <c r="A27" s="146"/>
      <c r="B27" s="146"/>
      <c r="C27" s="309"/>
      <c r="D27" s="146"/>
      <c r="E27" s="146"/>
      <c r="F27" s="146"/>
      <c r="G27" s="146"/>
      <c r="H27" s="146"/>
      <c r="I27" s="146"/>
    </row>
    <row r="28" spans="1:9" ht="12.75">
      <c r="A28" s="147"/>
      <c r="B28" s="147"/>
      <c r="C28" s="147"/>
      <c r="D28" s="147"/>
      <c r="E28" s="147"/>
      <c r="F28" s="147"/>
      <c r="G28" s="147"/>
      <c r="H28" s="147"/>
      <c r="I28" s="147"/>
    </row>
    <row r="29" spans="1:9" ht="12.75">
      <c r="A29" s="147"/>
      <c r="B29" s="147"/>
      <c r="C29" s="147"/>
      <c r="D29" s="147"/>
      <c r="E29" s="147"/>
      <c r="F29" s="147"/>
      <c r="G29" s="147"/>
      <c r="H29" s="147"/>
      <c r="I29" s="147"/>
    </row>
    <row r="30" spans="1:9" ht="12.75">
      <c r="A30" s="147"/>
      <c r="B30" s="147"/>
      <c r="C30" s="147"/>
      <c r="D30" s="147"/>
      <c r="E30" s="147"/>
      <c r="F30" s="147"/>
      <c r="G30" s="147"/>
      <c r="H30" s="147"/>
      <c r="I30" s="147"/>
    </row>
  </sheetData>
  <sheetProtection/>
  <mergeCells count="6">
    <mergeCell ref="A20:H21"/>
    <mergeCell ref="A2:H2"/>
    <mergeCell ref="A3:H3"/>
    <mergeCell ref="A4:H4"/>
    <mergeCell ref="A5:H5"/>
    <mergeCell ref="A6:H6"/>
  </mergeCells>
  <printOptions horizontalCentered="1"/>
  <pageMargins left="0.75" right="0.75" top="1" bottom="1" header="0.5" footer="0.5"/>
  <pageSetup firstPageNumber="19" useFirstPageNumber="1" fitToHeight="1" fitToWidth="1" horizontalDpi="600" verticalDpi="600" orientation="landscape" scale="81" r:id="rId1"/>
</worksheet>
</file>

<file path=xl/worksheets/sheet13.xml><?xml version="1.0" encoding="utf-8"?>
<worksheet xmlns="http://schemas.openxmlformats.org/spreadsheetml/2006/main" xmlns:r="http://schemas.openxmlformats.org/officeDocument/2006/relationships">
  <sheetPr>
    <pageSetUpPr fitToPage="1"/>
  </sheetPr>
  <dimension ref="A2:L28"/>
  <sheetViews>
    <sheetView showGridLines="0" zoomScalePageLayoutView="0" workbookViewId="0" topLeftCell="A1">
      <selection activeCell="B15" sqref="B15"/>
    </sheetView>
  </sheetViews>
  <sheetFormatPr defaultColWidth="8.8515625" defaultRowHeight="12.75"/>
  <cols>
    <col min="1" max="1" width="29.28125" style="1" bestFit="1" customWidth="1"/>
    <col min="2" max="4" width="12.421875" style="1" customWidth="1"/>
    <col min="5" max="5" width="2.7109375" style="1" customWidth="1"/>
    <col min="6" max="6" width="12.421875" style="1" customWidth="1"/>
    <col min="7" max="7" width="2.7109375" style="1" customWidth="1"/>
    <col min="8" max="8" width="12.421875" style="1" bestFit="1" customWidth="1"/>
    <col min="9" max="9" width="2.7109375" style="1" customWidth="1"/>
    <col min="10" max="10" width="12.421875" style="1" bestFit="1" customWidth="1"/>
    <col min="11" max="11" width="8.8515625" style="1" customWidth="1"/>
    <col min="12" max="12" width="12.421875" style="1" bestFit="1" customWidth="1"/>
    <col min="13" max="16384" width="8.8515625" style="1" customWidth="1"/>
  </cols>
  <sheetData>
    <row r="2" spans="1:11" ht="12.75">
      <c r="A2" s="346" t="str">
        <f>'RSI TSERS NPL'!A2:H2</f>
        <v>Carolina County Board of Education, North Carolina</v>
      </c>
      <c r="B2" s="346"/>
      <c r="C2" s="346"/>
      <c r="D2" s="346"/>
      <c r="E2" s="346"/>
      <c r="F2" s="346"/>
      <c r="G2" s="346"/>
      <c r="H2" s="346"/>
      <c r="I2" s="346"/>
      <c r="J2" s="346"/>
      <c r="K2" s="346"/>
    </row>
    <row r="3" spans="1:11" ht="12.75">
      <c r="A3" s="353" t="s">
        <v>338</v>
      </c>
      <c r="B3" s="353"/>
      <c r="C3" s="353"/>
      <c r="D3" s="353"/>
      <c r="E3" s="353"/>
      <c r="F3" s="353"/>
      <c r="G3" s="353"/>
      <c r="H3" s="353"/>
      <c r="I3" s="353"/>
      <c r="J3" s="353"/>
      <c r="K3" s="353"/>
    </row>
    <row r="4" spans="1:11" ht="12.75">
      <c r="A4" s="353" t="s">
        <v>332</v>
      </c>
      <c r="B4" s="353"/>
      <c r="C4" s="353"/>
      <c r="D4" s="353"/>
      <c r="E4" s="353"/>
      <c r="F4" s="353"/>
      <c r="G4" s="353"/>
      <c r="H4" s="353"/>
      <c r="I4" s="353"/>
      <c r="J4" s="353"/>
      <c r="K4" s="353"/>
    </row>
    <row r="5" spans="1:11" ht="12.75">
      <c r="A5" s="355" t="s">
        <v>554</v>
      </c>
      <c r="B5" s="355"/>
      <c r="C5" s="355"/>
      <c r="D5" s="355"/>
      <c r="E5" s="355"/>
      <c r="F5" s="355"/>
      <c r="G5" s="355"/>
      <c r="H5" s="355"/>
      <c r="I5" s="355"/>
      <c r="J5" s="355"/>
      <c r="K5" s="355"/>
    </row>
    <row r="7" spans="2:11" ht="12.75">
      <c r="B7" s="3">
        <v>2019</v>
      </c>
      <c r="C7" s="3">
        <v>2018</v>
      </c>
      <c r="D7" s="3">
        <v>2017</v>
      </c>
      <c r="F7" s="3">
        <v>2016</v>
      </c>
      <c r="G7" s="4"/>
      <c r="H7" s="3">
        <v>2015</v>
      </c>
      <c r="I7" s="14"/>
      <c r="J7" s="3">
        <v>2014</v>
      </c>
      <c r="K7" s="14"/>
    </row>
    <row r="8" spans="7:11" ht="12.75">
      <c r="G8" s="13"/>
      <c r="H8" s="4"/>
      <c r="I8" s="14"/>
      <c r="J8" s="4"/>
      <c r="K8" s="14"/>
    </row>
    <row r="9" spans="1:10" ht="12.75">
      <c r="A9" s="144" t="s">
        <v>339</v>
      </c>
      <c r="B9" s="137">
        <v>50000</v>
      </c>
      <c r="C9" s="137">
        <v>48500</v>
      </c>
      <c r="D9" s="137">
        <v>46000</v>
      </c>
      <c r="E9" s="144"/>
      <c r="F9" s="137">
        <v>45000</v>
      </c>
      <c r="G9" s="148"/>
      <c r="H9" s="137">
        <v>39000</v>
      </c>
      <c r="J9" s="137">
        <v>38325</v>
      </c>
    </row>
    <row r="10" spans="1:10" ht="30" customHeight="1">
      <c r="A10" s="149" t="s">
        <v>340</v>
      </c>
      <c r="B10" s="150">
        <v>50000</v>
      </c>
      <c r="C10" s="150">
        <v>48500</v>
      </c>
      <c r="D10" s="150">
        <f>D9</f>
        <v>46000</v>
      </c>
      <c r="E10" s="149"/>
      <c r="F10" s="150">
        <f>F9</f>
        <v>45000</v>
      </c>
      <c r="G10" s="151"/>
      <c r="H10" s="150">
        <f>H9</f>
        <v>39000</v>
      </c>
      <c r="I10" s="152"/>
      <c r="J10" s="150">
        <f>J9</f>
        <v>38325</v>
      </c>
    </row>
    <row r="11" spans="1:10" ht="13.5" thickBot="1">
      <c r="A11" s="144" t="s">
        <v>341</v>
      </c>
      <c r="B11" s="153">
        <v>0</v>
      </c>
      <c r="C11" s="153">
        <v>0</v>
      </c>
      <c r="D11" s="153">
        <f>D9-D10</f>
        <v>0</v>
      </c>
      <c r="E11" s="144"/>
      <c r="F11" s="153">
        <f>F9-F10</f>
        <v>0</v>
      </c>
      <c r="G11" s="148"/>
      <c r="H11" s="153">
        <f>H9-H10</f>
        <v>0</v>
      </c>
      <c r="J11" s="153">
        <f>J9-J10</f>
        <v>0</v>
      </c>
    </row>
    <row r="12" spans="1:10" ht="13.5" thickTop="1">
      <c r="A12" s="144"/>
      <c r="B12" s="144"/>
      <c r="C12" s="144"/>
      <c r="D12" s="144"/>
      <c r="E12" s="144"/>
      <c r="F12" s="144"/>
      <c r="G12" s="135"/>
      <c r="H12" s="144"/>
      <c r="J12" s="144"/>
    </row>
    <row r="13" spans="1:10" ht="12.75">
      <c r="A13" s="144" t="s">
        <v>7</v>
      </c>
      <c r="B13" s="137">
        <v>406835</v>
      </c>
      <c r="C13" s="137">
        <v>449907</v>
      </c>
      <c r="D13" s="137">
        <v>460812</v>
      </c>
      <c r="E13" s="144"/>
      <c r="F13" s="137">
        <v>501643</v>
      </c>
      <c r="G13" s="135"/>
      <c r="H13" s="137">
        <f>'RSI TSERS NPL'!E14</f>
        <v>434966</v>
      </c>
      <c r="J13" s="137">
        <f>'RSI TSERS NPL'!F14</f>
        <v>425669</v>
      </c>
    </row>
    <row r="14" spans="1:10" ht="12.75">
      <c r="A14" s="144"/>
      <c r="C14" s="144"/>
      <c r="D14" s="144"/>
      <c r="E14" s="144"/>
      <c r="F14" s="144"/>
      <c r="G14" s="135"/>
      <c r="H14" s="144"/>
      <c r="J14" s="144"/>
    </row>
    <row r="15" spans="1:12" ht="29.25" customHeight="1">
      <c r="A15" s="149" t="s">
        <v>342</v>
      </c>
      <c r="B15" s="154">
        <f>B10/B13</f>
        <v>0.12289994715302273</v>
      </c>
      <c r="C15" s="154">
        <f>C10/C13</f>
        <v>0.10780005645611204</v>
      </c>
      <c r="D15" s="154">
        <f>D10/D13</f>
        <v>0.09982378931104224</v>
      </c>
      <c r="E15" s="149"/>
      <c r="F15" s="154">
        <f>F10/F13</f>
        <v>0.08970522861875876</v>
      </c>
      <c r="G15" s="155"/>
      <c r="H15" s="154">
        <f>H10/H13</f>
        <v>0.08966218049226836</v>
      </c>
      <c r="I15" s="152"/>
      <c r="J15" s="154">
        <f>J10/J13</f>
        <v>0.09003474530679942</v>
      </c>
      <c r="L15" s="139"/>
    </row>
    <row r="16" ht="13.5" thickBot="1"/>
    <row r="17" spans="1:11" ht="12.75">
      <c r="A17" s="356" t="s">
        <v>337</v>
      </c>
      <c r="B17" s="357"/>
      <c r="C17" s="357"/>
      <c r="D17" s="357"/>
      <c r="E17" s="357"/>
      <c r="F17" s="358"/>
      <c r="G17" s="358"/>
      <c r="H17" s="358"/>
      <c r="I17" s="358"/>
      <c r="J17" s="358"/>
      <c r="K17" s="359"/>
    </row>
    <row r="18" spans="1:11" ht="13.5" thickBot="1">
      <c r="A18" s="360"/>
      <c r="B18" s="361"/>
      <c r="C18" s="361"/>
      <c r="D18" s="361"/>
      <c r="E18" s="361"/>
      <c r="F18" s="361"/>
      <c r="G18" s="361"/>
      <c r="H18" s="361"/>
      <c r="I18" s="361"/>
      <c r="J18" s="361"/>
      <c r="K18" s="362"/>
    </row>
    <row r="19" spans="1:11" ht="12.75">
      <c r="A19" s="12"/>
      <c r="B19" s="12"/>
      <c r="C19" s="307"/>
      <c r="D19" s="12"/>
      <c r="E19" s="12"/>
      <c r="F19" s="12"/>
      <c r="G19" s="12"/>
      <c r="H19" s="12"/>
      <c r="I19" s="12"/>
      <c r="J19" s="12"/>
      <c r="K19" s="12"/>
    </row>
    <row r="21" spans="1:11" ht="12.75">
      <c r="A21" s="156"/>
      <c r="B21" s="156"/>
      <c r="C21" s="156"/>
      <c r="D21" s="156"/>
      <c r="E21" s="156"/>
      <c r="F21" s="157"/>
      <c r="G21" s="157"/>
      <c r="H21" s="157"/>
      <c r="I21" s="157"/>
      <c r="J21" s="157"/>
      <c r="K21" s="157"/>
    </row>
    <row r="22" spans="1:11" ht="12.75">
      <c r="A22" s="157"/>
      <c r="B22" s="157"/>
      <c r="C22" s="157"/>
      <c r="D22" s="157"/>
      <c r="E22" s="157"/>
      <c r="F22" s="157"/>
      <c r="G22" s="157"/>
      <c r="H22" s="157"/>
      <c r="I22" s="157"/>
      <c r="J22" s="157"/>
      <c r="K22" s="157"/>
    </row>
    <row r="23" spans="1:11" ht="12.75">
      <c r="A23" s="157"/>
      <c r="B23" s="157"/>
      <c r="C23" s="157"/>
      <c r="D23" s="157"/>
      <c r="E23" s="157"/>
      <c r="F23" s="157"/>
      <c r="G23" s="157"/>
      <c r="H23" s="157"/>
      <c r="I23" s="157"/>
      <c r="J23" s="157"/>
      <c r="K23" s="157"/>
    </row>
    <row r="24" spans="1:11" ht="12.75">
      <c r="A24" s="157"/>
      <c r="B24" s="157"/>
      <c r="C24" s="157"/>
      <c r="D24" s="157"/>
      <c r="E24" s="157"/>
      <c r="F24" s="157"/>
      <c r="G24" s="157"/>
      <c r="H24" s="157"/>
      <c r="I24" s="157"/>
      <c r="J24" s="157"/>
      <c r="K24" s="157"/>
    </row>
    <row r="25" spans="1:11" ht="12.75">
      <c r="A25" s="157"/>
      <c r="B25" s="157"/>
      <c r="C25" s="157"/>
      <c r="D25" s="157"/>
      <c r="E25" s="157"/>
      <c r="F25" s="157"/>
      <c r="G25" s="157"/>
      <c r="H25" s="157"/>
      <c r="I25" s="157"/>
      <c r="J25" s="157"/>
      <c r="K25" s="157"/>
    </row>
    <row r="26" spans="1:11" ht="12.75">
      <c r="A26" s="157"/>
      <c r="B26" s="157"/>
      <c r="C26" s="157"/>
      <c r="D26" s="157"/>
      <c r="E26" s="157"/>
      <c r="F26" s="157"/>
      <c r="G26" s="157"/>
      <c r="H26" s="157"/>
      <c r="I26" s="157"/>
      <c r="J26" s="157"/>
      <c r="K26" s="157"/>
    </row>
    <row r="27" spans="1:11" ht="12.75">
      <c r="A27" s="7"/>
      <c r="B27" s="7"/>
      <c r="C27" s="7"/>
      <c r="D27" s="7"/>
      <c r="E27" s="7"/>
      <c r="F27" s="7"/>
      <c r="G27" s="7"/>
      <c r="H27" s="7"/>
      <c r="I27" s="7"/>
      <c r="J27" s="7"/>
      <c r="K27" s="7"/>
    </row>
    <row r="28" spans="1:11" ht="12.75">
      <c r="A28" s="158"/>
      <c r="B28" s="158"/>
      <c r="C28" s="158"/>
      <c r="D28" s="158"/>
      <c r="E28" s="158"/>
      <c r="F28" s="158"/>
      <c r="G28" s="158"/>
      <c r="H28" s="158"/>
      <c r="I28" s="158"/>
      <c r="J28" s="158"/>
      <c r="K28" s="158"/>
    </row>
  </sheetData>
  <sheetProtection/>
  <mergeCells count="5">
    <mergeCell ref="A3:K3"/>
    <mergeCell ref="A5:K5"/>
    <mergeCell ref="A17:K18"/>
    <mergeCell ref="A2:K2"/>
    <mergeCell ref="A4:K4"/>
  </mergeCells>
  <printOptions horizontalCentered="1"/>
  <pageMargins left="0.75" right="0.75" top="1" bottom="1" header="0.5" footer="0.5"/>
  <pageSetup firstPageNumber="19" useFirstPageNumber="1"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2:N18"/>
  <sheetViews>
    <sheetView showGridLines="0" zoomScalePageLayoutView="0" workbookViewId="0" topLeftCell="A1">
      <selection activeCell="C14" sqref="C14"/>
    </sheetView>
  </sheetViews>
  <sheetFormatPr defaultColWidth="9.140625" defaultRowHeight="12.75"/>
  <cols>
    <col min="1" max="1" width="74.28125" style="1" customWidth="1"/>
    <col min="2" max="2" width="9.140625" style="1" customWidth="1"/>
    <col min="3" max="4" width="11.421875" style="1" customWidth="1"/>
    <col min="5" max="5" width="12.421875" style="1" customWidth="1"/>
    <col min="6" max="16384" width="9.140625" style="1" customWidth="1"/>
  </cols>
  <sheetData>
    <row r="2" spans="1:10" ht="12.75">
      <c r="A2" s="346" t="s">
        <v>0</v>
      </c>
      <c r="B2" s="346"/>
      <c r="C2" s="346"/>
      <c r="D2" s="346"/>
      <c r="E2" s="346"/>
      <c r="F2" s="17"/>
      <c r="G2" s="17"/>
      <c r="H2" s="17"/>
      <c r="I2" s="17"/>
      <c r="J2" s="17"/>
    </row>
    <row r="3" spans="1:14" ht="12.75">
      <c r="A3" s="353" t="s">
        <v>1</v>
      </c>
      <c r="B3" s="353"/>
      <c r="C3" s="353"/>
      <c r="D3" s="353"/>
      <c r="E3" s="353"/>
      <c r="F3" s="18"/>
      <c r="G3" s="18"/>
      <c r="H3" s="18"/>
      <c r="I3" s="18"/>
      <c r="J3" s="18"/>
      <c r="K3" s="2"/>
      <c r="L3" s="2"/>
      <c r="M3" s="2"/>
      <c r="N3" s="2"/>
    </row>
    <row r="4" spans="1:10" ht="12.75">
      <c r="A4" s="346" t="s">
        <v>2</v>
      </c>
      <c r="B4" s="346"/>
      <c r="C4" s="346"/>
      <c r="D4" s="346"/>
      <c r="E4" s="346"/>
      <c r="F4" s="17"/>
      <c r="G4" s="17"/>
      <c r="H4" s="17"/>
      <c r="I4" s="17"/>
      <c r="J4" s="17"/>
    </row>
    <row r="5" spans="1:10" ht="12.75">
      <c r="A5" s="346" t="s">
        <v>3</v>
      </c>
      <c r="B5" s="346"/>
      <c r="C5" s="346"/>
      <c r="D5" s="346"/>
      <c r="E5" s="346"/>
      <c r="F5" s="17"/>
      <c r="G5" s="17"/>
      <c r="H5" s="17"/>
      <c r="I5" s="17"/>
      <c r="J5" s="17"/>
    </row>
    <row r="6" spans="1:10" ht="12.75">
      <c r="A6" s="355" t="s">
        <v>4</v>
      </c>
      <c r="B6" s="355"/>
      <c r="C6" s="355"/>
      <c r="D6" s="355"/>
      <c r="E6" s="355"/>
      <c r="F6" s="14"/>
      <c r="G6" s="14"/>
      <c r="H6" s="14"/>
      <c r="I6" s="14"/>
      <c r="J6" s="14"/>
    </row>
    <row r="8" spans="3:5" ht="12.75">
      <c r="C8" s="3">
        <v>2019</v>
      </c>
      <c r="D8" s="3">
        <v>2018</v>
      </c>
      <c r="E8" s="3">
        <v>2017</v>
      </c>
    </row>
    <row r="9" spans="2:4" ht="12.75">
      <c r="B9" s="15"/>
      <c r="D9" s="4"/>
    </row>
    <row r="10" spans="1:5" ht="12.75">
      <c r="A10" s="1" t="s">
        <v>5</v>
      </c>
      <c r="C10" s="5">
        <v>3.84E-05</v>
      </c>
      <c r="D10" s="5">
        <v>3.67E-05</v>
      </c>
      <c r="E10" s="5">
        <v>3.67E-05</v>
      </c>
    </row>
    <row r="11" spans="1:5" ht="12.75">
      <c r="A11" s="1" t="s">
        <v>6</v>
      </c>
      <c r="C11" s="6">
        <v>1093387</v>
      </c>
      <c r="D11" s="6">
        <v>1204359</v>
      </c>
      <c r="E11" s="6">
        <v>1598454</v>
      </c>
    </row>
    <row r="12" spans="1:5" ht="12.75">
      <c r="A12" s="1" t="s">
        <v>7</v>
      </c>
      <c r="C12" s="6">
        <v>449907</v>
      </c>
      <c r="D12" s="6">
        <f>'[5]RSI TSERS NPL'!B14</f>
        <v>460812</v>
      </c>
      <c r="E12" s="6">
        <f>'[5]RSI TSERS NPL'!C14</f>
        <v>501643</v>
      </c>
    </row>
    <row r="13" spans="1:5" ht="25.5">
      <c r="A13" s="7" t="s">
        <v>8</v>
      </c>
      <c r="C13" s="8">
        <f>C11/C12</f>
        <v>2.430251140791319</v>
      </c>
      <c r="D13" s="8">
        <f>D11/D12</f>
        <v>2.613558240670816</v>
      </c>
      <c r="E13" s="8">
        <f>E11/E12</f>
        <v>3.1864373668126538</v>
      </c>
    </row>
    <row r="14" spans="1:5" ht="12.75">
      <c r="A14" s="1" t="s">
        <v>9</v>
      </c>
      <c r="C14" s="9">
        <v>0.044</v>
      </c>
      <c r="D14" s="9">
        <v>0.0352</v>
      </c>
      <c r="E14" s="9">
        <v>0.0241</v>
      </c>
    </row>
    <row r="16" ht="25.5">
      <c r="A16" s="10" t="s">
        <v>10</v>
      </c>
    </row>
    <row r="18" spans="1:10" ht="26.25" customHeight="1">
      <c r="A18" s="11" t="s">
        <v>11</v>
      </c>
      <c r="B18" s="12"/>
      <c r="C18" s="16"/>
      <c r="D18" s="16"/>
      <c r="E18" s="12"/>
      <c r="F18" s="13"/>
      <c r="G18" s="13"/>
      <c r="H18" s="13"/>
      <c r="I18" s="13"/>
      <c r="J18" s="13"/>
    </row>
  </sheetData>
  <sheetProtection/>
  <mergeCells count="5">
    <mergeCell ref="A2:E2"/>
    <mergeCell ref="A3:E3"/>
    <mergeCell ref="A4:E4"/>
    <mergeCell ref="A5:E5"/>
    <mergeCell ref="A6:E6"/>
  </mergeCells>
  <printOptions/>
  <pageMargins left="0.7" right="0.7" top="0.75" bottom="0.75" header="0.3" footer="0.3"/>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2:N14"/>
  <sheetViews>
    <sheetView showGridLines="0" zoomScalePageLayoutView="0" workbookViewId="0" topLeftCell="A1">
      <selection activeCell="D14" sqref="D14"/>
    </sheetView>
  </sheetViews>
  <sheetFormatPr defaultColWidth="9.140625" defaultRowHeight="12.75"/>
  <cols>
    <col min="1" max="1" width="36.00390625" style="1" customWidth="1"/>
    <col min="2" max="13" width="9.140625" style="1" customWidth="1"/>
    <col min="14" max="14" width="0" style="1" hidden="1" customWidth="1"/>
    <col min="15" max="16384" width="9.140625" style="1" customWidth="1"/>
  </cols>
  <sheetData>
    <row r="2" spans="1:14" ht="12.75">
      <c r="A2" s="346" t="s">
        <v>0</v>
      </c>
      <c r="B2" s="346"/>
      <c r="C2" s="346"/>
      <c r="D2" s="346"/>
      <c r="E2" s="346"/>
      <c r="F2" s="346"/>
      <c r="G2" s="346"/>
      <c r="H2" s="346"/>
      <c r="I2" s="346"/>
      <c r="J2" s="346"/>
      <c r="K2" s="346"/>
      <c r="L2" s="346"/>
      <c r="M2" s="346"/>
      <c r="N2" s="346"/>
    </row>
    <row r="3" spans="1:14" ht="12.75">
      <c r="A3" s="346" t="s">
        <v>338</v>
      </c>
      <c r="B3" s="346"/>
      <c r="C3" s="346"/>
      <c r="D3" s="346"/>
      <c r="E3" s="346"/>
      <c r="F3" s="346"/>
      <c r="G3" s="346"/>
      <c r="H3" s="346"/>
      <c r="I3" s="346"/>
      <c r="J3" s="346"/>
      <c r="K3" s="346"/>
      <c r="L3" s="346"/>
      <c r="M3" s="346"/>
      <c r="N3" s="346"/>
    </row>
    <row r="4" spans="1:14" ht="12.75">
      <c r="A4" s="346" t="s">
        <v>3</v>
      </c>
      <c r="B4" s="346"/>
      <c r="C4" s="346"/>
      <c r="D4" s="346"/>
      <c r="E4" s="346"/>
      <c r="F4" s="346"/>
      <c r="G4" s="346"/>
      <c r="H4" s="346"/>
      <c r="I4" s="346"/>
      <c r="J4" s="346"/>
      <c r="K4" s="346"/>
      <c r="L4" s="346"/>
      <c r="M4" s="346"/>
      <c r="N4" s="346"/>
    </row>
    <row r="5" spans="1:14" ht="12.75">
      <c r="A5" s="355" t="s">
        <v>343</v>
      </c>
      <c r="B5" s="355"/>
      <c r="C5" s="355"/>
      <c r="D5" s="355"/>
      <c r="E5" s="355"/>
      <c r="F5" s="355"/>
      <c r="G5" s="355"/>
      <c r="H5" s="355"/>
      <c r="I5" s="355"/>
      <c r="J5" s="355"/>
      <c r="K5" s="355"/>
      <c r="L5" s="355"/>
      <c r="M5" s="355"/>
      <c r="N5" s="355"/>
    </row>
    <row r="6" spans="1:10" ht="12.75">
      <c r="A6" s="14"/>
      <c r="B6" s="14"/>
      <c r="C6" s="14"/>
      <c r="D6" s="14"/>
      <c r="E6" s="308"/>
      <c r="F6" s="14"/>
      <c r="G6" s="14"/>
      <c r="H6" s="14"/>
      <c r="I6" s="14"/>
      <c r="J6" s="14"/>
    </row>
    <row r="7" spans="4:14" ht="12.75">
      <c r="D7" s="3">
        <v>2019</v>
      </c>
      <c r="E7" s="3">
        <v>2018</v>
      </c>
      <c r="F7" s="3">
        <f>E7-1</f>
        <v>2017</v>
      </c>
      <c r="G7" s="3">
        <f aca="true" t="shared" si="0" ref="G7:N7">F7-1</f>
        <v>2016</v>
      </c>
      <c r="H7" s="3">
        <f t="shared" si="0"/>
        <v>2015</v>
      </c>
      <c r="I7" s="3">
        <f t="shared" si="0"/>
        <v>2014</v>
      </c>
      <c r="J7" s="3">
        <f t="shared" si="0"/>
        <v>2013</v>
      </c>
      <c r="K7" s="3">
        <f t="shared" si="0"/>
        <v>2012</v>
      </c>
      <c r="L7" s="3">
        <f t="shared" si="0"/>
        <v>2011</v>
      </c>
      <c r="M7" s="3">
        <f t="shared" si="0"/>
        <v>2010</v>
      </c>
      <c r="N7" s="3">
        <f t="shared" si="0"/>
        <v>2009</v>
      </c>
    </row>
    <row r="8" ht="12.75">
      <c r="E8" s="4"/>
    </row>
    <row r="9" spans="1:14" ht="12.75">
      <c r="A9" s="1" t="s">
        <v>339</v>
      </c>
      <c r="D9" s="137">
        <v>30000</v>
      </c>
      <c r="E9" s="137">
        <f>E13*E14</f>
        <v>27219.373499999998</v>
      </c>
      <c r="F9" s="137">
        <f>F14*F13</f>
        <v>26773.1772</v>
      </c>
      <c r="G9" s="137">
        <f>G14*G13</f>
        <v>28092.008</v>
      </c>
      <c r="H9" s="137">
        <f aca="true" t="shared" si="1" ref="H9:N9">H14*H13</f>
        <v>23879.6334</v>
      </c>
      <c r="I9" s="137">
        <f t="shared" si="1"/>
        <v>22986.126</v>
      </c>
      <c r="J9" s="137">
        <f t="shared" si="1"/>
        <v>19853.20216</v>
      </c>
      <c r="K9" s="137">
        <f t="shared" si="1"/>
        <v>16481.90368</v>
      </c>
      <c r="L9" s="137">
        <f t="shared" si="1"/>
        <v>14213.993733632</v>
      </c>
      <c r="M9" s="137">
        <f t="shared" si="1"/>
        <v>11487.227588812799</v>
      </c>
      <c r="N9" s="137">
        <f t="shared" si="1"/>
        <v>9210.203808985907</v>
      </c>
    </row>
    <row r="10" spans="1:14" ht="27.75" customHeight="1">
      <c r="A10" s="7" t="s">
        <v>344</v>
      </c>
      <c r="D10" s="150">
        <v>30000</v>
      </c>
      <c r="E10" s="150">
        <f>E9</f>
        <v>27219.373499999998</v>
      </c>
      <c r="F10" s="150">
        <f aca="true" t="shared" si="2" ref="F10:N10">F9</f>
        <v>26773.1772</v>
      </c>
      <c r="G10" s="150">
        <f t="shared" si="2"/>
        <v>28092.008</v>
      </c>
      <c r="H10" s="150">
        <f t="shared" si="2"/>
        <v>23879.6334</v>
      </c>
      <c r="I10" s="150">
        <f t="shared" si="2"/>
        <v>22986.126</v>
      </c>
      <c r="J10" s="150">
        <f t="shared" si="2"/>
        <v>19853.20216</v>
      </c>
      <c r="K10" s="150">
        <f t="shared" si="2"/>
        <v>16481.90368</v>
      </c>
      <c r="L10" s="150">
        <f t="shared" si="2"/>
        <v>14213.993733632</v>
      </c>
      <c r="M10" s="150">
        <f t="shared" si="2"/>
        <v>11487.227588812799</v>
      </c>
      <c r="N10" s="150">
        <f t="shared" si="2"/>
        <v>9210.203808985907</v>
      </c>
    </row>
    <row r="11" spans="1:14" ht="13.5" thickBot="1">
      <c r="A11" s="1" t="s">
        <v>341</v>
      </c>
      <c r="D11" s="159">
        <v>0</v>
      </c>
      <c r="E11" s="159">
        <f>E9-E10</f>
        <v>0</v>
      </c>
      <c r="F11" s="159">
        <f aca="true" t="shared" si="3" ref="F11:N11">F9-F10</f>
        <v>0</v>
      </c>
      <c r="G11" s="159">
        <f t="shared" si="3"/>
        <v>0</v>
      </c>
      <c r="H11" s="159">
        <f t="shared" si="3"/>
        <v>0</v>
      </c>
      <c r="I11" s="159">
        <f t="shared" si="3"/>
        <v>0</v>
      </c>
      <c r="J11" s="159">
        <f t="shared" si="3"/>
        <v>0</v>
      </c>
      <c r="K11" s="159">
        <f t="shared" si="3"/>
        <v>0</v>
      </c>
      <c r="L11" s="159">
        <f t="shared" si="3"/>
        <v>0</v>
      </c>
      <c r="M11" s="159">
        <f t="shared" si="3"/>
        <v>0</v>
      </c>
      <c r="N11" s="159">
        <f t="shared" si="3"/>
        <v>0</v>
      </c>
    </row>
    <row r="12" ht="10.5" customHeight="1" thickTop="1">
      <c r="E12" s="160"/>
    </row>
    <row r="13" spans="1:14" ht="12.75">
      <c r="A13" s="1" t="s">
        <v>7</v>
      </c>
      <c r="D13" s="137">
        <f>'RSI TSERS Contr'!B13</f>
        <v>406835</v>
      </c>
      <c r="E13" s="137">
        <f>'RSI TSERS Contr'!C13</f>
        <v>449907</v>
      </c>
      <c r="F13" s="137">
        <f>'RSI TSERS Contr'!D13</f>
        <v>460812</v>
      </c>
      <c r="G13" s="137">
        <f>'RSI TSERS Contr'!F13</f>
        <v>501643</v>
      </c>
      <c r="H13" s="137">
        <f>'RSI TSERS Contr'!H13</f>
        <v>434966</v>
      </c>
      <c r="I13" s="137">
        <f>'RSI TSERS Contr'!J13</f>
        <v>425669</v>
      </c>
      <c r="J13" s="137">
        <f>I13*0.88</f>
        <v>374588.72000000003</v>
      </c>
      <c r="K13" s="137">
        <f>J13*0.88</f>
        <v>329638.0736</v>
      </c>
      <c r="L13" s="137">
        <f>K13*0.88</f>
        <v>290081.504768</v>
      </c>
      <c r="M13" s="137">
        <f>L13*0.88</f>
        <v>255271.72419583998</v>
      </c>
      <c r="N13" s="137">
        <f>M13*0.88</f>
        <v>224639.1172923392</v>
      </c>
    </row>
    <row r="14" spans="1:14" ht="25.5">
      <c r="A14" s="7" t="s">
        <v>345</v>
      </c>
      <c r="D14" s="161">
        <v>0.0635</v>
      </c>
      <c r="E14" s="161">
        <v>0.0605</v>
      </c>
      <c r="F14" s="161">
        <v>0.0581</v>
      </c>
      <c r="G14" s="161">
        <v>0.056</v>
      </c>
      <c r="H14" s="161">
        <v>0.0549</v>
      </c>
      <c r="I14" s="161">
        <v>0.054</v>
      </c>
      <c r="J14" s="161">
        <v>0.053</v>
      </c>
      <c r="K14" s="161">
        <v>0.05</v>
      </c>
      <c r="L14" s="161">
        <v>0.049</v>
      </c>
      <c r="M14" s="161">
        <v>0.045</v>
      </c>
      <c r="N14" s="161">
        <v>0.041</v>
      </c>
    </row>
  </sheetData>
  <sheetProtection/>
  <mergeCells count="4">
    <mergeCell ref="A2:N2"/>
    <mergeCell ref="A3:N3"/>
    <mergeCell ref="A4:N4"/>
    <mergeCell ref="A5:N5"/>
  </mergeCells>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2:J16"/>
  <sheetViews>
    <sheetView showGridLines="0" zoomScalePageLayoutView="0" workbookViewId="0" topLeftCell="A7">
      <selection activeCell="D12" sqref="D12"/>
    </sheetView>
  </sheetViews>
  <sheetFormatPr defaultColWidth="9.140625" defaultRowHeight="12.75"/>
  <cols>
    <col min="1" max="1" width="51.7109375" style="1" customWidth="1"/>
    <col min="2" max="3" width="9.140625" style="1" customWidth="1"/>
    <col min="4" max="5" width="15.7109375" style="1" customWidth="1"/>
    <col min="6" max="6" width="11.421875" style="1" customWidth="1"/>
    <col min="7" max="16384" width="9.140625" style="1" customWidth="1"/>
  </cols>
  <sheetData>
    <row r="2" spans="1:10" ht="12.75">
      <c r="A2" s="346" t="s">
        <v>0</v>
      </c>
      <c r="B2" s="346"/>
      <c r="C2" s="346"/>
      <c r="D2" s="346"/>
      <c r="E2" s="346"/>
      <c r="F2" s="346"/>
      <c r="G2" s="17"/>
      <c r="H2" s="17"/>
      <c r="I2" s="17"/>
      <c r="J2" s="17"/>
    </row>
    <row r="3" spans="1:10" ht="12.75">
      <c r="A3" s="346" t="s">
        <v>1</v>
      </c>
      <c r="B3" s="346"/>
      <c r="C3" s="346"/>
      <c r="D3" s="346"/>
      <c r="E3" s="346"/>
      <c r="F3" s="346"/>
      <c r="G3" s="17"/>
      <c r="H3" s="17"/>
      <c r="I3" s="17"/>
      <c r="J3" s="17"/>
    </row>
    <row r="4" spans="1:10" ht="12.75">
      <c r="A4" s="346" t="s">
        <v>346</v>
      </c>
      <c r="B4" s="346"/>
      <c r="C4" s="346"/>
      <c r="D4" s="346"/>
      <c r="E4" s="346"/>
      <c r="F4" s="346"/>
      <c r="G4" s="17"/>
      <c r="H4" s="17"/>
      <c r="I4" s="17"/>
      <c r="J4" s="17"/>
    </row>
    <row r="5" spans="1:10" ht="12.75">
      <c r="A5" s="346" t="s">
        <v>347</v>
      </c>
      <c r="B5" s="346"/>
      <c r="C5" s="346"/>
      <c r="D5" s="346"/>
      <c r="E5" s="346"/>
      <c r="F5" s="346"/>
      <c r="G5" s="17"/>
      <c r="H5" s="17"/>
      <c r="I5" s="17"/>
      <c r="J5" s="17"/>
    </row>
    <row r="6" spans="1:10" ht="12.75">
      <c r="A6" s="355" t="s">
        <v>348</v>
      </c>
      <c r="B6" s="355"/>
      <c r="C6" s="355"/>
      <c r="D6" s="355"/>
      <c r="E6" s="355"/>
      <c r="F6" s="355"/>
      <c r="G6" s="286"/>
      <c r="H6" s="286"/>
      <c r="I6" s="286"/>
      <c r="J6" s="286"/>
    </row>
    <row r="8" spans="4:6" ht="12.75">
      <c r="D8" s="3">
        <v>2019</v>
      </c>
      <c r="E8" s="3">
        <v>2018</v>
      </c>
      <c r="F8" s="3">
        <v>2017</v>
      </c>
    </row>
    <row r="10" spans="1:6" ht="12.75">
      <c r="A10" s="1" t="s">
        <v>349</v>
      </c>
      <c r="D10" s="162">
        <f>0.00281*0.5%</f>
        <v>1.4050000000000001E-05</v>
      </c>
      <c r="E10" s="162">
        <f>0.000043*0.5%</f>
        <v>2.15E-07</v>
      </c>
      <c r="F10" s="162">
        <f>0.0000298*0.5</f>
        <v>1.49E-05</v>
      </c>
    </row>
    <row r="11" spans="1:6" ht="12.75">
      <c r="A11" s="1" t="s">
        <v>350</v>
      </c>
      <c r="D11" s="1">
        <f>854/2</f>
        <v>427</v>
      </c>
      <c r="E11" s="137">
        <f>1821/2</f>
        <v>910.5</v>
      </c>
      <c r="F11" s="137">
        <f>2670/2</f>
        <v>1335</v>
      </c>
    </row>
    <row r="12" spans="1:7" ht="12.75">
      <c r="A12" s="1" t="s">
        <v>7</v>
      </c>
      <c r="D12" s="137">
        <f>'RSI TSERS NPL'!B14</f>
        <v>449907</v>
      </c>
      <c r="E12" s="137">
        <f>'RSI TSERS NPL'!C14</f>
        <v>460812</v>
      </c>
      <c r="F12" s="137">
        <f>'[5]RSI TSERS NPL'!C14</f>
        <v>501643</v>
      </c>
      <c r="G12" s="139"/>
    </row>
    <row r="13" spans="1:6" ht="26.25" customHeight="1">
      <c r="A13" s="7" t="s">
        <v>351</v>
      </c>
      <c r="D13" s="9">
        <f>D11/D12</f>
        <v>0.0009490850331290689</v>
      </c>
      <c r="E13" s="9">
        <f>E11/E12</f>
        <v>0.0019758600036457385</v>
      </c>
      <c r="F13" s="9">
        <f>F11/F12</f>
        <v>0.002661255115689843</v>
      </c>
    </row>
    <row r="14" spans="1:6" ht="12.75">
      <c r="A14" s="1" t="s">
        <v>352</v>
      </c>
      <c r="D14" s="161">
        <v>1.1647</v>
      </c>
      <c r="E14" s="9">
        <v>1.1623</v>
      </c>
      <c r="F14" s="9">
        <v>1.1606</v>
      </c>
    </row>
    <row r="16" ht="12.75">
      <c r="A16" s="1" t="s">
        <v>10</v>
      </c>
    </row>
  </sheetData>
  <sheetProtection/>
  <mergeCells count="5">
    <mergeCell ref="A2:F2"/>
    <mergeCell ref="A3:F3"/>
    <mergeCell ref="A4:F4"/>
    <mergeCell ref="A5:F5"/>
    <mergeCell ref="A6:F6"/>
  </mergeCells>
  <printOptions/>
  <pageMargins left="0.7" right="0.7" top="0.75" bottom="0.75" header="0.3" footer="0.3"/>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2:N20"/>
  <sheetViews>
    <sheetView showGridLines="0" zoomScalePageLayoutView="0" workbookViewId="0" topLeftCell="A1">
      <selection activeCell="B28" sqref="B28"/>
    </sheetView>
  </sheetViews>
  <sheetFormatPr defaultColWidth="9.140625" defaultRowHeight="12.75"/>
  <cols>
    <col min="1" max="1" width="36.00390625" style="1" customWidth="1"/>
    <col min="2" max="3" width="9.140625" style="1" customWidth="1"/>
    <col min="4" max="4" width="9.8515625" style="1" bestFit="1" customWidth="1"/>
    <col min="5" max="5" width="9.8515625" style="1" customWidth="1"/>
    <col min="6" max="9" width="9.140625" style="1" customWidth="1"/>
    <col min="10" max="10" width="10.7109375" style="1" bestFit="1" customWidth="1"/>
    <col min="11" max="13" width="9.140625" style="1" customWidth="1"/>
    <col min="14" max="14" width="0" style="1" hidden="1" customWidth="1"/>
    <col min="15" max="16384" width="9.140625" style="1" customWidth="1"/>
  </cols>
  <sheetData>
    <row r="2" spans="1:14" ht="12.75">
      <c r="A2" s="346" t="s">
        <v>0</v>
      </c>
      <c r="B2" s="346"/>
      <c r="C2" s="346"/>
      <c r="D2" s="346"/>
      <c r="E2" s="346"/>
      <c r="F2" s="346"/>
      <c r="G2" s="346"/>
      <c r="H2" s="346"/>
      <c r="I2" s="346"/>
      <c r="J2" s="346"/>
      <c r="K2" s="346"/>
      <c r="L2" s="346"/>
      <c r="M2" s="346"/>
      <c r="N2" s="346"/>
    </row>
    <row r="3" spans="1:14" ht="12.75">
      <c r="A3" s="346" t="s">
        <v>353</v>
      </c>
      <c r="B3" s="346"/>
      <c r="C3" s="346"/>
      <c r="D3" s="346"/>
      <c r="E3" s="346"/>
      <c r="F3" s="346"/>
      <c r="G3" s="346"/>
      <c r="H3" s="346"/>
      <c r="I3" s="346"/>
      <c r="J3" s="346"/>
      <c r="K3" s="346"/>
      <c r="L3" s="346"/>
      <c r="M3" s="346"/>
      <c r="N3" s="346"/>
    </row>
    <row r="4" spans="1:14" ht="12.75">
      <c r="A4" s="346" t="str">
        <f>'RSI DIPNC'!A5:J5</f>
        <v>Disability Income Plan of North Carolina</v>
      </c>
      <c r="B4" s="346"/>
      <c r="C4" s="346"/>
      <c r="D4" s="346"/>
      <c r="E4" s="346"/>
      <c r="F4" s="346"/>
      <c r="G4" s="346"/>
      <c r="H4" s="346"/>
      <c r="I4" s="346"/>
      <c r="J4" s="346"/>
      <c r="K4" s="346"/>
      <c r="L4" s="346"/>
      <c r="M4" s="346"/>
      <c r="N4" s="346"/>
    </row>
    <row r="5" spans="1:14" ht="12.75">
      <c r="A5" s="355" t="str">
        <f>'RSI RHBF Contr'!A5:J5</f>
        <v>Last Ten Fiscal Years</v>
      </c>
      <c r="B5" s="355"/>
      <c r="C5" s="355"/>
      <c r="D5" s="355"/>
      <c r="E5" s="355"/>
      <c r="F5" s="355"/>
      <c r="G5" s="355"/>
      <c r="H5" s="355"/>
      <c r="I5" s="355"/>
      <c r="J5" s="355"/>
      <c r="K5" s="355"/>
      <c r="L5" s="355"/>
      <c r="M5" s="355"/>
      <c r="N5" s="355"/>
    </row>
    <row r="7" spans="4:14" ht="12.75">
      <c r="D7" s="3">
        <v>2019</v>
      </c>
      <c r="E7" s="3">
        <v>2018</v>
      </c>
      <c r="F7" s="3">
        <v>2017</v>
      </c>
      <c r="G7" s="3">
        <v>2016</v>
      </c>
      <c r="H7" s="3">
        <v>2015</v>
      </c>
      <c r="I7" s="3">
        <v>2014</v>
      </c>
      <c r="J7" s="3">
        <v>2013</v>
      </c>
      <c r="K7" s="3">
        <v>2012</v>
      </c>
      <c r="L7" s="3">
        <v>2011</v>
      </c>
      <c r="M7" s="3">
        <v>2010</v>
      </c>
      <c r="N7" s="3">
        <v>2009</v>
      </c>
    </row>
    <row r="8" ht="12.75">
      <c r="E8" s="4"/>
    </row>
    <row r="9" spans="1:14" ht="12.75">
      <c r="A9" s="1" t="s">
        <v>339</v>
      </c>
      <c r="D9" s="6">
        <f>D13*D14</f>
        <v>610.2525</v>
      </c>
      <c r="E9" s="6">
        <f>E13*E14</f>
        <v>629.8697999999999</v>
      </c>
      <c r="F9" s="163">
        <f>F14*F13</f>
        <v>1751.0855999999999</v>
      </c>
      <c r="G9" s="163">
        <f aca="true" t="shared" si="0" ref="G9:N9">G14*G13</f>
        <v>2056.7363</v>
      </c>
      <c r="H9" s="163">
        <f t="shared" si="0"/>
        <v>1783.3606000000002</v>
      </c>
      <c r="I9" s="163">
        <f t="shared" si="0"/>
        <v>1872.9436</v>
      </c>
      <c r="J9" s="163">
        <f t="shared" si="0"/>
        <v>1816.755292</v>
      </c>
      <c r="K9" s="163">
        <f t="shared" si="0"/>
        <v>2082.66220292</v>
      </c>
      <c r="L9" s="163">
        <f t="shared" si="0"/>
        <v>2020.1823368323999</v>
      </c>
      <c r="M9" s="163">
        <f t="shared" si="0"/>
        <v>1959.5768667274276</v>
      </c>
      <c r="N9" s="163">
        <f t="shared" si="0"/>
        <v>1900.789560725605</v>
      </c>
    </row>
    <row r="10" spans="1:14" ht="25.5">
      <c r="A10" s="7" t="s">
        <v>344</v>
      </c>
      <c r="D10" s="164">
        <f>D9</f>
        <v>610.2525</v>
      </c>
      <c r="E10" s="164">
        <f>E9</f>
        <v>629.8697999999999</v>
      </c>
      <c r="F10" s="164">
        <f aca="true" t="shared" si="1" ref="F10:N10">F9</f>
        <v>1751.0855999999999</v>
      </c>
      <c r="G10" s="164">
        <f t="shared" si="1"/>
        <v>2056.7363</v>
      </c>
      <c r="H10" s="164">
        <f t="shared" si="1"/>
        <v>1783.3606000000002</v>
      </c>
      <c r="I10" s="164">
        <f t="shared" si="1"/>
        <v>1872.9436</v>
      </c>
      <c r="J10" s="164">
        <f t="shared" si="1"/>
        <v>1816.755292</v>
      </c>
      <c r="K10" s="164">
        <f t="shared" si="1"/>
        <v>2082.66220292</v>
      </c>
      <c r="L10" s="164">
        <f t="shared" si="1"/>
        <v>2020.1823368323999</v>
      </c>
      <c r="M10" s="164">
        <f t="shared" si="1"/>
        <v>1959.5768667274276</v>
      </c>
      <c r="N10" s="164">
        <f t="shared" si="1"/>
        <v>1900.789560725605</v>
      </c>
    </row>
    <row r="11" spans="1:14" ht="13.5" thickBot="1">
      <c r="A11" s="1" t="s">
        <v>341</v>
      </c>
      <c r="D11" s="165">
        <v>0</v>
      </c>
      <c r="E11" s="165">
        <f>E9-E10</f>
        <v>0</v>
      </c>
      <c r="F11" s="165">
        <f aca="true" t="shared" si="2" ref="F11:N11">F9-F10</f>
        <v>0</v>
      </c>
      <c r="G11" s="165">
        <f t="shared" si="2"/>
        <v>0</v>
      </c>
      <c r="H11" s="165">
        <f t="shared" si="2"/>
        <v>0</v>
      </c>
      <c r="I11" s="165">
        <f t="shared" si="2"/>
        <v>0</v>
      </c>
      <c r="J11" s="165">
        <f t="shared" si="2"/>
        <v>0</v>
      </c>
      <c r="K11" s="165">
        <f t="shared" si="2"/>
        <v>0</v>
      </c>
      <c r="L11" s="165">
        <f t="shared" si="2"/>
        <v>0</v>
      </c>
      <c r="M11" s="165">
        <f t="shared" si="2"/>
        <v>0</v>
      </c>
      <c r="N11" s="165">
        <f t="shared" si="2"/>
        <v>0</v>
      </c>
    </row>
    <row r="12" ht="10.5" customHeight="1" thickTop="1">
      <c r="E12" s="166"/>
    </row>
    <row r="13" spans="1:14" ht="12.75">
      <c r="A13" s="1" t="s">
        <v>7</v>
      </c>
      <c r="D13" s="6">
        <f>'RSI TSERS Contr'!B13</f>
        <v>406835</v>
      </c>
      <c r="E13" s="6">
        <f>'RSI TSERS Contr'!C13</f>
        <v>449907</v>
      </c>
      <c r="F13" s="6">
        <f>'RSI TSERS Contr'!D13</f>
        <v>460812</v>
      </c>
      <c r="G13" s="6">
        <f>'RSI TSERS Contr'!F13</f>
        <v>501643</v>
      </c>
      <c r="H13" s="6">
        <f>'RSI TSERS Contr'!H13</f>
        <v>434966</v>
      </c>
      <c r="I13" s="6">
        <f>'RSI TSERS Contr'!J13</f>
        <v>425669</v>
      </c>
      <c r="J13" s="163">
        <f>I13*0.97</f>
        <v>412898.93</v>
      </c>
      <c r="K13" s="163">
        <f>J13*0.97</f>
        <v>400511.9621</v>
      </c>
      <c r="L13" s="163">
        <f>K13*0.97</f>
        <v>388496.603237</v>
      </c>
      <c r="M13" s="163">
        <f>L13*0.97</f>
        <v>376841.70513988996</v>
      </c>
      <c r="N13" s="163">
        <f>M13*0.97</f>
        <v>365536.4539856933</v>
      </c>
    </row>
    <row r="14" spans="1:14" ht="25.5">
      <c r="A14" s="7" t="s">
        <v>345</v>
      </c>
      <c r="D14" s="9">
        <v>0.0015</v>
      </c>
      <c r="E14" s="9">
        <v>0.0014</v>
      </c>
      <c r="F14" s="9">
        <v>0.0038</v>
      </c>
      <c r="G14" s="9">
        <v>0.0041</v>
      </c>
      <c r="H14" s="9">
        <v>0.0041</v>
      </c>
      <c r="I14" s="9">
        <v>0.0044</v>
      </c>
      <c r="J14" s="9">
        <v>0.0044</v>
      </c>
      <c r="K14" s="9">
        <v>0.0052</v>
      </c>
      <c r="L14" s="9">
        <v>0.0052</v>
      </c>
      <c r="M14" s="9">
        <v>0.0052</v>
      </c>
      <c r="N14" s="9">
        <v>0.0052</v>
      </c>
    </row>
    <row r="20" spans="4:5" ht="12.75">
      <c r="D20" s="139"/>
      <c r="E20" s="139"/>
    </row>
  </sheetData>
  <sheetProtection/>
  <mergeCells count="4">
    <mergeCell ref="A2:N2"/>
    <mergeCell ref="A3:N3"/>
    <mergeCell ref="A4:N4"/>
    <mergeCell ref="A5:N5"/>
  </mergeCells>
  <printOptions/>
  <pageMargins left="0.7" right="0.7" top="0.75" bottom="0.75" header="0.3" footer="0.3"/>
  <pageSetup fitToHeight="1" fitToWidth="1" horizontalDpi="600" verticalDpi="600" orientation="landscape" scale="83" r:id="rId1"/>
</worksheet>
</file>

<file path=xl/worksheets/sheet18.xml><?xml version="1.0" encoding="utf-8"?>
<worksheet xmlns="http://schemas.openxmlformats.org/spreadsheetml/2006/main" xmlns:r="http://schemas.openxmlformats.org/officeDocument/2006/relationships">
  <dimension ref="A2:O135"/>
  <sheetViews>
    <sheetView showGridLines="0" zoomScalePageLayoutView="80" workbookViewId="0" topLeftCell="A49">
      <selection activeCell="B28" sqref="B28"/>
    </sheetView>
  </sheetViews>
  <sheetFormatPr defaultColWidth="9.140625" defaultRowHeight="12.75"/>
  <cols>
    <col min="1" max="1" width="2.421875" style="68" customWidth="1"/>
    <col min="2" max="3" width="2.28125" style="68" customWidth="1"/>
    <col min="4" max="4" width="3.140625" style="68" customWidth="1"/>
    <col min="5" max="5" width="47.28125" style="68" customWidth="1"/>
    <col min="6" max="6" width="13.28125" style="68" bestFit="1" customWidth="1"/>
    <col min="7" max="7" width="1.57421875" style="68" customWidth="1"/>
    <col min="8" max="8" width="12.140625" style="68" bestFit="1" customWidth="1"/>
    <col min="9" max="9" width="1.7109375" style="68" customWidth="1"/>
    <col min="10" max="10" width="12.28125" style="68" customWidth="1"/>
    <col min="11" max="11" width="0.2890625" style="68" hidden="1" customWidth="1"/>
    <col min="12" max="16384" width="9.140625" style="68" customWidth="1"/>
  </cols>
  <sheetData>
    <row r="2" spans="1:11" s="168" customFormat="1" ht="12.75">
      <c r="A2" s="167" t="s">
        <v>0</v>
      </c>
      <c r="B2" s="167"/>
      <c r="C2" s="167"/>
      <c r="D2" s="167"/>
      <c r="E2" s="167"/>
      <c r="F2" s="167"/>
      <c r="G2" s="167"/>
      <c r="H2" s="167"/>
      <c r="I2" s="167"/>
      <c r="J2" s="167"/>
      <c r="K2" s="167"/>
    </row>
    <row r="3" spans="1:11" s="168" customFormat="1" ht="12.75">
      <c r="A3" s="363" t="s">
        <v>253</v>
      </c>
      <c r="B3" s="363"/>
      <c r="C3" s="363"/>
      <c r="D3" s="363"/>
      <c r="E3" s="363"/>
      <c r="F3" s="363"/>
      <c r="G3" s="363"/>
      <c r="H3" s="363"/>
      <c r="I3" s="363"/>
      <c r="J3" s="363"/>
      <c r="K3" s="363"/>
    </row>
    <row r="4" spans="1:11" s="168" customFormat="1" ht="12.75">
      <c r="A4" s="167" t="s">
        <v>354</v>
      </c>
      <c r="B4" s="167"/>
      <c r="C4" s="167"/>
      <c r="D4" s="167"/>
      <c r="E4" s="167"/>
      <c r="F4" s="167"/>
      <c r="G4" s="167"/>
      <c r="H4" s="167"/>
      <c r="I4" s="167"/>
      <c r="J4" s="167"/>
      <c r="K4" s="167"/>
    </row>
    <row r="5" spans="1:11" s="168" customFormat="1" ht="12.75">
      <c r="A5" s="167" t="s">
        <v>355</v>
      </c>
      <c r="B5" s="167"/>
      <c r="C5" s="167"/>
      <c r="D5" s="167"/>
      <c r="E5" s="167"/>
      <c r="F5" s="167"/>
      <c r="G5" s="167"/>
      <c r="H5" s="167"/>
      <c r="I5" s="167"/>
      <c r="J5" s="167"/>
      <c r="K5" s="167"/>
    </row>
    <row r="6" spans="1:11" s="168" customFormat="1" ht="12.75">
      <c r="A6" s="167" t="str">
        <f>GWStmtAct!A4</f>
        <v>For the Year Ended June 30, 2019</v>
      </c>
      <c r="B6" s="167"/>
      <c r="C6" s="167"/>
      <c r="D6" s="167"/>
      <c r="E6" s="167"/>
      <c r="F6" s="167"/>
      <c r="G6" s="167"/>
      <c r="H6" s="167"/>
      <c r="I6" s="167"/>
      <c r="J6" s="167"/>
      <c r="K6" s="167"/>
    </row>
    <row r="7" spans="1:11" ht="13.5" thickBot="1">
      <c r="A7" s="169"/>
      <c r="B7" s="169"/>
      <c r="C7" s="169"/>
      <c r="D7" s="169"/>
      <c r="E7" s="169"/>
      <c r="F7" s="169"/>
      <c r="G7" s="169"/>
      <c r="H7" s="169"/>
      <c r="I7" s="169"/>
      <c r="J7" s="169"/>
      <c r="K7" s="169"/>
    </row>
    <row r="8" spans="6:10" ht="12.75">
      <c r="F8" s="19"/>
      <c r="G8" s="170"/>
      <c r="H8" s="19"/>
      <c r="J8" s="171" t="s">
        <v>356</v>
      </c>
    </row>
    <row r="9" spans="5:10" ht="12.75">
      <c r="E9" s="172"/>
      <c r="F9" s="170"/>
      <c r="G9" s="170"/>
      <c r="H9" s="170"/>
      <c r="J9" s="173" t="s">
        <v>357</v>
      </c>
    </row>
    <row r="10" spans="1:10" ht="12.75">
      <c r="A10" s="19"/>
      <c r="F10" s="174" t="s">
        <v>358</v>
      </c>
      <c r="G10" s="175"/>
      <c r="H10" s="174" t="s">
        <v>359</v>
      </c>
      <c r="I10" s="70"/>
      <c r="J10" s="174" t="s">
        <v>360</v>
      </c>
    </row>
    <row r="11" spans="1:10" ht="12.75">
      <c r="A11" s="168" t="s">
        <v>259</v>
      </c>
      <c r="F11" s="176"/>
      <c r="G11" s="177"/>
      <c r="H11" s="176"/>
      <c r="I11" s="74"/>
      <c r="J11" s="176"/>
    </row>
    <row r="12" spans="2:10" ht="12.75">
      <c r="B12" s="68" t="s">
        <v>361</v>
      </c>
      <c r="F12" s="170"/>
      <c r="G12" s="170"/>
      <c r="H12" s="170"/>
      <c r="J12" s="170"/>
    </row>
    <row r="13" spans="3:11" ht="12.75">
      <c r="C13" s="68" t="s">
        <v>204</v>
      </c>
      <c r="E13" s="19"/>
      <c r="F13" s="178">
        <f>685275+45000*0.8+0.8*27219+3304+(50000*0.8)+(30000*0.8)+(1400*0.8*0.5)</f>
        <v>810914.2</v>
      </c>
      <c r="G13" s="83"/>
      <c r="H13" s="178">
        <f>35000+667640</f>
        <v>702640</v>
      </c>
      <c r="I13" s="83"/>
      <c r="J13" s="178">
        <f>H13-F13</f>
        <v>-108274.19999999995</v>
      </c>
      <c r="K13" s="76"/>
    </row>
    <row r="14" spans="6:10" ht="12.75">
      <c r="F14" s="74"/>
      <c r="H14" s="74"/>
      <c r="J14" s="74"/>
    </row>
    <row r="15" spans="2:10" ht="12.75">
      <c r="B15" s="68" t="s">
        <v>362</v>
      </c>
      <c r="F15" s="74"/>
      <c r="H15" s="74"/>
      <c r="J15" s="74"/>
    </row>
    <row r="16" spans="3:10" ht="12.75">
      <c r="C16" s="68" t="s">
        <v>203</v>
      </c>
      <c r="F16" s="74">
        <f>1980000+30119059+20000+200000</f>
        <v>32319059</v>
      </c>
      <c r="H16" s="74">
        <f>1980000+30119059+20000+200000</f>
        <v>32319059</v>
      </c>
      <c r="J16" s="74">
        <f>F16-H16</f>
        <v>0</v>
      </c>
    </row>
    <row r="17" spans="3:10" ht="12.75">
      <c r="C17" s="68" t="s">
        <v>204</v>
      </c>
      <c r="F17" s="68">
        <v>0</v>
      </c>
      <c r="H17" s="68">
        <v>1032</v>
      </c>
      <c r="J17" s="74">
        <f>H17-F17</f>
        <v>1032</v>
      </c>
    </row>
    <row r="18" spans="4:10" ht="12.75">
      <c r="D18" s="68" t="s">
        <v>20</v>
      </c>
      <c r="F18" s="73">
        <f>SUM(F16:F17)</f>
        <v>32319059</v>
      </c>
      <c r="H18" s="73">
        <f>SUM(H16:H17)</f>
        <v>32320091</v>
      </c>
      <c r="J18" s="73">
        <f>SUM(J16:J17)</f>
        <v>1032</v>
      </c>
    </row>
    <row r="19" ht="12.75">
      <c r="J19" s="19"/>
    </row>
    <row r="20" spans="2:10" ht="12.75">
      <c r="B20" s="68" t="s">
        <v>363</v>
      </c>
      <c r="J20" s="19"/>
    </row>
    <row r="21" spans="3:10" ht="12.75">
      <c r="C21" s="68" t="s">
        <v>364</v>
      </c>
      <c r="F21" s="68">
        <f>12000+15000</f>
        <v>27000</v>
      </c>
      <c r="G21" s="19"/>
      <c r="H21" s="68">
        <f>12000+9900</f>
        <v>21900</v>
      </c>
      <c r="J21" s="74">
        <f>H21-F21</f>
        <v>-5100</v>
      </c>
    </row>
    <row r="22" spans="3:10" ht="12.75">
      <c r="C22" s="68" t="s">
        <v>365</v>
      </c>
      <c r="F22" s="68">
        <v>6200</v>
      </c>
      <c r="H22" s="68">
        <v>6600</v>
      </c>
      <c r="J22" s="74">
        <v>400</v>
      </c>
    </row>
    <row r="23" spans="3:10" ht="12.75">
      <c r="C23" s="68" t="s">
        <v>366</v>
      </c>
      <c r="F23" s="68">
        <v>4800</v>
      </c>
      <c r="H23" s="68">
        <f>5000+40000</f>
        <v>45000</v>
      </c>
      <c r="J23" s="74">
        <f>H23-F23</f>
        <v>40200</v>
      </c>
    </row>
    <row r="24" spans="3:10" ht="12.75">
      <c r="C24" s="68" t="s">
        <v>367</v>
      </c>
      <c r="F24" s="68">
        <v>5200</v>
      </c>
      <c r="H24" s="68">
        <v>3438</v>
      </c>
      <c r="J24" s="74">
        <v>-1762</v>
      </c>
    </row>
    <row r="25" spans="3:10" ht="12.75">
      <c r="C25" s="68" t="s">
        <v>368</v>
      </c>
      <c r="F25" s="68">
        <f>4000-1500+468</f>
        <v>2968</v>
      </c>
      <c r="H25" s="68">
        <f>4000-1032</f>
        <v>2968</v>
      </c>
      <c r="J25" s="74">
        <f>H25-F25</f>
        <v>0</v>
      </c>
    </row>
    <row r="26" spans="3:10" ht="12.75">
      <c r="C26" s="68" t="s">
        <v>369</v>
      </c>
      <c r="F26" s="70">
        <v>3600</v>
      </c>
      <c r="H26" s="70">
        <v>1900</v>
      </c>
      <c r="J26" s="70">
        <v>-1700</v>
      </c>
    </row>
    <row r="27" spans="4:10" ht="12.75">
      <c r="D27" s="68" t="s">
        <v>20</v>
      </c>
      <c r="F27" s="70">
        <f>SUM(F21:F26)</f>
        <v>49768</v>
      </c>
      <c r="H27" s="70">
        <f>SUM(H21:H26)</f>
        <v>81806</v>
      </c>
      <c r="J27" s="70">
        <f>SUM(J21:J26)</f>
        <v>32038</v>
      </c>
    </row>
    <row r="28" spans="6:10" ht="12.75">
      <c r="F28" s="74"/>
      <c r="H28" s="74"/>
      <c r="J28" s="30"/>
    </row>
    <row r="29" spans="4:11" ht="12.75">
      <c r="D29" s="168" t="s">
        <v>370</v>
      </c>
      <c r="E29" s="179"/>
      <c r="F29" s="180">
        <f>F13+F18+F27</f>
        <v>33179741.2</v>
      </c>
      <c r="G29" s="181"/>
      <c r="H29" s="180">
        <f>H13+H18+H27</f>
        <v>33104537</v>
      </c>
      <c r="I29" s="181"/>
      <c r="J29" s="180">
        <f>J13+J18+J27</f>
        <v>-75204.19999999995</v>
      </c>
      <c r="K29" s="181"/>
    </row>
    <row r="31" ht="12.75">
      <c r="A31" s="168" t="s">
        <v>262</v>
      </c>
    </row>
    <row r="32" ht="12.75">
      <c r="B32" s="68" t="s">
        <v>117</v>
      </c>
    </row>
    <row r="33" spans="3:8" ht="12.75">
      <c r="C33" s="68" t="s">
        <v>371</v>
      </c>
      <c r="H33" s="19"/>
    </row>
    <row r="34" spans="4:10" ht="12.75">
      <c r="D34" s="68" t="s">
        <v>372</v>
      </c>
      <c r="H34" s="182">
        <f>599182+2500000+48500*0.8+27219*0.8+0.8*0.5*1260</f>
        <v>3160261.2</v>
      </c>
      <c r="I34" s="182"/>
      <c r="J34" s="182"/>
    </row>
    <row r="35" spans="3:10" ht="12.75">
      <c r="C35" s="19"/>
      <c r="D35" s="68" t="s">
        <v>373</v>
      </c>
      <c r="H35" s="182">
        <f>339160+2500000</f>
        <v>2839160</v>
      </c>
      <c r="I35" s="182"/>
      <c r="J35" s="182"/>
    </row>
    <row r="36" spans="4:10" ht="12.75">
      <c r="D36" s="19"/>
      <c r="E36" s="68" t="s">
        <v>20</v>
      </c>
      <c r="F36" s="73">
        <f>939113+5000000+48500*0.8+0.8*27219+0.8*0.5*1260+(50000*0.8)+(30000*0.8)+(1400*0.8*0.5)</f>
        <v>6064752.2</v>
      </c>
      <c r="H36" s="183">
        <f>SUM(H34:H35)</f>
        <v>5999421.2</v>
      </c>
      <c r="I36" s="182"/>
      <c r="J36" s="183">
        <f>F36-H36</f>
        <v>65331</v>
      </c>
    </row>
    <row r="37" spans="8:10" ht="12.75">
      <c r="H37" s="182"/>
      <c r="I37" s="182"/>
      <c r="J37" s="182"/>
    </row>
    <row r="38" spans="3:10" ht="12.75">
      <c r="C38" s="68" t="s">
        <v>374</v>
      </c>
      <c r="H38" s="182"/>
      <c r="I38" s="182"/>
      <c r="J38" s="182"/>
    </row>
    <row r="39" spans="4:10" ht="12.75">
      <c r="D39" s="68" t="s">
        <v>375</v>
      </c>
      <c r="H39" s="182">
        <f>78941+1250000</f>
        <v>1328941</v>
      </c>
      <c r="I39" s="182"/>
      <c r="J39" s="182"/>
    </row>
    <row r="40" spans="4:10" ht="12.75">
      <c r="D40" s="68" t="s">
        <v>376</v>
      </c>
      <c r="H40" s="182">
        <f>54817+500000</f>
        <v>554817</v>
      </c>
      <c r="I40" s="182"/>
      <c r="J40" s="182"/>
    </row>
    <row r="41" spans="4:10" ht="12.75">
      <c r="D41" s="68" t="s">
        <v>377</v>
      </c>
      <c r="F41" s="70"/>
      <c r="H41" s="184">
        <f>12739+250000</f>
        <v>262739</v>
      </c>
      <c r="I41" s="182"/>
      <c r="J41" s="184"/>
    </row>
    <row r="42" spans="5:10" ht="12.75">
      <c r="E42" s="68" t="s">
        <v>20</v>
      </c>
      <c r="F42" s="70">
        <f>146900+2000000</f>
        <v>2146900</v>
      </c>
      <c r="H42" s="184">
        <f>SUM(H39:H41)</f>
        <v>2146497</v>
      </c>
      <c r="I42" s="182"/>
      <c r="J42" s="184">
        <f>F42-H42</f>
        <v>403</v>
      </c>
    </row>
    <row r="43" spans="8:10" ht="12.75">
      <c r="H43" s="182"/>
      <c r="I43" s="182"/>
      <c r="J43" s="182"/>
    </row>
    <row r="44" spans="3:10" ht="12.75">
      <c r="C44" s="68" t="s">
        <v>378</v>
      </c>
      <c r="H44" s="182"/>
      <c r="I44" s="182"/>
      <c r="J44" s="182"/>
    </row>
    <row r="45" spans="4:10" ht="12.75">
      <c r="D45" s="68" t="s">
        <v>379</v>
      </c>
      <c r="H45" s="182">
        <f>34689+1000000</f>
        <v>1034689</v>
      </c>
      <c r="I45" s="182"/>
      <c r="J45" s="182"/>
    </row>
    <row r="46" spans="4:10" ht="12.75">
      <c r="D46" s="68" t="s">
        <v>380</v>
      </c>
      <c r="H46" s="182">
        <f>73214+1000000</f>
        <v>1073214</v>
      </c>
      <c r="I46" s="182"/>
      <c r="J46" s="182"/>
    </row>
    <row r="47" spans="5:10" ht="12.75">
      <c r="E47" s="68" t="s">
        <v>20</v>
      </c>
      <c r="F47" s="73">
        <f>108125+2000000+198968</f>
        <v>2307093</v>
      </c>
      <c r="H47" s="183">
        <f>SUM(H44:H46)</f>
        <v>2107903</v>
      </c>
      <c r="I47" s="182"/>
      <c r="J47" s="183">
        <f>F47-H47</f>
        <v>199190</v>
      </c>
    </row>
    <row r="48" spans="8:10" ht="12.75">
      <c r="H48" s="182"/>
      <c r="I48" s="182"/>
      <c r="J48" s="182"/>
    </row>
    <row r="49" spans="3:10" ht="12.75">
      <c r="C49" s="68" t="s">
        <v>381</v>
      </c>
      <c r="F49" s="70">
        <f>22975+1000000</f>
        <v>1022975</v>
      </c>
      <c r="H49" s="184">
        <f>22316+1000000</f>
        <v>1022316</v>
      </c>
      <c r="I49" s="182"/>
      <c r="J49" s="184">
        <f>F49-H49</f>
        <v>659</v>
      </c>
    </row>
    <row r="50" spans="8:10" ht="12.75">
      <c r="H50" s="182"/>
      <c r="I50" s="182"/>
      <c r="J50" s="182"/>
    </row>
    <row r="51" spans="3:10" ht="12.75">
      <c r="C51" s="68" t="s">
        <v>382</v>
      </c>
      <c r="F51" s="70">
        <f>38000+1000000</f>
        <v>1038000</v>
      </c>
      <c r="H51" s="184">
        <f>37981+1000000</f>
        <v>1037981</v>
      </c>
      <c r="I51" s="182"/>
      <c r="J51" s="184">
        <f>F51-H51</f>
        <v>19</v>
      </c>
    </row>
    <row r="52" spans="8:10" ht="12.75">
      <c r="H52" s="182"/>
      <c r="I52" s="182"/>
      <c r="J52" s="185" t="s">
        <v>59</v>
      </c>
    </row>
    <row r="53" spans="6:10" ht="12.75">
      <c r="F53" s="74"/>
      <c r="H53" s="74"/>
      <c r="J53" s="185"/>
    </row>
    <row r="54" spans="6:10" ht="12.75">
      <c r="F54" s="19"/>
      <c r="G54" s="170"/>
      <c r="H54" s="19"/>
      <c r="J54" s="171" t="s">
        <v>356</v>
      </c>
    </row>
    <row r="55" spans="5:10" ht="12.75">
      <c r="E55" s="172"/>
      <c r="F55" s="170"/>
      <c r="G55" s="170"/>
      <c r="H55" s="170"/>
      <c r="J55" s="173" t="s">
        <v>357</v>
      </c>
    </row>
    <row r="56" spans="1:10" ht="12.75">
      <c r="A56" s="19"/>
      <c r="F56" s="174" t="s">
        <v>358</v>
      </c>
      <c r="G56" s="175"/>
      <c r="H56" s="174" t="s">
        <v>359</v>
      </c>
      <c r="I56" s="70"/>
      <c r="J56" s="174" t="s">
        <v>360</v>
      </c>
    </row>
    <row r="57" spans="8:10" ht="12.75">
      <c r="H57" s="182"/>
      <c r="I57" s="182"/>
      <c r="J57" s="185"/>
    </row>
    <row r="58" spans="8:10" ht="12.75">
      <c r="H58" s="182"/>
      <c r="I58" s="182"/>
      <c r="J58" s="185"/>
    </row>
    <row r="59" spans="3:10" ht="12.75">
      <c r="C59" s="68" t="s">
        <v>383</v>
      </c>
      <c r="H59" s="182"/>
      <c r="I59" s="182"/>
      <c r="J59" s="182"/>
    </row>
    <row r="60" spans="4:10" ht="12.75">
      <c r="D60" s="68" t="s">
        <v>384</v>
      </c>
      <c r="H60" s="182">
        <f>34698+250000</f>
        <v>284698</v>
      </c>
      <c r="I60" s="182"/>
      <c r="J60" s="182"/>
    </row>
    <row r="61" spans="4:10" ht="12.75">
      <c r="D61" s="68" t="s">
        <v>385</v>
      </c>
      <c r="H61" s="182">
        <f>15632+250000</f>
        <v>265632</v>
      </c>
      <c r="I61" s="182"/>
      <c r="J61" s="182"/>
    </row>
    <row r="62" spans="4:10" ht="12.75">
      <c r="D62" s="68" t="s">
        <v>386</v>
      </c>
      <c r="H62" s="182">
        <f>15216+250000</f>
        <v>265216</v>
      </c>
      <c r="I62" s="182"/>
      <c r="J62" s="182"/>
    </row>
    <row r="63" spans="4:10" ht="12.75">
      <c r="D63" s="68" t="s">
        <v>387</v>
      </c>
      <c r="F63" s="70"/>
      <c r="H63" s="184">
        <f>29406+250000</f>
        <v>279406</v>
      </c>
      <c r="I63" s="182"/>
      <c r="J63" s="184"/>
    </row>
    <row r="64" spans="5:10" ht="12.75">
      <c r="E64" s="68" t="s">
        <v>20</v>
      </c>
      <c r="F64" s="70">
        <f>95000+1000000</f>
        <v>1095000</v>
      </c>
      <c r="H64" s="184">
        <f>SUM(H60:H63)</f>
        <v>1094952</v>
      </c>
      <c r="I64" s="182"/>
      <c r="J64" s="184">
        <f>F64-H64</f>
        <v>48</v>
      </c>
    </row>
    <row r="65" spans="6:8" ht="12.75">
      <c r="F65" s="74"/>
      <c r="H65" s="74"/>
    </row>
    <row r="66" ht="12.75">
      <c r="B66" s="68" t="s">
        <v>124</v>
      </c>
    </row>
    <row r="67" spans="3:8" ht="12.75">
      <c r="C67" s="68" t="s">
        <v>388</v>
      </c>
      <c r="H67" s="19"/>
    </row>
    <row r="68" spans="4:9" ht="12.75">
      <c r="D68" s="68" t="s">
        <v>389</v>
      </c>
      <c r="G68" s="74"/>
      <c r="H68" s="68">
        <f>4689+500000</f>
        <v>504689</v>
      </c>
      <c r="I68" s="74"/>
    </row>
    <row r="69" spans="4:9" ht="12.75">
      <c r="D69" s="68" t="s">
        <v>390</v>
      </c>
      <c r="G69" s="74"/>
      <c r="H69" s="68">
        <f>10301+500000</f>
        <v>510301</v>
      </c>
      <c r="I69" s="74"/>
    </row>
    <row r="70" spans="5:10" ht="12.75">
      <c r="E70" s="68" t="s">
        <v>20</v>
      </c>
      <c r="F70" s="73">
        <f>15000+1000000</f>
        <v>1015000</v>
      </c>
      <c r="G70" s="74"/>
      <c r="H70" s="73">
        <f>SUM(H68:H69)</f>
        <v>1014990</v>
      </c>
      <c r="I70" s="74"/>
      <c r="J70" s="183">
        <f>F70-H70</f>
        <v>10</v>
      </c>
    </row>
    <row r="71" spans="7:9" ht="12.75">
      <c r="G71" s="74"/>
      <c r="I71" s="74"/>
    </row>
    <row r="72" spans="3:10" ht="12.75">
      <c r="C72" s="68" t="s">
        <v>391</v>
      </c>
      <c r="F72" s="70">
        <f>60000+1000000</f>
        <v>1060000</v>
      </c>
      <c r="H72" s="70">
        <f>59684+1000000</f>
        <v>1059684</v>
      </c>
      <c r="J72" s="70">
        <f>F72-H72</f>
        <v>316</v>
      </c>
    </row>
    <row r="74" spans="3:10" ht="26.25" customHeight="1">
      <c r="C74" s="364" t="s">
        <v>392</v>
      </c>
      <c r="D74" s="326"/>
      <c r="E74" s="326"/>
      <c r="F74" s="70">
        <f>37000+1000000</f>
        <v>1037000</v>
      </c>
      <c r="H74" s="184">
        <f>36850+1000000</f>
        <v>1036850</v>
      </c>
      <c r="I74" s="182"/>
      <c r="J74" s="184">
        <f>F74-H74</f>
        <v>150</v>
      </c>
    </row>
    <row r="75" spans="6:10" ht="12.75">
      <c r="F75" s="74"/>
      <c r="H75" s="74"/>
      <c r="J75" s="74"/>
    </row>
    <row r="76" spans="3:10" ht="12.75">
      <c r="C76" s="68" t="s">
        <v>393</v>
      </c>
      <c r="F76" s="70">
        <v>170000</v>
      </c>
      <c r="H76" s="70">
        <v>165487</v>
      </c>
      <c r="J76" s="70">
        <f>F76-H76</f>
        <v>4513</v>
      </c>
    </row>
    <row r="77" spans="6:8" ht="12.75">
      <c r="F77" s="74"/>
      <c r="H77" s="74"/>
    </row>
    <row r="78" spans="3:10" ht="12.75">
      <c r="C78" s="68" t="s">
        <v>394</v>
      </c>
      <c r="J78" s="185"/>
    </row>
    <row r="79" spans="4:15" ht="12.75">
      <c r="D79" s="68" t="s">
        <v>395</v>
      </c>
      <c r="H79" s="68">
        <f>29477+1000000</f>
        <v>1029477</v>
      </c>
      <c r="O79" s="68" t="s">
        <v>177</v>
      </c>
    </row>
    <row r="80" spans="4:8" ht="12.75">
      <c r="D80" s="68" t="s">
        <v>396</v>
      </c>
      <c r="H80" s="68">
        <f>16050+1000000</f>
        <v>1016050</v>
      </c>
    </row>
    <row r="81" spans="4:8" ht="12.75">
      <c r="D81" s="68" t="s">
        <v>397</v>
      </c>
      <c r="H81" s="68">
        <f>67998+1000000</f>
        <v>1067998</v>
      </c>
    </row>
    <row r="82" spans="4:8" ht="12.75">
      <c r="D82" s="68" t="s">
        <v>398</v>
      </c>
      <c r="H82" s="68">
        <f>45681+500000</f>
        <v>545681</v>
      </c>
    </row>
    <row r="83" spans="4:10" ht="12.75">
      <c r="D83" s="68" t="s">
        <v>399</v>
      </c>
      <c r="F83" s="70"/>
      <c r="H83" s="70">
        <f>133850+500000</f>
        <v>633850</v>
      </c>
      <c r="J83" s="70"/>
    </row>
    <row r="84" spans="4:10" ht="12.75">
      <c r="D84" s="186" t="s">
        <v>400</v>
      </c>
      <c r="E84" s="68" t="s">
        <v>20</v>
      </c>
      <c r="F84" s="70">
        <f>300000+4000000</f>
        <v>4300000</v>
      </c>
      <c r="H84" s="70">
        <f>SUM(H79:H83)</f>
        <v>4293056</v>
      </c>
      <c r="J84" s="184">
        <f>F84-H84</f>
        <v>6944</v>
      </c>
    </row>
    <row r="85" spans="6:10" ht="12.75">
      <c r="F85" s="74"/>
      <c r="H85" s="74"/>
      <c r="J85" s="74"/>
    </row>
    <row r="86" spans="3:10" ht="15.75" customHeight="1">
      <c r="C86" s="68" t="s">
        <v>401</v>
      </c>
      <c r="F86" s="74"/>
      <c r="H86" s="74"/>
      <c r="J86" s="74"/>
    </row>
    <row r="87" spans="4:10" ht="12.75">
      <c r="D87" s="68" t="s">
        <v>402</v>
      </c>
      <c r="F87" s="74"/>
      <c r="H87" s="74">
        <f>245708+3500000</f>
        <v>3745708</v>
      </c>
      <c r="J87" s="74"/>
    </row>
    <row r="88" spans="4:10" ht="12.75">
      <c r="D88" s="68" t="s">
        <v>403</v>
      </c>
      <c r="F88" s="70"/>
      <c r="H88" s="70">
        <f>35840+500000</f>
        <v>535840</v>
      </c>
      <c r="J88" s="70"/>
    </row>
    <row r="89" spans="5:10" ht="12.75">
      <c r="E89" s="68" t="s">
        <v>20</v>
      </c>
      <c r="F89" s="70">
        <f>281000+4000000</f>
        <v>4281000</v>
      </c>
      <c r="H89" s="70">
        <f>SUM(H87:H88)</f>
        <v>4281548</v>
      </c>
      <c r="J89" s="184">
        <f>F89-H89</f>
        <v>-548</v>
      </c>
    </row>
    <row r="90" spans="6:10" ht="12.75">
      <c r="F90" s="74"/>
      <c r="H90" s="74"/>
      <c r="J90" s="185" t="s">
        <v>59</v>
      </c>
    </row>
    <row r="91" spans="6:10" ht="12.75">
      <c r="F91" s="74"/>
      <c r="H91" s="74"/>
      <c r="J91" s="187"/>
    </row>
    <row r="92" spans="6:10" ht="12.75">
      <c r="F92" s="74"/>
      <c r="H92" s="74"/>
      <c r="J92" s="185" t="s">
        <v>59</v>
      </c>
    </row>
    <row r="93" spans="3:11" ht="12.75">
      <c r="C93" s="68" t="s">
        <v>404</v>
      </c>
      <c r="F93" s="74"/>
      <c r="G93" s="74"/>
      <c r="H93" s="187"/>
      <c r="I93" s="187"/>
      <c r="J93" s="187"/>
      <c r="K93" s="74"/>
    </row>
    <row r="94" spans="4:11" ht="12.75">
      <c r="D94" s="68" t="s">
        <v>405</v>
      </c>
      <c r="F94" s="74"/>
      <c r="G94" s="74"/>
      <c r="H94" s="187">
        <f>22431+60000</f>
        <v>82431</v>
      </c>
      <c r="I94" s="187"/>
      <c r="J94" s="187"/>
      <c r="K94" s="74"/>
    </row>
    <row r="95" spans="4:11" ht="12.75">
      <c r="D95" s="68" t="s">
        <v>406</v>
      </c>
      <c r="F95" s="74"/>
      <c r="G95" s="74"/>
      <c r="H95" s="187">
        <f>15550+59059</f>
        <v>74609</v>
      </c>
      <c r="I95" s="187"/>
      <c r="J95" s="187"/>
      <c r="K95" s="74"/>
    </row>
    <row r="96" spans="5:11" ht="12.75">
      <c r="E96" s="68" t="s">
        <v>20</v>
      </c>
      <c r="F96" s="73">
        <f>38500+119059</f>
        <v>157559</v>
      </c>
      <c r="G96" s="74"/>
      <c r="H96" s="183">
        <f>SUM(H94:H95)</f>
        <v>157040</v>
      </c>
      <c r="I96" s="187"/>
      <c r="J96" s="183">
        <v>519</v>
      </c>
      <c r="K96" s="74"/>
    </row>
    <row r="97" spans="6:11" ht="12.75">
      <c r="F97" s="188"/>
      <c r="G97" s="74"/>
      <c r="H97" s="188"/>
      <c r="I97" s="74"/>
      <c r="J97" s="188"/>
      <c r="K97" s="74"/>
    </row>
    <row r="98" spans="3:11" ht="12.75">
      <c r="C98" s="68" t="s">
        <v>407</v>
      </c>
      <c r="F98" s="74"/>
      <c r="G98" s="74"/>
      <c r="H98" s="74"/>
      <c r="I98" s="74"/>
      <c r="J98" s="74"/>
      <c r="K98" s="74"/>
    </row>
    <row r="99" spans="4:11" ht="12.75">
      <c r="D99" s="68" t="s">
        <v>408</v>
      </c>
      <c r="F99" s="74"/>
      <c r="G99" s="74"/>
      <c r="H99" s="74">
        <f>36850+1000000</f>
        <v>1036850</v>
      </c>
      <c r="I99" s="74"/>
      <c r="J99" s="74"/>
      <c r="K99" s="74"/>
    </row>
    <row r="100" spans="4:11" ht="12.75">
      <c r="D100" s="68" t="s">
        <v>409</v>
      </c>
      <c r="F100" s="74"/>
      <c r="G100" s="74"/>
      <c r="H100" s="74">
        <f>45894+1000000</f>
        <v>1045894</v>
      </c>
      <c r="I100" s="74"/>
      <c r="J100" s="74"/>
      <c r="K100" s="74"/>
    </row>
    <row r="101" spans="4:11" ht="12.75">
      <c r="D101" s="68" t="s">
        <v>410</v>
      </c>
      <c r="F101" s="74"/>
      <c r="G101" s="74"/>
      <c r="H101" s="74">
        <f>78452+1000000</f>
        <v>1078452</v>
      </c>
      <c r="I101" s="74"/>
      <c r="J101" s="74"/>
      <c r="K101" s="74"/>
    </row>
    <row r="102" spans="5:11" ht="12.75">
      <c r="E102" s="68" t="s">
        <v>20</v>
      </c>
      <c r="F102" s="73">
        <f>169962+3000000</f>
        <v>3169962</v>
      </c>
      <c r="H102" s="73">
        <f>SUM(H99:H101)</f>
        <v>3161196</v>
      </c>
      <c r="J102" s="183">
        <f>F102-H102</f>
        <v>8766</v>
      </c>
      <c r="K102" s="74"/>
    </row>
    <row r="103" spans="6:11" ht="12.75">
      <c r="F103" s="74"/>
      <c r="G103" s="74"/>
      <c r="H103" s="74"/>
      <c r="I103" s="74"/>
      <c r="J103" s="74"/>
      <c r="K103" s="74"/>
    </row>
    <row r="104" spans="3:11" ht="12.75">
      <c r="C104" s="68" t="s">
        <v>411</v>
      </c>
      <c r="K104" s="74"/>
    </row>
    <row r="105" spans="4:10" ht="12.75">
      <c r="D105" s="68" t="s">
        <v>412</v>
      </c>
      <c r="F105" s="74"/>
      <c r="G105" s="74"/>
      <c r="H105" s="74">
        <f>121026+35000+2000000</f>
        <v>2156026</v>
      </c>
      <c r="I105" s="74"/>
      <c r="J105" s="74"/>
    </row>
    <row r="106" spans="4:10" ht="12.75">
      <c r="D106" s="68" t="s">
        <v>413</v>
      </c>
      <c r="F106" s="74"/>
      <c r="G106" s="74"/>
      <c r="H106" s="74">
        <f>37799+500000</f>
        <v>537799</v>
      </c>
      <c r="I106" s="74"/>
      <c r="J106" s="74"/>
    </row>
    <row r="107" spans="4:10" ht="12.75">
      <c r="D107" s="68" t="s">
        <v>414</v>
      </c>
      <c r="F107" s="74"/>
      <c r="G107" s="74"/>
      <c r="H107" s="74">
        <f>48196+400000</f>
        <v>448196</v>
      </c>
      <c r="I107" s="74"/>
      <c r="J107" s="74"/>
    </row>
    <row r="108" spans="4:12" ht="12.75">
      <c r="D108" s="68" t="s">
        <v>415</v>
      </c>
      <c r="F108" s="70"/>
      <c r="H108" s="70">
        <f>12746+100000</f>
        <v>112746</v>
      </c>
      <c r="J108" s="70"/>
      <c r="K108" s="19"/>
      <c r="L108" s="19"/>
    </row>
    <row r="109" spans="5:10" ht="12.75">
      <c r="E109" s="68" t="s">
        <v>20</v>
      </c>
      <c r="F109" s="70">
        <f>220000+3000000+35000</f>
        <v>3255000</v>
      </c>
      <c r="H109" s="70">
        <f>SUM(H105:H108)</f>
        <v>3254767</v>
      </c>
      <c r="J109" s="184">
        <f>F109-H109</f>
        <v>233</v>
      </c>
    </row>
    <row r="111" spans="2:10" ht="12.75">
      <c r="B111" s="68" t="s">
        <v>416</v>
      </c>
      <c r="F111" s="74"/>
      <c r="G111" s="74"/>
      <c r="H111" s="74"/>
      <c r="I111" s="74"/>
      <c r="J111" s="74"/>
    </row>
    <row r="112" spans="4:10" ht="12.75">
      <c r="D112" s="68" t="s">
        <v>417</v>
      </c>
      <c r="F112" s="74"/>
      <c r="H112" s="74">
        <f>16000+30000+900000</f>
        <v>946000</v>
      </c>
      <c r="J112" s="74"/>
    </row>
    <row r="113" spans="4:10" ht="12.75">
      <c r="D113" s="68" t="s">
        <v>418</v>
      </c>
      <c r="F113" s="74"/>
      <c r="H113" s="74">
        <f>2990+100000</f>
        <v>102990</v>
      </c>
      <c r="J113" s="74"/>
    </row>
    <row r="114" spans="5:10" ht="12.75">
      <c r="E114" s="68" t="s">
        <v>20</v>
      </c>
      <c r="F114" s="73">
        <f>19000+1030000</f>
        <v>1049000</v>
      </c>
      <c r="H114" s="73">
        <f>SUM(H112:H113)</f>
        <v>1048990</v>
      </c>
      <c r="J114" s="73">
        <v>10</v>
      </c>
    </row>
    <row r="115" spans="6:10" ht="12.75">
      <c r="F115" s="74"/>
      <c r="H115" s="74"/>
      <c r="J115" s="74"/>
    </row>
    <row r="116" spans="2:12" ht="12.75">
      <c r="B116" s="68" t="s">
        <v>419</v>
      </c>
      <c r="L116" s="68" t="s">
        <v>177</v>
      </c>
    </row>
    <row r="117" spans="4:8" ht="12.75">
      <c r="D117" s="68" t="s">
        <v>420</v>
      </c>
      <c r="H117" s="68">
        <f>75000-65000</f>
        <v>10000</v>
      </c>
    </row>
    <row r="118" spans="4:10" ht="12.75">
      <c r="D118" s="68" t="s">
        <v>421</v>
      </c>
      <c r="H118" s="70">
        <v>363</v>
      </c>
      <c r="J118" s="70"/>
    </row>
    <row r="119" spans="5:10" ht="12.75">
      <c r="E119" s="68" t="s">
        <v>20</v>
      </c>
      <c r="F119" s="73">
        <v>10500</v>
      </c>
      <c r="H119" s="70">
        <f>SUM(H117:H118)</f>
        <v>10363</v>
      </c>
      <c r="J119" s="183">
        <f>F119-H119</f>
        <v>137</v>
      </c>
    </row>
    <row r="121" spans="3:10" ht="12.75">
      <c r="C121" s="168" t="s">
        <v>220</v>
      </c>
      <c r="F121" s="70">
        <f>F119+F114+F109+F102+F96+F89+F84+F76+F74+F72+F70+F64+F51+F49+F47+F42+F36</f>
        <v>33179741.2</v>
      </c>
      <c r="H121" s="70">
        <f>H119+H114+H109+H102+H96+H89+H84+H76+H74+H72+H70+H64+H51+H49+H47+H42+H36</f>
        <v>32893041.2</v>
      </c>
      <c r="J121" s="70">
        <f>J119+J114+J109+J102+J96+J89+J84+J76+J74+J72+J70+J64+J51+J49+J47+J42+J36</f>
        <v>286700</v>
      </c>
    </row>
    <row r="122" ht="12.75">
      <c r="J122" s="189"/>
    </row>
    <row r="123" spans="3:10" ht="13.5" thickBot="1">
      <c r="C123" s="168" t="s">
        <v>422</v>
      </c>
      <c r="D123" s="168"/>
      <c r="F123" s="130">
        <f>F29-F121</f>
        <v>0</v>
      </c>
      <c r="H123" s="68">
        <f>H29-H121</f>
        <v>211495.80000000075</v>
      </c>
      <c r="J123" s="130">
        <f>J29+J121</f>
        <v>211495.80000000005</v>
      </c>
    </row>
    <row r="124" ht="13.5" thickTop="1"/>
    <row r="125" spans="1:8" ht="12.75">
      <c r="A125" s="168" t="s">
        <v>423</v>
      </c>
      <c r="H125" s="68">
        <v>26055</v>
      </c>
    </row>
    <row r="126" spans="2:10" ht="12.75">
      <c r="B126" s="68" t="s">
        <v>424</v>
      </c>
      <c r="H126" s="70">
        <v>1200</v>
      </c>
      <c r="J126" s="190"/>
    </row>
    <row r="127" spans="1:8" ht="13.5" thickBot="1">
      <c r="A127" s="168" t="s">
        <v>425</v>
      </c>
      <c r="H127" s="130">
        <f>H123+H125+H126</f>
        <v>238750.80000000075</v>
      </c>
    </row>
    <row r="128" ht="14.25" thickBot="1" thickTop="1">
      <c r="H128" s="74"/>
    </row>
    <row r="129" spans="1:10" ht="13.5" thickTop="1">
      <c r="A129" s="19"/>
      <c r="B129" s="365" t="s">
        <v>426</v>
      </c>
      <c r="C129" s="366"/>
      <c r="D129" s="366"/>
      <c r="E129" s="366"/>
      <c r="F129" s="366"/>
      <c r="G129" s="366"/>
      <c r="H129" s="366"/>
      <c r="I129" s="366"/>
      <c r="J129" s="367"/>
    </row>
    <row r="130" spans="2:10" ht="12.75">
      <c r="B130" s="368"/>
      <c r="C130" s="369"/>
      <c r="D130" s="369"/>
      <c r="E130" s="369"/>
      <c r="F130" s="369"/>
      <c r="G130" s="369"/>
      <c r="H130" s="369"/>
      <c r="I130" s="369"/>
      <c r="J130" s="370"/>
    </row>
    <row r="131" spans="2:10" ht="12.75">
      <c r="B131" s="368"/>
      <c r="C131" s="369"/>
      <c r="D131" s="369"/>
      <c r="E131" s="369"/>
      <c r="F131" s="369"/>
      <c r="G131" s="369"/>
      <c r="H131" s="369"/>
      <c r="I131" s="369"/>
      <c r="J131" s="370"/>
    </row>
    <row r="132" spans="2:10" ht="13.5" thickBot="1">
      <c r="B132" s="371"/>
      <c r="C132" s="372"/>
      <c r="D132" s="372"/>
      <c r="E132" s="372"/>
      <c r="F132" s="372"/>
      <c r="G132" s="372"/>
      <c r="H132" s="372"/>
      <c r="I132" s="372"/>
      <c r="J132" s="373"/>
    </row>
    <row r="133" ht="13.5" thickTop="1"/>
    <row r="135" ht="12.75">
      <c r="M135" s="191"/>
    </row>
  </sheetData>
  <sheetProtection/>
  <mergeCells count="3">
    <mergeCell ref="A3:K3"/>
    <mergeCell ref="C74:E74"/>
    <mergeCell ref="B129:J132"/>
  </mergeCells>
  <printOptions horizontalCentered="1"/>
  <pageMargins left="0.75" right="0.75" top="1" bottom="1" header="0.5" footer="0.5"/>
  <pageSetup firstPageNumber="19" useFirstPageNumber="1" fitToWidth="0" horizontalDpi="600" verticalDpi="600" orientation="portrait" scale="85" r:id="rId2"/>
  <rowBreaks count="2" manualBreakCount="2">
    <brk id="52" max="9" man="1"/>
    <brk id="91" max="9" man="1"/>
  </rowBreaks>
  <drawing r:id="rId1"/>
</worksheet>
</file>

<file path=xl/worksheets/sheet19.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B28" sqref="B28"/>
    </sheetView>
  </sheetViews>
  <sheetFormatPr defaultColWidth="9.140625" defaultRowHeight="12.75"/>
  <cols>
    <col min="1" max="1" width="44.140625" style="19" customWidth="1"/>
    <col min="2" max="2" width="23.57421875" style="19" customWidth="1"/>
    <col min="3" max="3" width="1.8515625" style="19" customWidth="1"/>
    <col min="4" max="4" width="9.8515625" style="19" customWidth="1"/>
    <col min="5" max="5" width="0.2890625" style="19" customWidth="1"/>
    <col min="6" max="16384" width="9.140625" style="19" customWidth="1"/>
  </cols>
  <sheetData>
    <row r="1" spans="1:4" ht="15.75">
      <c r="A1" s="192"/>
      <c r="B1" s="193"/>
      <c r="C1" s="193"/>
      <c r="D1" s="193"/>
    </row>
    <row r="2" spans="1:4" ht="15.75">
      <c r="A2" s="194"/>
      <c r="B2" s="193"/>
      <c r="C2" s="193"/>
      <c r="D2" s="193"/>
    </row>
    <row r="3" spans="1:4" ht="15.75">
      <c r="A3" s="194"/>
      <c r="B3" s="193"/>
      <c r="C3" s="193"/>
      <c r="D3" s="193"/>
    </row>
    <row r="4" spans="1:4" ht="15.75">
      <c r="A4" s="195"/>
      <c r="B4" s="196"/>
      <c r="C4" s="193"/>
      <c r="D4" s="193"/>
    </row>
    <row r="5" spans="1:6" ht="15.75">
      <c r="A5" s="197"/>
      <c r="B5" s="197"/>
      <c r="C5" s="198"/>
      <c r="D5" s="198"/>
      <c r="E5" s="30"/>
      <c r="F5" s="30"/>
    </row>
    <row r="6" spans="1:6" ht="16.5" thickBot="1">
      <c r="A6" s="197"/>
      <c r="B6" s="197"/>
      <c r="C6" s="198"/>
      <c r="D6" s="198"/>
      <c r="E6" s="30"/>
      <c r="F6" s="30"/>
    </row>
    <row r="7" spans="1:6" ht="12.75" customHeight="1">
      <c r="A7" s="374" t="s">
        <v>427</v>
      </c>
      <c r="B7" s="375"/>
      <c r="C7" s="375"/>
      <c r="D7" s="376"/>
      <c r="E7" s="30"/>
      <c r="F7" s="30"/>
    </row>
    <row r="8" spans="1:6" ht="12.75">
      <c r="A8" s="377"/>
      <c r="B8" s="378"/>
      <c r="C8" s="378"/>
      <c r="D8" s="379"/>
      <c r="E8" s="30"/>
      <c r="F8" s="30"/>
    </row>
    <row r="9" spans="1:6" ht="12.75">
      <c r="A9" s="377"/>
      <c r="B9" s="378"/>
      <c r="C9" s="378"/>
      <c r="D9" s="379"/>
      <c r="E9" s="30"/>
      <c r="F9" s="30"/>
    </row>
    <row r="10" spans="1:6" ht="12.75">
      <c r="A10" s="377"/>
      <c r="B10" s="378"/>
      <c r="C10" s="378"/>
      <c r="D10" s="379"/>
      <c r="E10" s="30"/>
      <c r="F10" s="30"/>
    </row>
    <row r="11" spans="1:6" ht="12.75">
      <c r="A11" s="377"/>
      <c r="B11" s="378"/>
      <c r="C11" s="378"/>
      <c r="D11" s="379"/>
      <c r="E11" s="30"/>
      <c r="F11" s="30"/>
    </row>
    <row r="12" spans="1:6" ht="12.75">
      <c r="A12" s="377"/>
      <c r="B12" s="378"/>
      <c r="C12" s="378"/>
      <c r="D12" s="379"/>
      <c r="E12" s="30"/>
      <c r="F12" s="30"/>
    </row>
    <row r="13" spans="1:6" ht="13.5" thickBot="1">
      <c r="A13" s="380"/>
      <c r="B13" s="381"/>
      <c r="C13" s="381"/>
      <c r="D13" s="382"/>
      <c r="E13" s="30"/>
      <c r="F13" s="30"/>
    </row>
    <row r="14" spans="1:6" ht="12.75">
      <c r="A14" s="199"/>
      <c r="B14" s="199"/>
      <c r="C14" s="199"/>
      <c r="D14" s="199"/>
      <c r="E14" s="30"/>
      <c r="F14" s="30"/>
    </row>
    <row r="15" spans="1:6" ht="12.75">
      <c r="A15" s="199"/>
      <c r="B15" s="199"/>
      <c r="C15" s="199"/>
      <c r="D15" s="199"/>
      <c r="E15" s="30"/>
      <c r="F15" s="30"/>
    </row>
    <row r="16" spans="1:6" ht="12.75">
      <c r="A16" s="199"/>
      <c r="B16" s="199"/>
      <c r="C16" s="199"/>
      <c r="D16" s="199"/>
      <c r="E16" s="30"/>
      <c r="F16" s="30"/>
    </row>
    <row r="17" spans="1:6" ht="12.75">
      <c r="A17" s="200"/>
      <c r="B17" s="200"/>
      <c r="C17" s="201"/>
      <c r="D17" s="202"/>
      <c r="E17" s="30"/>
      <c r="F17" s="30"/>
    </row>
    <row r="18" spans="1:6" ht="12.75">
      <c r="A18" s="203"/>
      <c r="B18" s="203"/>
      <c r="C18" s="201"/>
      <c r="D18" s="202"/>
      <c r="E18" s="30"/>
      <c r="F18" s="30"/>
    </row>
    <row r="19" spans="1:6" ht="12.75">
      <c r="A19" s="200"/>
      <c r="B19" s="200"/>
      <c r="C19" s="204"/>
      <c r="D19" s="205"/>
      <c r="E19" s="30"/>
      <c r="F19" s="30"/>
    </row>
    <row r="20" spans="1:6" ht="12.75">
      <c r="A20" s="200"/>
      <c r="B20" s="200"/>
      <c r="C20" s="201"/>
      <c r="D20" s="202"/>
      <c r="E20" s="30"/>
      <c r="F20" s="30"/>
    </row>
    <row r="21" spans="1:6" ht="12.75">
      <c r="A21" s="206"/>
      <c r="B21" s="206"/>
      <c r="C21" s="30"/>
      <c r="D21" s="207"/>
      <c r="E21" s="30"/>
      <c r="F21" s="30"/>
    </row>
    <row r="22" spans="1:6" ht="12.75">
      <c r="A22" s="206"/>
      <c r="B22" s="206"/>
      <c r="C22" s="30"/>
      <c r="D22" s="207"/>
      <c r="E22" s="30"/>
      <c r="F22" s="30"/>
    </row>
    <row r="23" spans="1:6" ht="12.75">
      <c r="A23" s="208"/>
      <c r="B23" s="208"/>
      <c r="C23" s="30"/>
      <c r="D23" s="207"/>
      <c r="E23" s="30"/>
      <c r="F23" s="30"/>
    </row>
    <row r="24" spans="1:6" ht="12.75">
      <c r="A24" s="209"/>
      <c r="B24" s="209"/>
      <c r="C24" s="30"/>
      <c r="D24" s="207"/>
      <c r="E24" s="30"/>
      <c r="F24" s="30"/>
    </row>
    <row r="25" spans="1:6" ht="12.75">
      <c r="A25" s="30"/>
      <c r="B25" s="30"/>
      <c r="C25" s="204"/>
      <c r="D25" s="207"/>
      <c r="E25" s="30"/>
      <c r="F25" s="30"/>
    </row>
    <row r="26" spans="1:6" ht="12.75">
      <c r="A26" s="30"/>
      <c r="B26" s="30"/>
      <c r="C26" s="30"/>
      <c r="D26" s="30"/>
      <c r="E26" s="30"/>
      <c r="F26" s="30"/>
    </row>
    <row r="87" ht="15.75" customHeight="1"/>
  </sheetData>
  <sheetProtection/>
  <mergeCells count="1">
    <mergeCell ref="A7:D13"/>
  </mergeCells>
  <printOptions horizontalCentered="1"/>
  <pageMargins left="0.75" right="0.75" top="1" bottom="1" header="0.5" footer="0.5"/>
  <pageSetup firstPageNumber="19" useFirstPageNumber="1" fitToHeight="0"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showGridLines="0" zoomScale="120" zoomScaleNormal="120" zoomScalePageLayoutView="0" workbookViewId="0" topLeftCell="A16">
      <selection activeCell="G54" sqref="G54"/>
    </sheetView>
  </sheetViews>
  <sheetFormatPr defaultColWidth="9.140625" defaultRowHeight="12.75"/>
  <cols>
    <col min="1" max="1" width="39.421875" style="19" customWidth="1"/>
    <col min="2" max="5" width="15.7109375" style="19" customWidth="1"/>
    <col min="6" max="6" width="2.28125" style="19" customWidth="1"/>
    <col min="7" max="9" width="19.57421875" style="19" customWidth="1"/>
    <col min="10" max="10" width="9.140625" style="19" customWidth="1"/>
    <col min="11" max="11" width="10.57421875" style="19" customWidth="1"/>
    <col min="12" max="16384" width="9.140625" style="19" customWidth="1"/>
  </cols>
  <sheetData>
    <row r="1" spans="1:9" ht="12.75">
      <c r="A1" s="23"/>
      <c r="B1" s="23"/>
      <c r="C1" s="23"/>
      <c r="D1" s="65"/>
      <c r="E1" s="65"/>
      <c r="F1" s="23"/>
      <c r="G1" s="23"/>
      <c r="H1" s="23"/>
      <c r="I1" s="65" t="s">
        <v>106</v>
      </c>
    </row>
    <row r="2" spans="1:9" ht="12.75">
      <c r="A2" s="311" t="s">
        <v>0</v>
      </c>
      <c r="B2" s="311"/>
      <c r="C2" s="311"/>
      <c r="D2" s="311"/>
      <c r="E2" s="311"/>
      <c r="F2" s="311"/>
      <c r="G2" s="311"/>
      <c r="H2" s="311"/>
      <c r="I2" s="311"/>
    </row>
    <row r="3" spans="1:9" ht="12.75">
      <c r="A3" s="311" t="s">
        <v>107</v>
      </c>
      <c r="B3" s="311"/>
      <c r="C3" s="311"/>
      <c r="D3" s="311"/>
      <c r="E3" s="311"/>
      <c r="F3" s="311"/>
      <c r="G3" s="311"/>
      <c r="H3" s="311"/>
      <c r="I3" s="311"/>
    </row>
    <row r="4" spans="1:9" ht="12.75">
      <c r="A4" s="311" t="s">
        <v>556</v>
      </c>
      <c r="B4" s="311"/>
      <c r="C4" s="311"/>
      <c r="D4" s="311"/>
      <c r="E4" s="311"/>
      <c r="F4" s="311"/>
      <c r="G4" s="311"/>
      <c r="H4" s="311"/>
      <c r="I4" s="311"/>
    </row>
    <row r="5" spans="1:9" ht="12.75">
      <c r="A5" s="23"/>
      <c r="B5" s="23"/>
      <c r="C5" s="23"/>
      <c r="D5" s="23"/>
      <c r="E5" s="23"/>
      <c r="F5" s="23"/>
      <c r="G5" s="23"/>
      <c r="H5" s="23"/>
      <c r="I5" s="23"/>
    </row>
    <row r="6" spans="1:9" ht="12.75">
      <c r="A6" s="23"/>
      <c r="B6" s="23"/>
      <c r="C6" s="313" t="s">
        <v>108</v>
      </c>
      <c r="D6" s="313"/>
      <c r="E6" s="313"/>
      <c r="F6" s="80"/>
      <c r="G6" s="313" t="s">
        <v>109</v>
      </c>
      <c r="H6" s="313"/>
      <c r="I6" s="313"/>
    </row>
    <row r="7" spans="1:9" ht="12.75">
      <c r="A7" s="23"/>
      <c r="B7" s="23"/>
      <c r="C7" s="23"/>
      <c r="D7" s="23"/>
      <c r="E7" s="23"/>
      <c r="F7" s="23"/>
      <c r="G7" s="321" t="s">
        <v>66</v>
      </c>
      <c r="H7" s="321"/>
      <c r="I7" s="321"/>
    </row>
    <row r="8" spans="1:9" ht="25.5">
      <c r="A8" s="81" t="s">
        <v>110</v>
      </c>
      <c r="B8" s="80" t="s">
        <v>111</v>
      </c>
      <c r="C8" s="66" t="s">
        <v>112</v>
      </c>
      <c r="D8" s="66" t="s">
        <v>113</v>
      </c>
      <c r="E8" s="66" t="s">
        <v>114</v>
      </c>
      <c r="F8" s="66"/>
      <c r="G8" s="66" t="s">
        <v>67</v>
      </c>
      <c r="H8" s="66" t="s">
        <v>68</v>
      </c>
      <c r="I8" s="80" t="s">
        <v>20</v>
      </c>
    </row>
    <row r="9" spans="1:9" ht="12.75">
      <c r="A9" s="23" t="s">
        <v>115</v>
      </c>
      <c r="B9" s="23"/>
      <c r="C9" s="23"/>
      <c r="D9" s="23"/>
      <c r="E9" s="23"/>
      <c r="F9" s="23"/>
      <c r="G9" s="23"/>
      <c r="H9" s="23"/>
      <c r="I9" s="23"/>
    </row>
    <row r="10" ht="12.75">
      <c r="A10" s="58" t="s">
        <v>116</v>
      </c>
    </row>
    <row r="11" spans="1:9" ht="12.75">
      <c r="A11" s="38" t="s">
        <v>117</v>
      </c>
      <c r="B11" s="67"/>
      <c r="C11" s="67"/>
      <c r="D11" s="67"/>
      <c r="E11" s="67"/>
      <c r="F11" s="67"/>
      <c r="G11" s="67"/>
      <c r="H11" s="67"/>
      <c r="I11" s="67"/>
    </row>
    <row r="12" spans="1:11" ht="12.75">
      <c r="A12" s="40" t="s">
        <v>118</v>
      </c>
      <c r="B12" s="82">
        <f>3724876+5000000+75000000+0.8*((-37820+5551+23536+33892)+(-523-9165-660+48670+43872))-0.8*(25159+82193)+(0.8*75513)+(0.8*58537)+(0.8*0.5*1043)+(0.8*50000)-(0.8*50000)+(0.8*94314)-(0.8*16101)-3222+3+(0.8*30000)-(0.8*30000)-(0.8*12699)-2+(560)-(560)+(219)+(77)</f>
        <v>83882020.20000002</v>
      </c>
      <c r="C12" s="82">
        <v>5000</v>
      </c>
      <c r="D12" s="82">
        <f>3111034+75000000</f>
        <v>78111034</v>
      </c>
      <c r="E12" s="83">
        <v>0</v>
      </c>
      <c r="F12" s="68"/>
      <c r="G12" s="82">
        <f>SUM(C12:E12)-B12</f>
        <v>-5765986.200000018</v>
      </c>
      <c r="H12" s="83">
        <v>0</v>
      </c>
      <c r="I12" s="82">
        <f>SUM(G12:H12)</f>
        <v>-5765986.200000018</v>
      </c>
      <c r="K12" s="33"/>
    </row>
    <row r="13" spans="1:11" ht="12.75">
      <c r="A13" s="40" t="s">
        <v>119</v>
      </c>
      <c r="B13" s="68">
        <f>679835+2000000+35000000</f>
        <v>37679835</v>
      </c>
      <c r="C13" s="68">
        <v>0</v>
      </c>
      <c r="D13" s="68">
        <f>664356+35000000</f>
        <v>35664356</v>
      </c>
      <c r="E13" s="68">
        <v>0</v>
      </c>
      <c r="F13" s="68"/>
      <c r="G13" s="68">
        <f>SUM(C13:E13)-B13</f>
        <v>-2015479</v>
      </c>
      <c r="H13" s="68">
        <v>0</v>
      </c>
      <c r="I13" s="68">
        <f>SUM(G13:H13)</f>
        <v>-2015479</v>
      </c>
      <c r="K13" s="33"/>
    </row>
    <row r="14" spans="1:11" ht="12.75">
      <c r="A14" s="40" t="s">
        <v>120</v>
      </c>
      <c r="B14" s="68">
        <f>120903+2000000</f>
        <v>2120903</v>
      </c>
      <c r="C14" s="68">
        <v>0</v>
      </c>
      <c r="D14" s="68">
        <v>108621</v>
      </c>
      <c r="E14" s="68">
        <v>0</v>
      </c>
      <c r="F14" s="68"/>
      <c r="G14" s="68">
        <f aca="true" t="shared" si="0" ref="G14:G31">SUM(C14:E14)-B14</f>
        <v>-2012282</v>
      </c>
      <c r="H14" s="68">
        <v>0</v>
      </c>
      <c r="I14" s="68">
        <f aca="true" t="shared" si="1" ref="I14:I31">SUM(G14:H14)</f>
        <v>-2012282</v>
      </c>
      <c r="K14" s="75"/>
    </row>
    <row r="15" spans="1:9" ht="12.75">
      <c r="A15" s="40" t="s">
        <v>121</v>
      </c>
      <c r="B15" s="68">
        <f>24316+1000000</f>
        <v>1024316</v>
      </c>
      <c r="C15" s="68">
        <v>0</v>
      </c>
      <c r="D15" s="68">
        <v>0</v>
      </c>
      <c r="E15" s="68">
        <v>0</v>
      </c>
      <c r="F15" s="68"/>
      <c r="G15" s="68">
        <f t="shared" si="0"/>
        <v>-1024316</v>
      </c>
      <c r="H15" s="68">
        <v>0</v>
      </c>
      <c r="I15" s="68">
        <f t="shared" si="1"/>
        <v>-1024316</v>
      </c>
    </row>
    <row r="16" spans="1:11" ht="12.75">
      <c r="A16" s="40" t="s">
        <v>122</v>
      </c>
      <c r="B16" s="68">
        <f>682009+1000000</f>
        <v>1682009</v>
      </c>
      <c r="C16" s="68">
        <v>274000</v>
      </c>
      <c r="D16" s="68">
        <v>452000</v>
      </c>
      <c r="E16" s="68">
        <v>0</v>
      </c>
      <c r="F16" s="68"/>
      <c r="G16" s="68">
        <f t="shared" si="0"/>
        <v>-956009</v>
      </c>
      <c r="H16" s="68">
        <v>0</v>
      </c>
      <c r="I16" s="68">
        <f t="shared" si="1"/>
        <v>-956009</v>
      </c>
      <c r="K16" s="84"/>
    </row>
    <row r="17" spans="1:11" ht="12.75">
      <c r="A17" s="40" t="s">
        <v>123</v>
      </c>
      <c r="B17" s="74">
        <f>94952+1000000</f>
        <v>1094952</v>
      </c>
      <c r="C17" s="74">
        <v>0</v>
      </c>
      <c r="D17" s="74">
        <v>0</v>
      </c>
      <c r="E17" s="74">
        <v>0</v>
      </c>
      <c r="F17" s="74"/>
      <c r="G17" s="68">
        <f t="shared" si="0"/>
        <v>-1094952</v>
      </c>
      <c r="H17" s="68">
        <v>0</v>
      </c>
      <c r="I17" s="68">
        <f t="shared" si="1"/>
        <v>-1094952</v>
      </c>
      <c r="K17" s="84"/>
    </row>
    <row r="18" spans="1:9" ht="12.75">
      <c r="A18" s="38" t="s">
        <v>124</v>
      </c>
      <c r="B18" s="74"/>
      <c r="C18" s="74"/>
      <c r="D18" s="74"/>
      <c r="E18" s="74"/>
      <c r="F18" s="74"/>
      <c r="G18" s="68"/>
      <c r="H18" s="68"/>
      <c r="I18" s="68"/>
    </row>
    <row r="19" spans="1:9" ht="12.75">
      <c r="A19" s="40" t="s">
        <v>125</v>
      </c>
      <c r="B19" s="74">
        <f>102441+1000000</f>
        <v>1102441</v>
      </c>
      <c r="C19" s="74">
        <v>0</v>
      </c>
      <c r="D19" s="74">
        <v>0</v>
      </c>
      <c r="E19" s="74">
        <v>0</v>
      </c>
      <c r="F19" s="74"/>
      <c r="G19" s="68">
        <f t="shared" si="0"/>
        <v>-1102441</v>
      </c>
      <c r="H19" s="68">
        <v>0</v>
      </c>
      <c r="I19" s="68">
        <f t="shared" si="1"/>
        <v>-1102441</v>
      </c>
    </row>
    <row r="20" spans="1:9" ht="12.75">
      <c r="A20" s="40" t="s">
        <v>126</v>
      </c>
      <c r="B20" s="74">
        <f>110388+1000000</f>
        <v>1110388</v>
      </c>
      <c r="C20" s="74">
        <v>0</v>
      </c>
      <c r="D20" s="74">
        <v>108951</v>
      </c>
      <c r="E20" s="74">
        <v>0</v>
      </c>
      <c r="F20" s="74"/>
      <c r="G20" s="68">
        <f t="shared" si="0"/>
        <v>-1001437</v>
      </c>
      <c r="H20" s="68">
        <v>0</v>
      </c>
      <c r="I20" s="68">
        <f t="shared" si="1"/>
        <v>-1001437</v>
      </c>
    </row>
    <row r="21" spans="1:9" ht="25.5">
      <c r="A21" s="40" t="s">
        <v>127</v>
      </c>
      <c r="B21" s="74">
        <f>56604+1000000</f>
        <v>1056604</v>
      </c>
      <c r="C21" s="74">
        <v>0</v>
      </c>
      <c r="D21" s="74">
        <v>23704</v>
      </c>
      <c r="E21" s="74">
        <v>0</v>
      </c>
      <c r="F21" s="74"/>
      <c r="G21" s="68">
        <f t="shared" si="0"/>
        <v>-1032900</v>
      </c>
      <c r="H21" s="68">
        <v>0</v>
      </c>
      <c r="I21" s="68">
        <f t="shared" si="1"/>
        <v>-1032900</v>
      </c>
    </row>
    <row r="22" spans="1:9" ht="12.75">
      <c r="A22" s="40" t="s">
        <v>128</v>
      </c>
      <c r="B22" s="74">
        <v>414382</v>
      </c>
      <c r="C22" s="74">
        <v>0</v>
      </c>
      <c r="D22" s="74">
        <v>30999</v>
      </c>
      <c r="E22" s="74">
        <v>0</v>
      </c>
      <c r="F22" s="74"/>
      <c r="G22" s="68">
        <f t="shared" si="0"/>
        <v>-383383</v>
      </c>
      <c r="H22" s="68">
        <v>0</v>
      </c>
      <c r="I22" s="68">
        <f t="shared" si="1"/>
        <v>-383383</v>
      </c>
    </row>
    <row r="23" spans="1:9" ht="12.75">
      <c r="A23" s="40" t="s">
        <v>129</v>
      </c>
      <c r="B23" s="74">
        <f>997860+4000000+5000000</f>
        <v>9997860</v>
      </c>
      <c r="C23" s="74">
        <v>4000</v>
      </c>
      <c r="D23" s="74">
        <f>286351+60400+5000000</f>
        <v>5346751</v>
      </c>
      <c r="E23" s="74">
        <f>36000</f>
        <v>36000</v>
      </c>
      <c r="F23" s="74"/>
      <c r="G23" s="68">
        <f t="shared" si="0"/>
        <v>-4611109</v>
      </c>
      <c r="H23" s="68">
        <v>0</v>
      </c>
      <c r="I23" s="68">
        <f t="shared" si="1"/>
        <v>-4611109</v>
      </c>
    </row>
    <row r="24" spans="1:9" ht="12.75">
      <c r="A24" s="40" t="s">
        <v>130</v>
      </c>
      <c r="B24" s="74">
        <f>292449+4000000</f>
        <v>4292449</v>
      </c>
      <c r="C24" s="74">
        <v>0</v>
      </c>
      <c r="D24" s="74">
        <v>280501</v>
      </c>
      <c r="E24" s="74">
        <v>0</v>
      </c>
      <c r="F24" s="74"/>
      <c r="G24" s="68">
        <f t="shared" si="0"/>
        <v>-4011948</v>
      </c>
      <c r="H24" s="68">
        <v>0</v>
      </c>
      <c r="I24" s="68">
        <f t="shared" si="1"/>
        <v>-4011948</v>
      </c>
    </row>
    <row r="25" spans="1:9" ht="12.75">
      <c r="A25" s="40" t="s">
        <v>131</v>
      </c>
      <c r="B25" s="74">
        <f>171891+119059</f>
        <v>290950</v>
      </c>
      <c r="C25" s="74">
        <v>0</v>
      </c>
      <c r="D25" s="74">
        <v>7901</v>
      </c>
      <c r="E25" s="74">
        <v>0</v>
      </c>
      <c r="F25" s="74"/>
      <c r="G25" s="68">
        <f t="shared" si="0"/>
        <v>-283049</v>
      </c>
      <c r="H25" s="68">
        <v>0</v>
      </c>
      <c r="I25" s="68">
        <f t="shared" si="1"/>
        <v>-283049</v>
      </c>
    </row>
    <row r="26" spans="1:9" ht="12.75">
      <c r="A26" s="40" t="s">
        <v>132</v>
      </c>
      <c r="B26" s="74">
        <f>163096+3000000</f>
        <v>3163096</v>
      </c>
      <c r="C26" s="74">
        <v>0</v>
      </c>
      <c r="D26" s="74">
        <v>127910</v>
      </c>
      <c r="E26" s="74">
        <v>0</v>
      </c>
      <c r="F26" s="74"/>
      <c r="G26" s="68">
        <f t="shared" si="0"/>
        <v>-3035186</v>
      </c>
      <c r="H26" s="68">
        <v>0</v>
      </c>
      <c r="I26" s="68">
        <f t="shared" si="1"/>
        <v>-3035186</v>
      </c>
    </row>
    <row r="27" spans="1:9" ht="12.75">
      <c r="A27" s="40" t="s">
        <v>133</v>
      </c>
      <c r="B27" s="74">
        <f>254767+3000000</f>
        <v>3254767</v>
      </c>
      <c r="C27" s="74">
        <v>0</v>
      </c>
      <c r="D27" s="74">
        <v>0</v>
      </c>
      <c r="E27" s="74">
        <v>0</v>
      </c>
      <c r="F27" s="74"/>
      <c r="G27" s="68">
        <f t="shared" si="0"/>
        <v>-3254767</v>
      </c>
      <c r="H27" s="68">
        <v>0</v>
      </c>
      <c r="I27" s="68">
        <f t="shared" si="1"/>
        <v>-3254767</v>
      </c>
    </row>
    <row r="28" spans="1:9" ht="12.75">
      <c r="A28" s="38" t="s">
        <v>134</v>
      </c>
      <c r="B28" s="74">
        <f>48990+1000000</f>
        <v>1048990</v>
      </c>
      <c r="C28" s="74">
        <v>0</v>
      </c>
      <c r="D28" s="74">
        <v>14000</v>
      </c>
      <c r="E28" s="74">
        <v>0</v>
      </c>
      <c r="F28" s="74"/>
      <c r="G28" s="68">
        <f t="shared" si="0"/>
        <v>-1034990</v>
      </c>
      <c r="H28" s="68">
        <v>0</v>
      </c>
      <c r="I28" s="68">
        <f t="shared" si="1"/>
        <v>-1034990</v>
      </c>
    </row>
    <row r="29" spans="1:9" ht="12.75">
      <c r="A29" s="38" t="s">
        <v>135</v>
      </c>
      <c r="B29" s="74">
        <v>10363</v>
      </c>
      <c r="C29" s="74">
        <v>0</v>
      </c>
      <c r="D29" s="74">
        <v>23400</v>
      </c>
      <c r="E29" s="74">
        <v>0</v>
      </c>
      <c r="F29" s="74"/>
      <c r="G29" s="68">
        <f t="shared" si="0"/>
        <v>13037</v>
      </c>
      <c r="H29" s="74">
        <v>0</v>
      </c>
      <c r="I29" s="68">
        <f t="shared" si="1"/>
        <v>13037</v>
      </c>
    </row>
    <row r="30" spans="1:9" ht="12.75">
      <c r="A30" s="38" t="s">
        <v>136</v>
      </c>
      <c r="B30" s="74">
        <v>1873</v>
      </c>
      <c r="C30" s="74">
        <v>0</v>
      </c>
      <c r="D30" s="74">
        <v>0</v>
      </c>
      <c r="E30" s="74">
        <v>0</v>
      </c>
      <c r="F30" s="74"/>
      <c r="G30" s="68">
        <f t="shared" si="0"/>
        <v>-1873</v>
      </c>
      <c r="H30" s="74">
        <v>0</v>
      </c>
      <c r="I30" s="68">
        <f t="shared" si="1"/>
        <v>-1873</v>
      </c>
    </row>
    <row r="31" spans="1:13" ht="12.75">
      <c r="A31" s="38" t="s">
        <v>137</v>
      </c>
      <c r="B31" s="74">
        <v>163568</v>
      </c>
      <c r="C31" s="74">
        <v>0</v>
      </c>
      <c r="D31" s="74">
        <v>0</v>
      </c>
      <c r="E31" s="74">
        <v>0</v>
      </c>
      <c r="F31" s="74"/>
      <c r="G31" s="68">
        <f t="shared" si="0"/>
        <v>-163568</v>
      </c>
      <c r="H31" s="74">
        <v>0</v>
      </c>
      <c r="I31" s="68">
        <f t="shared" si="1"/>
        <v>-163568</v>
      </c>
      <c r="M31" s="75"/>
    </row>
    <row r="32" spans="1:9" ht="12.75">
      <c r="A32" s="71" t="s">
        <v>138</v>
      </c>
      <c r="B32" s="73">
        <f>SUM(B12:B31)</f>
        <v>153391766.20000002</v>
      </c>
      <c r="C32" s="73">
        <f>SUM(C12:C31)</f>
        <v>283000</v>
      </c>
      <c r="D32" s="73">
        <f>SUM(D12:D31)</f>
        <v>120300128</v>
      </c>
      <c r="E32" s="73">
        <f>SUM(E12:E31)</f>
        <v>36000</v>
      </c>
      <c r="F32" s="70"/>
      <c r="G32" s="73">
        <f>SUM(G12:G31)</f>
        <v>-32772638.200000018</v>
      </c>
      <c r="H32" s="73">
        <f>SUM(H12:H31)</f>
        <v>0</v>
      </c>
      <c r="I32" s="73">
        <f>SUM(I12:I31)</f>
        <v>-32772638.200000018</v>
      </c>
    </row>
    <row r="33" ht="12.75">
      <c r="A33" s="58"/>
    </row>
    <row r="34" ht="12.75">
      <c r="A34" s="58" t="s">
        <v>139</v>
      </c>
    </row>
    <row r="35" spans="1:9" ht="12.75">
      <c r="A35" s="69" t="s">
        <v>140</v>
      </c>
      <c r="B35" s="68">
        <f>1026739+0.2*0.7*((-37820+5551+23536+33892)+82193)+(0.7*0.2*75513)+(0.2*0.7*58537)-0.2*0.7*(25159+82193)+(0.7*0.2*1043*0.5)+(0.7*0.2*(50000-50000+94314)+(0.7*0.2*16101))-2577+2+(0.7*0.2*(30000-30000-12699))-2+(98)-(98)+(38)+(14)</f>
        <v>1056734.25</v>
      </c>
      <c r="C35" s="68">
        <f>406290</f>
        <v>406290</v>
      </c>
      <c r="D35" s="68">
        <v>577008</v>
      </c>
      <c r="E35" s="68">
        <v>0</v>
      </c>
      <c r="F35" s="68"/>
      <c r="G35" s="68">
        <v>0</v>
      </c>
      <c r="H35" s="67">
        <f>SUM(C35:E35)-B35</f>
        <v>-73436.25</v>
      </c>
      <c r="I35" s="68">
        <f>SUM(G35:H35)</f>
        <v>-73436.25</v>
      </c>
    </row>
    <row r="36" spans="1:9" ht="12.75">
      <c r="A36" s="69" t="s">
        <v>141</v>
      </c>
      <c r="B36" s="70">
        <f>152038+(0.2*0.3*(50000-50000+94314)+(0.2*0.3*16101)-644)+3+(0.2*0.3*(30000-30000-12699))+1+(42)-(42)+(17)+(6)</f>
        <v>157283.96</v>
      </c>
      <c r="C36" s="70">
        <f>147002</f>
        <v>147002</v>
      </c>
      <c r="D36" s="70">
        <v>0</v>
      </c>
      <c r="E36" s="70">
        <v>0</v>
      </c>
      <c r="F36" s="70"/>
      <c r="G36" s="70">
        <v>0</v>
      </c>
      <c r="H36" s="70">
        <f>SUM(C36:E36)-B36</f>
        <v>-10281.959999999992</v>
      </c>
      <c r="I36" s="68">
        <f>SUM(G36:H36)</f>
        <v>-10281.959999999992</v>
      </c>
    </row>
    <row r="37" spans="1:9" ht="12.75">
      <c r="A37" s="71" t="s">
        <v>142</v>
      </c>
      <c r="B37" s="73">
        <f>SUM(B35:B36)</f>
        <v>1214018.21</v>
      </c>
      <c r="C37" s="73">
        <f>SUM(C35:C36)</f>
        <v>553292</v>
      </c>
      <c r="D37" s="73">
        <f>SUM(D35:D36)</f>
        <v>577008</v>
      </c>
      <c r="E37" s="73">
        <f>SUM(E35:E36)</f>
        <v>0</v>
      </c>
      <c r="F37" s="73"/>
      <c r="G37" s="73">
        <f>SUM(G35:G36)</f>
        <v>0</v>
      </c>
      <c r="H37" s="73">
        <f>SUM(H35:H36)</f>
        <v>-83718.20999999999</v>
      </c>
      <c r="I37" s="73">
        <f>SUM(I35:I36)</f>
        <v>-83718.20999999999</v>
      </c>
    </row>
    <row r="38" spans="1:9" ht="13.5" thickBot="1">
      <c r="A38" s="58" t="s">
        <v>143</v>
      </c>
      <c r="B38" s="78">
        <f>+B37+B32</f>
        <v>154605784.41000003</v>
      </c>
      <c r="C38" s="78">
        <f>+C37+C32</f>
        <v>836292</v>
      </c>
      <c r="D38" s="78">
        <f>+D37+D32</f>
        <v>120877136</v>
      </c>
      <c r="E38" s="78">
        <f>+E37+E32</f>
        <v>36000</v>
      </c>
      <c r="F38" s="85"/>
      <c r="G38" s="73">
        <f>G32+G37</f>
        <v>-32772638.200000018</v>
      </c>
      <c r="H38" s="73">
        <f>H32+H37</f>
        <v>-83718.20999999999</v>
      </c>
      <c r="I38" s="73">
        <f>SUM(G38:H38)</f>
        <v>-32856356.41000002</v>
      </c>
    </row>
    <row r="39" ht="13.5" thickTop="1">
      <c r="A39" s="58"/>
    </row>
    <row r="41" ht="12.75">
      <c r="B41" s="19" t="s">
        <v>144</v>
      </c>
    </row>
    <row r="42" spans="2:9" ht="12.75">
      <c r="B42" s="69" t="s">
        <v>145</v>
      </c>
      <c r="G42" s="68">
        <f>2000000+30119059+200000</f>
        <v>32319059</v>
      </c>
      <c r="H42" s="68">
        <v>0</v>
      </c>
      <c r="I42" s="68">
        <f>SUM(G42:H42)</f>
        <v>32319059</v>
      </c>
    </row>
    <row r="43" spans="2:9" ht="12.75">
      <c r="B43" s="69" t="s">
        <v>146</v>
      </c>
      <c r="G43" s="68">
        <f>1547675+950000+6001882</f>
        <v>8499557</v>
      </c>
      <c r="H43" s="68">
        <v>0</v>
      </c>
      <c r="I43" s="68">
        <f aca="true" t="shared" si="2" ref="I43:I51">SUM(G43:H43)</f>
        <v>8499557</v>
      </c>
    </row>
    <row r="44" spans="2:9" ht="12.75">
      <c r="B44" s="69" t="s">
        <v>147</v>
      </c>
      <c r="G44" s="68">
        <v>0</v>
      </c>
      <c r="H44" s="68">
        <v>0</v>
      </c>
      <c r="I44" s="68">
        <f t="shared" si="2"/>
        <v>0</v>
      </c>
    </row>
    <row r="45" spans="2:9" ht="12.75">
      <c r="B45" s="69" t="s">
        <v>148</v>
      </c>
      <c r="G45" s="68">
        <f>314600-16100</f>
        <v>298500</v>
      </c>
      <c r="H45" s="68">
        <v>0</v>
      </c>
      <c r="I45" s="68">
        <f t="shared" si="2"/>
        <v>298500</v>
      </c>
    </row>
    <row r="46" spans="2:9" ht="12.75">
      <c r="B46" s="69" t="s">
        <v>149</v>
      </c>
      <c r="G46" s="68">
        <v>0</v>
      </c>
      <c r="H46" s="68">
        <v>0</v>
      </c>
      <c r="I46" s="68">
        <f t="shared" si="2"/>
        <v>0</v>
      </c>
    </row>
    <row r="47" spans="2:9" ht="12.75">
      <c r="B47" s="69" t="s">
        <v>150</v>
      </c>
      <c r="G47" s="68">
        <v>0</v>
      </c>
      <c r="H47" s="68">
        <v>0</v>
      </c>
      <c r="I47" s="68">
        <f t="shared" si="2"/>
        <v>0</v>
      </c>
    </row>
    <row r="48" spans="2:9" ht="12.75">
      <c r="B48" s="69" t="s">
        <v>151</v>
      </c>
      <c r="G48" s="68">
        <f>1880</f>
        <v>1880</v>
      </c>
      <c r="H48" s="68">
        <v>122002</v>
      </c>
      <c r="I48" s="68">
        <f t="shared" si="2"/>
        <v>123882</v>
      </c>
    </row>
    <row r="49" spans="1:9" ht="12.75">
      <c r="A49" s="75"/>
      <c r="B49" s="69" t="s">
        <v>152</v>
      </c>
      <c r="G49" s="68">
        <f>31938+40000</f>
        <v>71938</v>
      </c>
      <c r="H49" s="68">
        <v>0</v>
      </c>
      <c r="I49" s="68">
        <f t="shared" si="2"/>
        <v>71938</v>
      </c>
    </row>
    <row r="50" spans="2:9" ht="12.75">
      <c r="B50" s="86" t="s">
        <v>153</v>
      </c>
      <c r="G50" s="68">
        <v>-369090</v>
      </c>
      <c r="H50" s="68"/>
      <c r="I50" s="68">
        <f t="shared" si="2"/>
        <v>-369090</v>
      </c>
    </row>
    <row r="51" spans="2:9" ht="12.75">
      <c r="B51" s="19" t="s">
        <v>154</v>
      </c>
      <c r="G51" s="70">
        <v>-14000</v>
      </c>
      <c r="H51" s="70">
        <v>14000</v>
      </c>
      <c r="I51" s="68">
        <f t="shared" si="2"/>
        <v>0</v>
      </c>
    </row>
    <row r="52" spans="2:12" ht="12.75">
      <c r="B52" s="72" t="s">
        <v>155</v>
      </c>
      <c r="G52" s="73">
        <f>SUM(G42:G51)</f>
        <v>40807844</v>
      </c>
      <c r="H52" s="73">
        <f>SUM(H42:H51)</f>
        <v>136002</v>
      </c>
      <c r="I52" s="73">
        <f>SUM(I42:I51)</f>
        <v>40943846</v>
      </c>
      <c r="L52" s="75"/>
    </row>
    <row r="53" spans="1:11" ht="12.75">
      <c r="A53" s="76"/>
      <c r="B53" s="72" t="s">
        <v>156</v>
      </c>
      <c r="G53" s="68">
        <f>G52+G38</f>
        <v>8035205.799999982</v>
      </c>
      <c r="H53" s="68">
        <f>H52+H38</f>
        <v>52283.79000000001</v>
      </c>
      <c r="I53" s="68">
        <f>I52+I38</f>
        <v>8087489.589999981</v>
      </c>
      <c r="K53" s="75"/>
    </row>
    <row r="54" spans="2:12" ht="12.75">
      <c r="B54" s="19" t="s">
        <v>329</v>
      </c>
      <c r="G54" s="74">
        <f>6006132</f>
        <v>6006132</v>
      </c>
      <c r="H54" s="74">
        <f>125567</f>
        <v>125567</v>
      </c>
      <c r="I54" s="74">
        <f>+G54+H54</f>
        <v>6131699</v>
      </c>
      <c r="K54" s="87"/>
      <c r="L54" s="75"/>
    </row>
    <row r="55" spans="2:9" ht="13.5" thickBot="1">
      <c r="B55" s="19" t="s">
        <v>157</v>
      </c>
      <c r="G55" s="78">
        <f>G53+G54</f>
        <v>14041337.799999982</v>
      </c>
      <c r="H55" s="78">
        <f>H53+H54</f>
        <v>177850.79</v>
      </c>
      <c r="I55" s="78">
        <f>I53+I54-1</f>
        <v>14219187.589999981</v>
      </c>
    </row>
    <row r="56" ht="6.75" customHeight="1" thickTop="1"/>
    <row r="57" spans="1:9" ht="26.25" customHeight="1">
      <c r="A57" s="320" t="s">
        <v>158</v>
      </c>
      <c r="B57" s="320"/>
      <c r="C57" s="320"/>
      <c r="D57" s="320"/>
      <c r="E57" s="320"/>
      <c r="F57" s="88"/>
      <c r="G57" s="89"/>
      <c r="H57" s="89"/>
      <c r="I57" s="89"/>
    </row>
    <row r="58" spans="1:9" ht="12.75">
      <c r="A58" s="320" t="s">
        <v>159</v>
      </c>
      <c r="B58" s="320"/>
      <c r="C58" s="320"/>
      <c r="D58" s="320"/>
      <c r="E58" s="320"/>
      <c r="F58" s="23"/>
      <c r="G58" s="90"/>
      <c r="H58" s="90"/>
      <c r="I58" s="90"/>
    </row>
    <row r="59" spans="1:11" ht="26.25" customHeight="1">
      <c r="A59" s="320" t="s">
        <v>160</v>
      </c>
      <c r="B59" s="320"/>
      <c r="C59" s="320"/>
      <c r="D59" s="320"/>
      <c r="E59" s="320"/>
      <c r="F59" s="88"/>
      <c r="G59" s="89"/>
      <c r="H59" s="89"/>
      <c r="I59" s="88"/>
      <c r="J59" s="32"/>
      <c r="K59" s="91"/>
    </row>
    <row r="60" ht="6.75" customHeight="1">
      <c r="G60" s="76"/>
    </row>
    <row r="61" spans="1:8" ht="12.75">
      <c r="A61" s="19" t="str">
        <f>'[3]GWNetPos'!A48</f>
        <v>The notes to the financial statements are an integral part of this statement.</v>
      </c>
      <c r="G61" s="75"/>
      <c r="H61" s="76"/>
    </row>
    <row r="63" spans="5:9" ht="12.75">
      <c r="E63" s="92"/>
      <c r="G63" s="75"/>
      <c r="I63" s="76"/>
    </row>
    <row r="65" ht="12.75">
      <c r="H65" s="76"/>
    </row>
    <row r="66" ht="12.75">
      <c r="H66" s="76"/>
    </row>
  </sheetData>
  <sheetProtection/>
  <mergeCells count="9">
    <mergeCell ref="A57:E57"/>
    <mergeCell ref="A58:E58"/>
    <mergeCell ref="A59:E59"/>
    <mergeCell ref="A2:I2"/>
    <mergeCell ref="A3:I3"/>
    <mergeCell ref="A4:I4"/>
    <mergeCell ref="C6:E6"/>
    <mergeCell ref="G6:I6"/>
    <mergeCell ref="G7:I7"/>
  </mergeCells>
  <printOptions/>
  <pageMargins left="0.7" right="0.7" top="0.75" bottom="0.75" header="0.3" footer="0.3"/>
  <pageSetup fitToHeight="1" fitToWidth="1" horizontalDpi="600" verticalDpi="600" orientation="landscape" scale="63" r:id="rId1"/>
  <colBreaks count="1" manualBreakCount="1">
    <brk id="10" max="65535" man="1"/>
  </colBreaks>
</worksheet>
</file>

<file path=xl/worksheets/sheet20.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B28" sqref="B28"/>
    </sheetView>
  </sheetViews>
  <sheetFormatPr defaultColWidth="9.140625" defaultRowHeight="12.75"/>
  <cols>
    <col min="1" max="1" width="4.57421875" style="51" customWidth="1"/>
    <col min="2" max="2" width="5.421875" style="51" customWidth="1"/>
    <col min="3" max="3" width="21.8515625" style="51" customWidth="1"/>
    <col min="4" max="4" width="0.71875" style="51" customWidth="1"/>
    <col min="5" max="5" width="9.7109375" style="51" customWidth="1"/>
    <col min="6" max="6" width="0.85546875" style="51" customWidth="1"/>
    <col min="7" max="7" width="10.00390625" style="51" customWidth="1"/>
    <col min="8" max="9" width="0.71875" style="51" customWidth="1"/>
    <col min="10" max="10" width="10.28125" style="51" customWidth="1"/>
    <col min="11" max="16384" width="9.140625" style="51" customWidth="1"/>
  </cols>
  <sheetData>
    <row r="1" spans="1:10" s="210" customFormat="1" ht="12.75">
      <c r="A1" s="311" t="s">
        <v>0</v>
      </c>
      <c r="B1" s="311"/>
      <c r="C1" s="311"/>
      <c r="D1" s="311"/>
      <c r="E1" s="311"/>
      <c r="F1" s="311"/>
      <c r="G1" s="311"/>
      <c r="H1" s="311"/>
      <c r="I1" s="311"/>
      <c r="J1" s="311"/>
    </row>
    <row r="2" spans="1:10" s="210" customFormat="1" ht="12.75" customHeight="1">
      <c r="A2" s="392" t="s">
        <v>428</v>
      </c>
      <c r="B2" s="392"/>
      <c r="C2" s="392"/>
      <c r="D2" s="392"/>
      <c r="E2" s="392"/>
      <c r="F2" s="392"/>
      <c r="G2" s="392"/>
      <c r="H2" s="392"/>
      <c r="I2" s="392"/>
      <c r="J2" s="392"/>
    </row>
    <row r="3" spans="1:10" s="210" customFormat="1" ht="12.75" customHeight="1">
      <c r="A3" s="363" t="s">
        <v>354</v>
      </c>
      <c r="B3" s="363"/>
      <c r="C3" s="363"/>
      <c r="D3" s="363"/>
      <c r="E3" s="363"/>
      <c r="F3" s="363"/>
      <c r="G3" s="363"/>
      <c r="H3" s="363"/>
      <c r="I3" s="363"/>
      <c r="J3" s="363"/>
    </row>
    <row r="4" spans="1:10" s="210" customFormat="1" ht="12.75" customHeight="1">
      <c r="A4" s="363" t="s">
        <v>355</v>
      </c>
      <c r="B4" s="363"/>
      <c r="C4" s="363"/>
      <c r="D4" s="363"/>
      <c r="E4" s="363"/>
      <c r="F4" s="363"/>
      <c r="G4" s="363"/>
      <c r="H4" s="363"/>
      <c r="I4" s="363"/>
      <c r="J4" s="363"/>
    </row>
    <row r="5" spans="1:10" s="210" customFormat="1" ht="12.75" customHeight="1">
      <c r="A5" s="363" t="str">
        <f>GWStmtAct!A4</f>
        <v>For the Year Ended June 30, 2019</v>
      </c>
      <c r="B5" s="363"/>
      <c r="C5" s="363"/>
      <c r="D5" s="363"/>
      <c r="E5" s="363"/>
      <c r="F5" s="363"/>
      <c r="G5" s="363"/>
      <c r="H5" s="363"/>
      <c r="I5" s="363"/>
      <c r="J5" s="363"/>
    </row>
    <row r="6" spans="1:10" ht="13.5" customHeight="1" thickBot="1">
      <c r="A6" s="393"/>
      <c r="B6" s="393"/>
      <c r="C6" s="393"/>
      <c r="D6" s="393"/>
      <c r="E6" s="393"/>
      <c r="F6" s="393"/>
      <c r="G6" s="393"/>
      <c r="H6" s="393"/>
      <c r="I6" s="393"/>
      <c r="J6" s="393"/>
    </row>
    <row r="7" spans="1:10" ht="12.75">
      <c r="A7" s="173"/>
      <c r="B7" s="173"/>
      <c r="C7" s="173"/>
      <c r="D7" s="173"/>
      <c r="E7" s="19"/>
      <c r="F7" s="19"/>
      <c r="G7" s="19"/>
      <c r="H7" s="19"/>
      <c r="I7" s="19"/>
      <c r="J7" s="171" t="s">
        <v>360</v>
      </c>
    </row>
    <row r="8" spans="1:10" ht="12.75">
      <c r="A8" s="173"/>
      <c r="B8" s="173"/>
      <c r="C8" s="173"/>
      <c r="D8" s="173"/>
      <c r="E8" s="19"/>
      <c r="F8" s="19"/>
      <c r="G8" s="19"/>
      <c r="H8" s="19"/>
      <c r="I8" s="19"/>
      <c r="J8" s="171" t="s">
        <v>356</v>
      </c>
    </row>
    <row r="9" spans="1:10" ht="12.75">
      <c r="A9" s="176"/>
      <c r="B9" s="176"/>
      <c r="C9" s="176"/>
      <c r="D9" s="176"/>
      <c r="E9" s="114" t="s">
        <v>358</v>
      </c>
      <c r="F9" s="211"/>
      <c r="G9" s="212" t="s">
        <v>359</v>
      </c>
      <c r="H9" s="19"/>
      <c r="I9" s="19"/>
      <c r="J9" s="212" t="s">
        <v>357</v>
      </c>
    </row>
    <row r="10" spans="1:10" ht="12.75">
      <c r="A10" s="213" t="s">
        <v>259</v>
      </c>
      <c r="B10" s="68"/>
      <c r="C10" s="68"/>
      <c r="D10" s="68"/>
      <c r="E10" s="68"/>
      <c r="F10" s="68"/>
      <c r="G10" s="19"/>
      <c r="H10" s="19"/>
      <c r="I10" s="19"/>
      <c r="J10" s="19"/>
    </row>
    <row r="11" spans="1:10" ht="12.75">
      <c r="A11" s="68"/>
      <c r="B11" s="68" t="s">
        <v>429</v>
      </c>
      <c r="C11" s="68"/>
      <c r="D11" s="68"/>
      <c r="E11" s="214">
        <v>197924</v>
      </c>
      <c r="F11" s="67"/>
      <c r="G11" s="215">
        <v>197774</v>
      </c>
      <c r="H11" s="216"/>
      <c r="I11" s="216"/>
      <c r="J11" s="215">
        <v>-150</v>
      </c>
    </row>
    <row r="12" spans="1:10" ht="12.75">
      <c r="A12" s="19"/>
      <c r="B12" s="19"/>
      <c r="C12" s="19" t="s">
        <v>207</v>
      </c>
      <c r="D12" s="19"/>
      <c r="E12" s="70">
        <v>197924</v>
      </c>
      <c r="F12" s="68"/>
      <c r="G12" s="70">
        <v>197774</v>
      </c>
      <c r="H12" s="68"/>
      <c r="I12" s="68"/>
      <c r="J12" s="70">
        <v>-150</v>
      </c>
    </row>
    <row r="13" spans="1:10" ht="12.75">
      <c r="A13" s="19"/>
      <c r="B13" s="19"/>
      <c r="C13" s="19"/>
      <c r="D13" s="19"/>
      <c r="E13" s="19"/>
      <c r="F13" s="19"/>
      <c r="G13" s="19"/>
      <c r="H13" s="19"/>
      <c r="I13" s="19"/>
      <c r="J13" s="19"/>
    </row>
    <row r="14" spans="1:10" ht="12.75">
      <c r="A14" s="213" t="s">
        <v>262</v>
      </c>
      <c r="B14" s="68"/>
      <c r="C14" s="68"/>
      <c r="D14" s="68"/>
      <c r="E14" s="68"/>
      <c r="F14" s="68"/>
      <c r="G14" s="217"/>
      <c r="H14" s="217"/>
      <c r="I14" s="217"/>
      <c r="J14" s="217"/>
    </row>
    <row r="15" spans="1:10" ht="12.75">
      <c r="A15" s="213"/>
      <c r="B15" s="213" t="s">
        <v>210</v>
      </c>
      <c r="C15" s="68"/>
      <c r="D15" s="68"/>
      <c r="E15" s="68">
        <v>108677</v>
      </c>
      <c r="F15" s="68"/>
      <c r="G15" s="217">
        <v>134374</v>
      </c>
      <c r="H15" s="217"/>
      <c r="I15" s="217"/>
      <c r="J15" s="218">
        <f>E15-G15</f>
        <v>-25697</v>
      </c>
    </row>
    <row r="16" spans="1:10" ht="12.75">
      <c r="A16" s="68"/>
      <c r="B16" s="68" t="s">
        <v>430</v>
      </c>
      <c r="C16" s="213"/>
      <c r="D16" s="68"/>
      <c r="E16" s="68">
        <v>65847</v>
      </c>
      <c r="F16" s="68"/>
      <c r="G16" s="219">
        <v>40000</v>
      </c>
      <c r="H16" s="219"/>
      <c r="I16" s="219"/>
      <c r="J16" s="218">
        <f>E16-G16</f>
        <v>25847</v>
      </c>
    </row>
    <row r="17" spans="1:10" ht="12.75">
      <c r="A17" s="68"/>
      <c r="B17" s="68" t="s">
        <v>134</v>
      </c>
      <c r="C17" s="68"/>
      <c r="D17" s="213"/>
      <c r="E17" s="213">
        <v>0</v>
      </c>
      <c r="F17" s="213"/>
      <c r="G17" s="220">
        <v>0</v>
      </c>
      <c r="H17" s="219"/>
      <c r="I17" s="219"/>
      <c r="J17" s="218">
        <f>E17-G17</f>
        <v>0</v>
      </c>
    </row>
    <row r="18" spans="1:10" ht="12.75">
      <c r="A18" s="68"/>
      <c r="B18" s="68" t="s">
        <v>431</v>
      </c>
      <c r="C18" s="68"/>
      <c r="D18" s="213"/>
      <c r="E18" s="213">
        <v>0</v>
      </c>
      <c r="F18" s="213"/>
      <c r="G18" s="220">
        <v>0</v>
      </c>
      <c r="H18" s="219"/>
      <c r="I18" s="219"/>
      <c r="J18" s="218">
        <f>E18-G18</f>
        <v>0</v>
      </c>
    </row>
    <row r="19" spans="1:10" ht="12.75">
      <c r="A19" s="19"/>
      <c r="B19" s="68" t="s">
        <v>135</v>
      </c>
      <c r="C19" s="19"/>
      <c r="D19" s="19"/>
      <c r="E19" s="70">
        <v>23400</v>
      </c>
      <c r="F19" s="221"/>
      <c r="G19" s="119">
        <v>23400</v>
      </c>
      <c r="H19" s="219"/>
      <c r="I19" s="219"/>
      <c r="J19" s="119">
        <f>E19-G19</f>
        <v>0</v>
      </c>
    </row>
    <row r="20" spans="1:10" ht="12.75">
      <c r="A20" s="19"/>
      <c r="B20" s="19"/>
      <c r="C20" s="19" t="s">
        <v>220</v>
      </c>
      <c r="D20" s="19"/>
      <c r="E20" s="124">
        <v>197924</v>
      </c>
      <c r="F20" s="19"/>
      <c r="G20" s="222">
        <v>197774</v>
      </c>
      <c r="H20" s="219"/>
      <c r="I20" s="219"/>
      <c r="J20" s="70">
        <f>SUM(J15:J19)</f>
        <v>150</v>
      </c>
    </row>
    <row r="21" spans="1:10" ht="12.75">
      <c r="A21" s="19"/>
      <c r="B21" s="19"/>
      <c r="C21" s="19"/>
      <c r="D21" s="19"/>
      <c r="E21" s="19"/>
      <c r="F21" s="19"/>
      <c r="G21" s="219"/>
      <c r="H21" s="219"/>
      <c r="I21" s="219"/>
      <c r="J21" s="219"/>
    </row>
    <row r="22" spans="1:10" ht="6.75" customHeight="1">
      <c r="A22" s="19"/>
      <c r="B22" s="68"/>
      <c r="C22" s="68"/>
      <c r="D22" s="68"/>
      <c r="E22" s="19"/>
      <c r="F22" s="19"/>
      <c r="G22" s="19"/>
      <c r="H22" s="19"/>
      <c r="I22" s="19"/>
      <c r="J22" s="19"/>
    </row>
    <row r="23" spans="1:10" ht="13.5" thickBot="1">
      <c r="A23" s="213" t="s">
        <v>227</v>
      </c>
      <c r="B23" s="68"/>
      <c r="C23" s="68"/>
      <c r="D23" s="68"/>
      <c r="E23" s="223">
        <v>0</v>
      </c>
      <c r="F23" s="117"/>
      <c r="G23" s="224">
        <v>0</v>
      </c>
      <c r="H23" s="68"/>
      <c r="I23" s="68"/>
      <c r="J23" s="225">
        <v>0</v>
      </c>
    </row>
    <row r="24" spans="1:10" ht="13.5" thickTop="1">
      <c r="A24" s="19"/>
      <c r="B24" s="19"/>
      <c r="C24" s="19"/>
      <c r="D24" s="19"/>
      <c r="E24" s="19"/>
      <c r="F24" s="19"/>
      <c r="G24" s="19"/>
      <c r="H24" s="19"/>
      <c r="I24" s="19"/>
      <c r="J24" s="219"/>
    </row>
    <row r="25" spans="1:10" ht="12.75">
      <c r="A25" s="213" t="s">
        <v>423</v>
      </c>
      <c r="B25" s="213"/>
      <c r="C25" s="68"/>
      <c r="D25" s="68"/>
      <c r="E25" s="117"/>
      <c r="F25" s="117"/>
      <c r="G25" s="226">
        <v>0</v>
      </c>
      <c r="H25" s="19"/>
      <c r="I25" s="19"/>
      <c r="J25" s="19"/>
    </row>
    <row r="26" spans="1:10" ht="13.5" thickBot="1">
      <c r="A26" s="213" t="s">
        <v>425</v>
      </c>
      <c r="B26" s="213"/>
      <c r="C26" s="68"/>
      <c r="D26" s="68"/>
      <c r="E26" s="117"/>
      <c r="F26" s="117"/>
      <c r="G26" s="225">
        <v>0</v>
      </c>
      <c r="H26" s="19"/>
      <c r="I26" s="19"/>
      <c r="J26" s="19"/>
    </row>
    <row r="27" spans="1:10" ht="13.5" thickTop="1">
      <c r="A27" s="19"/>
      <c r="B27" s="19"/>
      <c r="C27" s="19"/>
      <c r="D27" s="19"/>
      <c r="E27" s="19"/>
      <c r="F27" s="19"/>
      <c r="G27" s="19"/>
      <c r="H27" s="19"/>
      <c r="I27" s="19"/>
      <c r="J27" s="19"/>
    </row>
    <row r="28" ht="12.75" thickBot="1"/>
    <row r="29" spans="2:7" ht="14.25" customHeight="1">
      <c r="B29" s="383" t="s">
        <v>432</v>
      </c>
      <c r="C29" s="384"/>
      <c r="D29" s="384"/>
      <c r="E29" s="384"/>
      <c r="F29" s="384"/>
      <c r="G29" s="385"/>
    </row>
    <row r="30" spans="2:7" ht="14.25" customHeight="1">
      <c r="B30" s="386"/>
      <c r="C30" s="387"/>
      <c r="D30" s="387"/>
      <c r="E30" s="387"/>
      <c r="F30" s="387"/>
      <c r="G30" s="388"/>
    </row>
    <row r="31" spans="2:7" ht="14.25" customHeight="1">
      <c r="B31" s="386"/>
      <c r="C31" s="387"/>
      <c r="D31" s="387"/>
      <c r="E31" s="387"/>
      <c r="F31" s="387"/>
      <c r="G31" s="388"/>
    </row>
    <row r="32" spans="2:7" ht="14.25" customHeight="1" thickBot="1">
      <c r="B32" s="389"/>
      <c r="C32" s="390"/>
      <c r="D32" s="390"/>
      <c r="E32" s="390"/>
      <c r="F32" s="390"/>
      <c r="G32" s="391"/>
    </row>
    <row r="87" ht="15.75" customHeight="1"/>
  </sheetData>
  <sheetProtection/>
  <mergeCells count="7">
    <mergeCell ref="B29:G32"/>
    <mergeCell ref="A1:J1"/>
    <mergeCell ref="A2:J2"/>
    <mergeCell ref="A3:J3"/>
    <mergeCell ref="A4:J4"/>
    <mergeCell ref="A5:J5"/>
    <mergeCell ref="A6:J6"/>
  </mergeCells>
  <printOptions horizontalCentered="1"/>
  <pageMargins left="0.75" right="0.75" top="1" bottom="1" header="0.5" footer="0.5"/>
  <pageSetup firstPageNumber="19" useFirstPageNumber="1" fitToHeight="0"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M96"/>
  <sheetViews>
    <sheetView showGridLines="0" zoomScalePageLayoutView="0" workbookViewId="0" topLeftCell="A1">
      <selection activeCell="B28" sqref="B28"/>
    </sheetView>
  </sheetViews>
  <sheetFormatPr defaultColWidth="9.140625" defaultRowHeight="12.75"/>
  <cols>
    <col min="1" max="1" width="2.421875" style="68" customWidth="1"/>
    <col min="2" max="2" width="2.28125" style="68" customWidth="1"/>
    <col min="3" max="3" width="1.28515625" style="68" customWidth="1"/>
    <col min="4" max="5" width="9.140625" style="68" customWidth="1"/>
    <col min="6" max="6" width="13.8515625" style="68" customWidth="1"/>
    <col min="7" max="7" width="2.57421875" style="68" customWidth="1"/>
    <col min="8" max="8" width="10.28125" style="68" customWidth="1"/>
    <col min="9" max="9" width="3.00390625" style="68" customWidth="1"/>
    <col min="10" max="10" width="11.57421875" style="68" customWidth="1"/>
    <col min="11" max="11" width="2.28125" style="68" customWidth="1"/>
    <col min="12" max="12" width="11.421875" style="68" customWidth="1"/>
    <col min="13" max="16384" width="9.140625" style="68" customWidth="1"/>
  </cols>
  <sheetData>
    <row r="1" spans="1:12" s="168" customFormat="1" ht="12.75">
      <c r="A1" s="167" t="s">
        <v>0</v>
      </c>
      <c r="B1" s="167"/>
      <c r="C1" s="167"/>
      <c r="D1" s="167"/>
      <c r="E1" s="167"/>
      <c r="F1" s="167"/>
      <c r="G1" s="167"/>
      <c r="H1" s="167"/>
      <c r="I1" s="167"/>
      <c r="J1" s="167"/>
      <c r="K1" s="167"/>
      <c r="L1" s="167"/>
    </row>
    <row r="2" spans="1:12" s="168" customFormat="1" ht="12.75">
      <c r="A2" s="167" t="s">
        <v>433</v>
      </c>
      <c r="B2" s="167"/>
      <c r="C2" s="167"/>
      <c r="D2" s="167"/>
      <c r="E2" s="167"/>
      <c r="F2" s="167"/>
      <c r="G2" s="167"/>
      <c r="H2" s="167"/>
      <c r="I2" s="167"/>
      <c r="J2" s="167"/>
      <c r="K2" s="167"/>
      <c r="L2" s="167"/>
    </row>
    <row r="3" spans="1:12" s="168" customFormat="1" ht="12.75">
      <c r="A3" s="167" t="s">
        <v>434</v>
      </c>
      <c r="B3" s="167"/>
      <c r="C3" s="167"/>
      <c r="D3" s="167"/>
      <c r="E3" s="167"/>
      <c r="F3" s="167"/>
      <c r="G3" s="167"/>
      <c r="H3" s="167"/>
      <c r="I3" s="167"/>
      <c r="J3" s="167"/>
      <c r="K3" s="167"/>
      <c r="L3" s="167"/>
    </row>
    <row r="4" spans="1:12" s="168" customFormat="1" ht="12.75">
      <c r="A4" s="167" t="s">
        <v>355</v>
      </c>
      <c r="B4" s="167"/>
      <c r="C4" s="167"/>
      <c r="D4" s="167"/>
      <c r="E4" s="167"/>
      <c r="F4" s="167"/>
      <c r="G4" s="167"/>
      <c r="H4" s="167"/>
      <c r="I4" s="167"/>
      <c r="J4" s="167"/>
      <c r="K4" s="167"/>
      <c r="L4" s="167"/>
    </row>
    <row r="5" spans="1:12" s="168" customFormat="1" ht="12.75">
      <c r="A5" s="167" t="str">
        <f>GWStmtAct!A4</f>
        <v>For the Year Ended June 30, 2019</v>
      </c>
      <c r="B5" s="167"/>
      <c r="C5" s="167"/>
      <c r="D5" s="167"/>
      <c r="E5" s="167"/>
      <c r="F5" s="167"/>
      <c r="G5" s="167"/>
      <c r="H5" s="167"/>
      <c r="I5" s="167"/>
      <c r="J5" s="167"/>
      <c r="K5" s="167"/>
      <c r="L5" s="167"/>
    </row>
    <row r="6" spans="1:12" ht="13.5" thickBot="1">
      <c r="A6" s="169"/>
      <c r="B6" s="169"/>
      <c r="C6" s="169"/>
      <c r="D6" s="169"/>
      <c r="E6" s="169"/>
      <c r="F6" s="169"/>
      <c r="G6" s="169"/>
      <c r="H6" s="169"/>
      <c r="I6" s="169"/>
      <c r="J6" s="169"/>
      <c r="K6" s="169"/>
      <c r="L6" s="169"/>
    </row>
    <row r="7" spans="8:12" ht="12.75">
      <c r="H7" s="227"/>
      <c r="I7" s="228"/>
      <c r="J7" s="228"/>
      <c r="K7" s="228"/>
      <c r="L7" s="176" t="s">
        <v>360</v>
      </c>
    </row>
    <row r="8" spans="8:12" ht="12.75">
      <c r="H8" s="227"/>
      <c r="I8" s="228"/>
      <c r="J8" s="228"/>
      <c r="K8" s="228"/>
      <c r="L8" s="228" t="s">
        <v>356</v>
      </c>
    </row>
    <row r="9" spans="8:12" ht="12.75">
      <c r="H9" s="174" t="s">
        <v>358</v>
      </c>
      <c r="J9" s="174" t="s">
        <v>359</v>
      </c>
      <c r="L9" s="174" t="s">
        <v>357</v>
      </c>
    </row>
    <row r="10" ht="12.75">
      <c r="A10" s="68" t="s">
        <v>259</v>
      </c>
    </row>
    <row r="11" ht="12.75">
      <c r="B11" s="68" t="s">
        <v>361</v>
      </c>
    </row>
    <row r="12" spans="3:12" ht="12.75">
      <c r="C12" s="68" t="s">
        <v>435</v>
      </c>
      <c r="H12" s="67">
        <f>197000-39400</f>
        <v>157600</v>
      </c>
      <c r="I12" s="67"/>
      <c r="J12" s="67">
        <f>302000-60400</f>
        <v>241600</v>
      </c>
      <c r="K12" s="67"/>
      <c r="L12" s="67">
        <f>J12-H12</f>
        <v>84000</v>
      </c>
    </row>
    <row r="13" spans="3:12" ht="12.75">
      <c r="C13" s="68" t="s">
        <v>436</v>
      </c>
      <c r="D13" s="19"/>
      <c r="H13" s="74">
        <v>15000</v>
      </c>
      <c r="J13" s="74">
        <v>14000</v>
      </c>
      <c r="L13" s="74">
        <f>J13-H13</f>
        <v>-1000</v>
      </c>
    </row>
    <row r="14" spans="3:12" ht="12.75">
      <c r="C14" s="68" t="s">
        <v>437</v>
      </c>
      <c r="D14" s="19"/>
      <c r="E14" s="19"/>
      <c r="F14" s="19"/>
      <c r="G14" s="19"/>
      <c r="H14" s="36">
        <v>63000</v>
      </c>
      <c r="I14" s="36"/>
      <c r="J14" s="36">
        <v>59000</v>
      </c>
      <c r="K14" s="36"/>
      <c r="L14" s="74">
        <f>J14-H14</f>
        <v>-4000</v>
      </c>
    </row>
    <row r="15" spans="3:12" ht="12.75">
      <c r="C15" s="19" t="s">
        <v>438</v>
      </c>
      <c r="E15" s="19"/>
      <c r="F15" s="19"/>
      <c r="G15" s="19"/>
      <c r="H15" s="36">
        <v>39400</v>
      </c>
      <c r="I15" s="36"/>
      <c r="J15" s="36">
        <v>60400</v>
      </c>
      <c r="K15" s="36"/>
      <c r="L15" s="74">
        <f>J15-H15</f>
        <v>21000</v>
      </c>
    </row>
    <row r="16" spans="3:12" ht="12.75">
      <c r="C16" s="68" t="s">
        <v>439</v>
      </c>
      <c r="D16" s="19"/>
      <c r="E16" s="19"/>
      <c r="F16" s="19"/>
      <c r="G16" s="19"/>
      <c r="H16" s="37">
        <v>36000</v>
      </c>
      <c r="I16" s="35"/>
      <c r="J16" s="37">
        <v>36000</v>
      </c>
      <c r="K16" s="35"/>
      <c r="L16" s="74">
        <f>J16-H16</f>
        <v>0</v>
      </c>
    </row>
    <row r="17" spans="4:12" ht="12.75">
      <c r="D17" s="68" t="s">
        <v>440</v>
      </c>
      <c r="H17" s="70">
        <f>SUM(H12:H16)</f>
        <v>311000</v>
      </c>
      <c r="J17" s="70">
        <f>SUM(J12:J16)</f>
        <v>411000</v>
      </c>
      <c r="L17" s="73">
        <f>SUM(L12:L16)</f>
        <v>100000</v>
      </c>
    </row>
    <row r="19" ht="12.75">
      <c r="B19" s="68" t="s">
        <v>362</v>
      </c>
    </row>
    <row r="20" spans="3:12" ht="12.75">
      <c r="C20" s="68" t="s">
        <v>441</v>
      </c>
      <c r="G20" s="19"/>
      <c r="H20" s="19"/>
      <c r="I20" s="19"/>
      <c r="J20" s="19"/>
      <c r="K20" s="19"/>
      <c r="L20" s="19"/>
    </row>
    <row r="21" spans="3:12" ht="12.75">
      <c r="C21" s="19" t="s">
        <v>442</v>
      </c>
      <c r="D21" s="19"/>
      <c r="E21" s="19"/>
      <c r="F21" s="19"/>
      <c r="G21" s="19"/>
      <c r="H21" s="68">
        <v>1075000</v>
      </c>
      <c r="I21" s="19"/>
      <c r="J21" s="68">
        <v>1200000</v>
      </c>
      <c r="K21" s="19"/>
      <c r="L21" s="68">
        <f>J21-H21</f>
        <v>125000</v>
      </c>
    </row>
    <row r="22" spans="3:12" ht="12.75">
      <c r="C22" s="68" t="s">
        <v>443</v>
      </c>
      <c r="H22" s="68">
        <v>149480</v>
      </c>
      <c r="J22" s="68">
        <v>184600</v>
      </c>
      <c r="L22" s="68">
        <f>J22-H22</f>
        <v>35120</v>
      </c>
    </row>
    <row r="23" spans="3:12" ht="12.75">
      <c r="C23" s="68" t="s">
        <v>444</v>
      </c>
      <c r="H23" s="70">
        <f>163075+950000+6001882</f>
        <v>7114957</v>
      </c>
      <c r="J23" s="70">
        <f>163075+950000+6001882</f>
        <v>7114957</v>
      </c>
      <c r="L23" s="70">
        <f>J23-H23</f>
        <v>0</v>
      </c>
    </row>
    <row r="24" spans="4:12" ht="12.75">
      <c r="D24" s="68" t="s">
        <v>445</v>
      </c>
      <c r="H24" s="70">
        <f>SUM(H21:H23)</f>
        <v>8339437</v>
      </c>
      <c r="J24" s="70">
        <f>SUM(J21:J23)</f>
        <v>8499557</v>
      </c>
      <c r="L24" s="70">
        <f>SUM(L21:L23)</f>
        <v>160120</v>
      </c>
    </row>
    <row r="25" ht="12.75">
      <c r="B25" s="19"/>
    </row>
    <row r="26" spans="4:12" ht="12.75">
      <c r="D26" s="68" t="s">
        <v>207</v>
      </c>
      <c r="H26" s="70">
        <f>H17+H24</f>
        <v>8650437</v>
      </c>
      <c r="J26" s="70">
        <f>J17+J24</f>
        <v>8910557</v>
      </c>
      <c r="L26" s="70">
        <f>L17+L24</f>
        <v>260120</v>
      </c>
    </row>
    <row r="27" ht="6.75" customHeight="1">
      <c r="A27" s="19"/>
    </row>
    <row r="28" spans="1:2" ht="12.75">
      <c r="A28" s="68" t="s">
        <v>262</v>
      </c>
      <c r="B28" s="19"/>
    </row>
    <row r="29" ht="12.75">
      <c r="B29" s="19" t="s">
        <v>264</v>
      </c>
    </row>
    <row r="30" spans="2:3" ht="12.75">
      <c r="B30" s="19"/>
      <c r="C30" s="68" t="s">
        <v>446</v>
      </c>
    </row>
    <row r="31" spans="3:12" ht="12.75">
      <c r="C31" s="19"/>
      <c r="D31" s="68" t="s">
        <v>447</v>
      </c>
      <c r="E31" s="19"/>
      <c r="F31" s="19"/>
      <c r="G31" s="19"/>
      <c r="J31" s="229">
        <f>61000+2001882</f>
        <v>2062882</v>
      </c>
      <c r="L31" s="74"/>
    </row>
    <row r="32" spans="3:12" ht="12.75">
      <c r="C32" s="19"/>
      <c r="D32" s="68" t="s">
        <v>448</v>
      </c>
      <c r="J32" s="68">
        <f>812071+2000000</f>
        <v>2812071</v>
      </c>
      <c r="L32" s="74"/>
    </row>
    <row r="33" spans="3:12" ht="12.75">
      <c r="C33" s="19"/>
      <c r="D33" s="68" t="s">
        <v>449</v>
      </c>
      <c r="J33" s="68">
        <v>30000</v>
      </c>
      <c r="L33" s="74"/>
    </row>
    <row r="34" spans="4:12" ht="12.75">
      <c r="D34" s="68" t="s">
        <v>450</v>
      </c>
      <c r="J34" s="68">
        <f>874400-7000-60400+2000000</f>
        <v>2807000</v>
      </c>
      <c r="L34" s="74"/>
    </row>
    <row r="35" spans="4:12" ht="12.75">
      <c r="D35" s="68" t="s">
        <v>451</v>
      </c>
      <c r="J35" s="68">
        <v>30400</v>
      </c>
      <c r="L35" s="74"/>
    </row>
    <row r="36" spans="4:12" ht="12.75">
      <c r="D36" s="68" t="s">
        <v>452</v>
      </c>
      <c r="J36" s="68">
        <v>950000</v>
      </c>
      <c r="L36" s="74"/>
    </row>
    <row r="37" spans="4:12" ht="13.5" customHeight="1">
      <c r="D37" s="68" t="s">
        <v>453</v>
      </c>
      <c r="H37" s="73">
        <f>1549480-7000+950000+6001882</f>
        <v>8494362</v>
      </c>
      <c r="J37" s="73">
        <f>SUM(J31:J36)</f>
        <v>8692353</v>
      </c>
      <c r="L37" s="73">
        <f>H37-J37</f>
        <v>-197991</v>
      </c>
    </row>
    <row r="38" ht="12.75">
      <c r="L38" s="74"/>
    </row>
    <row r="39" spans="3:12" ht="12.75">
      <c r="C39" s="68" t="s">
        <v>454</v>
      </c>
      <c r="L39" s="74"/>
    </row>
    <row r="40" spans="2:12" ht="12.75">
      <c r="B40" s="19"/>
      <c r="D40" s="68" t="s">
        <v>450</v>
      </c>
      <c r="H40" s="68">
        <v>216000</v>
      </c>
      <c r="J40" s="68">
        <v>214000</v>
      </c>
      <c r="L40" s="74">
        <v>2000</v>
      </c>
    </row>
    <row r="41" spans="2:12" ht="12.75">
      <c r="B41" s="19"/>
      <c r="D41" s="68" t="s">
        <v>455</v>
      </c>
      <c r="H41" s="73">
        <v>216000</v>
      </c>
      <c r="J41" s="73">
        <v>214000</v>
      </c>
      <c r="L41" s="73">
        <f>H41-J41</f>
        <v>2000</v>
      </c>
    </row>
    <row r="42" spans="2:12" ht="6.75" customHeight="1">
      <c r="B42" s="19"/>
      <c r="L42" s="74"/>
    </row>
    <row r="43" spans="1:12" ht="12.75">
      <c r="A43" s="19"/>
      <c r="B43" s="19"/>
      <c r="C43" s="68" t="s">
        <v>456</v>
      </c>
      <c r="H43" s="74"/>
      <c r="I43" s="74"/>
      <c r="J43" s="74"/>
      <c r="K43" s="74"/>
      <c r="L43" s="74"/>
    </row>
    <row r="44" spans="1:12" ht="12.75">
      <c r="A44" s="19"/>
      <c r="B44" s="19"/>
      <c r="D44" s="68" t="s">
        <v>457</v>
      </c>
      <c r="H44" s="70">
        <f>103000+7000</f>
        <v>110000</v>
      </c>
      <c r="J44" s="70">
        <f>101000+7000</f>
        <v>108000</v>
      </c>
      <c r="L44" s="70">
        <f>H44-J44</f>
        <v>2000</v>
      </c>
    </row>
    <row r="45" spans="1:12" ht="6.75" customHeight="1">
      <c r="A45" s="19"/>
      <c r="B45" s="19"/>
      <c r="H45" s="74"/>
      <c r="J45" s="74"/>
      <c r="L45" s="74"/>
    </row>
    <row r="46" spans="1:12" ht="12.75">
      <c r="A46" s="19"/>
      <c r="B46" s="19"/>
      <c r="C46" s="68" t="s">
        <v>213</v>
      </c>
      <c r="H46" s="74"/>
      <c r="J46" s="74"/>
      <c r="L46" s="74"/>
    </row>
    <row r="47" spans="1:12" ht="12.75">
      <c r="A47" s="19"/>
      <c r="B47" s="19"/>
      <c r="D47" s="68" t="s">
        <v>214</v>
      </c>
      <c r="H47" s="74">
        <f>11975+36000</f>
        <v>47975</v>
      </c>
      <c r="J47" s="74">
        <f>11975+36000</f>
        <v>47975</v>
      </c>
      <c r="L47" s="74">
        <f>H47-J47</f>
        <v>0</v>
      </c>
    </row>
    <row r="48" spans="1:12" ht="12.75">
      <c r="A48" s="19"/>
      <c r="B48" s="19"/>
      <c r="D48" s="68" t="s">
        <v>458</v>
      </c>
      <c r="H48" s="70">
        <v>1100</v>
      </c>
      <c r="I48" s="74"/>
      <c r="J48" s="70">
        <v>1100</v>
      </c>
      <c r="K48" s="74"/>
      <c r="L48" s="74">
        <f>H48-J48</f>
        <v>0</v>
      </c>
    </row>
    <row r="49" spans="1:12" ht="12.75">
      <c r="A49" s="19"/>
      <c r="B49" s="19"/>
      <c r="H49" s="73">
        <f>SUM(H47:H48)</f>
        <v>49075</v>
      </c>
      <c r="I49" s="74"/>
      <c r="J49" s="73">
        <f>SUM(J47:J48)</f>
        <v>49075</v>
      </c>
      <c r="K49" s="74"/>
      <c r="L49" s="73">
        <f>J49-H49</f>
        <v>0</v>
      </c>
    </row>
    <row r="50" spans="1:12" ht="5.25" customHeight="1">
      <c r="A50" s="19"/>
      <c r="B50" s="19"/>
      <c r="H50" s="74"/>
      <c r="I50" s="74"/>
      <c r="J50" s="74"/>
      <c r="K50" s="74"/>
      <c r="L50" s="74"/>
    </row>
    <row r="51" spans="4:12" ht="15.75" customHeight="1">
      <c r="D51" s="68" t="s">
        <v>220</v>
      </c>
      <c r="H51" s="70">
        <f>H37+H41+H44+H49</f>
        <v>8869437</v>
      </c>
      <c r="J51" s="70">
        <f>J37+J41+J44+J49</f>
        <v>9063428</v>
      </c>
      <c r="L51" s="70">
        <f>H51-J51</f>
        <v>-193991</v>
      </c>
    </row>
    <row r="52" ht="6" customHeight="1">
      <c r="A52" s="19"/>
    </row>
    <row r="53" spans="1:12" ht="12.75">
      <c r="A53" s="68" t="s">
        <v>459</v>
      </c>
      <c r="G53" s="19"/>
      <c r="H53" s="70">
        <f>H26-H51</f>
        <v>-219000</v>
      </c>
      <c r="I53" s="19"/>
      <c r="J53" s="70">
        <f>J26-J51</f>
        <v>-152871</v>
      </c>
      <c r="K53" s="19"/>
      <c r="L53" s="70">
        <f>L26+L51</f>
        <v>66129</v>
      </c>
    </row>
    <row r="54" spans="7:12" ht="6" customHeight="1">
      <c r="G54" s="19"/>
      <c r="H54" s="74"/>
      <c r="I54" s="19"/>
      <c r="J54" s="74"/>
      <c r="K54" s="19"/>
      <c r="L54" s="74"/>
    </row>
    <row r="55" spans="7:12" ht="12.75">
      <c r="G55" s="19"/>
      <c r="H55" s="74"/>
      <c r="I55" s="19"/>
      <c r="J55" s="74"/>
      <c r="K55" s="19"/>
      <c r="L55" s="185" t="s">
        <v>59</v>
      </c>
    </row>
    <row r="56" spans="1:12" ht="12.75">
      <c r="A56" s="68" t="s">
        <v>460</v>
      </c>
      <c r="H56" s="74"/>
      <c r="I56" s="19"/>
      <c r="J56" s="74"/>
      <c r="L56" s="74"/>
    </row>
    <row r="57" spans="2:12" ht="12.75">
      <c r="B57" s="68" t="s">
        <v>224</v>
      </c>
      <c r="H57" s="74">
        <v>200000</v>
      </c>
      <c r="I57" s="19"/>
      <c r="J57" s="74">
        <v>200000</v>
      </c>
      <c r="L57" s="74">
        <v>0</v>
      </c>
    </row>
    <row r="58" spans="2:12" ht="12.75">
      <c r="B58" s="68" t="s">
        <v>225</v>
      </c>
      <c r="H58" s="70">
        <v>19000</v>
      </c>
      <c r="J58" s="70">
        <v>19000</v>
      </c>
      <c r="L58" s="70">
        <v>0</v>
      </c>
    </row>
    <row r="59" spans="4:12" ht="12.75">
      <c r="D59" s="68" t="s">
        <v>461</v>
      </c>
      <c r="H59" s="70">
        <v>219000</v>
      </c>
      <c r="J59" s="70">
        <f>SUM(J57:J58)</f>
        <v>219000</v>
      </c>
      <c r="L59" s="70">
        <v>0</v>
      </c>
    </row>
    <row r="60" spans="4:12" ht="12.75">
      <c r="D60" s="19"/>
      <c r="H60" s="19"/>
      <c r="I60" s="19"/>
      <c r="J60" s="19"/>
      <c r="K60" s="19"/>
      <c r="L60" s="19"/>
    </row>
    <row r="61" spans="1:12" ht="13.5" thickBot="1">
      <c r="A61" s="68" t="s">
        <v>227</v>
      </c>
      <c r="H61" s="230">
        <v>0</v>
      </c>
      <c r="J61" s="74">
        <f>J59+J53</f>
        <v>66129</v>
      </c>
      <c r="L61" s="231">
        <v>66129</v>
      </c>
    </row>
    <row r="62" spans="7:12" ht="13.5" thickTop="1">
      <c r="G62" s="19"/>
      <c r="H62" s="19"/>
      <c r="I62" s="19"/>
      <c r="J62" s="19"/>
      <c r="K62" s="19"/>
      <c r="L62" s="19"/>
    </row>
    <row r="63" spans="1:12" ht="12.75">
      <c r="A63" s="68" t="s">
        <v>423</v>
      </c>
      <c r="J63" s="70">
        <v>159871</v>
      </c>
      <c r="K63" s="74"/>
      <c r="L63" s="74"/>
    </row>
    <row r="64" spans="10:12" ht="6" customHeight="1">
      <c r="J64" s="74"/>
      <c r="K64" s="74"/>
      <c r="L64" s="74"/>
    </row>
    <row r="65" spans="1:10" ht="13.5" thickBot="1">
      <c r="A65" s="68" t="s">
        <v>425</v>
      </c>
      <c r="J65" s="231">
        <f>J61+J63</f>
        <v>226000</v>
      </c>
    </row>
    <row r="66" spans="9:12" ht="14.25" thickBot="1" thickTop="1">
      <c r="I66" s="19"/>
      <c r="J66" s="19"/>
      <c r="K66" s="19"/>
      <c r="L66" s="19"/>
    </row>
    <row r="67" spans="4:13" ht="12.75">
      <c r="D67" s="394" t="s">
        <v>462</v>
      </c>
      <c r="E67" s="395"/>
      <c r="F67" s="395"/>
      <c r="G67" s="395"/>
      <c r="H67" s="395"/>
      <c r="I67" s="395"/>
      <c r="J67" s="395"/>
      <c r="K67" s="395"/>
      <c r="L67" s="395"/>
      <c r="M67" s="396"/>
    </row>
    <row r="68" spans="4:13" ht="15.75" customHeight="1">
      <c r="D68" s="397"/>
      <c r="E68" s="398"/>
      <c r="F68" s="398"/>
      <c r="G68" s="398"/>
      <c r="H68" s="398"/>
      <c r="I68" s="398"/>
      <c r="J68" s="398"/>
      <c r="K68" s="398"/>
      <c r="L68" s="398"/>
      <c r="M68" s="399"/>
    </row>
    <row r="69" spans="4:13" ht="15" customHeight="1">
      <c r="D69" s="400" t="s">
        <v>463</v>
      </c>
      <c r="E69" s="401"/>
      <c r="F69" s="401"/>
      <c r="G69" s="401"/>
      <c r="H69" s="401"/>
      <c r="I69" s="401"/>
      <c r="J69" s="401"/>
      <c r="K69" s="401"/>
      <c r="L69" s="401"/>
      <c r="M69" s="402"/>
    </row>
    <row r="70" spans="4:13" ht="12.75">
      <c r="D70" s="403"/>
      <c r="E70" s="401"/>
      <c r="F70" s="401"/>
      <c r="G70" s="401"/>
      <c r="H70" s="401"/>
      <c r="I70" s="401"/>
      <c r="J70" s="401"/>
      <c r="K70" s="401"/>
      <c r="L70" s="401"/>
      <c r="M70" s="402"/>
    </row>
    <row r="71" spans="4:13" ht="12.75">
      <c r="D71" s="403"/>
      <c r="E71" s="401"/>
      <c r="F71" s="401"/>
      <c r="G71" s="401"/>
      <c r="H71" s="401"/>
      <c r="I71" s="401"/>
      <c r="J71" s="401"/>
      <c r="K71" s="401"/>
      <c r="L71" s="401"/>
      <c r="M71" s="402"/>
    </row>
    <row r="72" spans="4:13" ht="12.75">
      <c r="D72" s="403"/>
      <c r="E72" s="401"/>
      <c r="F72" s="401"/>
      <c r="G72" s="401"/>
      <c r="H72" s="401"/>
      <c r="I72" s="401"/>
      <c r="J72" s="401"/>
      <c r="K72" s="401"/>
      <c r="L72" s="401"/>
      <c r="M72" s="402"/>
    </row>
    <row r="73" spans="4:13" ht="12.75">
      <c r="D73" s="403"/>
      <c r="E73" s="401"/>
      <c r="F73" s="401"/>
      <c r="G73" s="401"/>
      <c r="H73" s="401"/>
      <c r="I73" s="401"/>
      <c r="J73" s="401"/>
      <c r="K73" s="401"/>
      <c r="L73" s="401"/>
      <c r="M73" s="402"/>
    </row>
    <row r="74" spans="4:13" ht="12.75">
      <c r="D74" s="403"/>
      <c r="E74" s="401"/>
      <c r="F74" s="401"/>
      <c r="G74" s="401"/>
      <c r="H74" s="401"/>
      <c r="I74" s="401"/>
      <c r="J74" s="401"/>
      <c r="K74" s="401"/>
      <c r="L74" s="401"/>
      <c r="M74" s="402"/>
    </row>
    <row r="75" spans="4:13" ht="12.75">
      <c r="D75" s="403"/>
      <c r="E75" s="401"/>
      <c r="F75" s="401"/>
      <c r="G75" s="401"/>
      <c r="H75" s="401"/>
      <c r="I75" s="401"/>
      <c r="J75" s="401"/>
      <c r="K75" s="401"/>
      <c r="L75" s="401"/>
      <c r="M75" s="402"/>
    </row>
    <row r="76" spans="4:13" ht="12.75">
      <c r="D76" s="403"/>
      <c r="E76" s="401"/>
      <c r="F76" s="401"/>
      <c r="G76" s="401"/>
      <c r="H76" s="401"/>
      <c r="I76" s="401"/>
      <c r="J76" s="401"/>
      <c r="K76" s="401"/>
      <c r="L76" s="401"/>
      <c r="M76" s="402"/>
    </row>
    <row r="77" spans="4:13" ht="12.75">
      <c r="D77" s="403"/>
      <c r="E77" s="401"/>
      <c r="F77" s="401"/>
      <c r="G77" s="401"/>
      <c r="H77" s="401"/>
      <c r="I77" s="401"/>
      <c r="J77" s="401"/>
      <c r="K77" s="401"/>
      <c r="L77" s="401"/>
      <c r="M77" s="402"/>
    </row>
    <row r="78" spans="4:13" ht="12.75">
      <c r="D78" s="403"/>
      <c r="E78" s="401"/>
      <c r="F78" s="401"/>
      <c r="G78" s="401"/>
      <c r="H78" s="401"/>
      <c r="I78" s="401"/>
      <c r="J78" s="401"/>
      <c r="K78" s="401"/>
      <c r="L78" s="401"/>
      <c r="M78" s="402"/>
    </row>
    <row r="79" spans="4:13" ht="12.75">
      <c r="D79" s="403"/>
      <c r="E79" s="401"/>
      <c r="F79" s="401"/>
      <c r="G79" s="401"/>
      <c r="H79" s="401"/>
      <c r="I79" s="401"/>
      <c r="J79" s="401"/>
      <c r="K79" s="401"/>
      <c r="L79" s="401"/>
      <c r="M79" s="402"/>
    </row>
    <row r="80" spans="4:13" ht="12.75">
      <c r="D80" s="403"/>
      <c r="E80" s="401"/>
      <c r="F80" s="401"/>
      <c r="G80" s="401"/>
      <c r="H80" s="401"/>
      <c r="I80" s="401"/>
      <c r="J80" s="401"/>
      <c r="K80" s="401"/>
      <c r="L80" s="401"/>
      <c r="M80" s="402"/>
    </row>
    <row r="81" spans="4:13" ht="12.75">
      <c r="D81" s="403"/>
      <c r="E81" s="401"/>
      <c r="F81" s="401"/>
      <c r="G81" s="401"/>
      <c r="H81" s="401"/>
      <c r="I81" s="401"/>
      <c r="J81" s="401"/>
      <c r="K81" s="401"/>
      <c r="L81" s="401"/>
      <c r="M81" s="402"/>
    </row>
    <row r="82" spans="4:13" ht="12.75">
      <c r="D82" s="403"/>
      <c r="E82" s="401"/>
      <c r="F82" s="401"/>
      <c r="G82" s="401"/>
      <c r="H82" s="401"/>
      <c r="I82" s="401"/>
      <c r="J82" s="401"/>
      <c r="K82" s="401"/>
      <c r="L82" s="401"/>
      <c r="M82" s="402"/>
    </row>
    <row r="83" spans="4:13" ht="12.75">
      <c r="D83" s="403"/>
      <c r="E83" s="401"/>
      <c r="F83" s="401"/>
      <c r="G83" s="401"/>
      <c r="H83" s="401"/>
      <c r="I83" s="401"/>
      <c r="J83" s="401"/>
      <c r="K83" s="401"/>
      <c r="L83" s="401"/>
      <c r="M83" s="402"/>
    </row>
    <row r="84" spans="4:13" ht="12.75">
      <c r="D84" s="403"/>
      <c r="E84" s="401"/>
      <c r="F84" s="401"/>
      <c r="G84" s="401"/>
      <c r="H84" s="401"/>
      <c r="I84" s="401"/>
      <c r="J84" s="401"/>
      <c r="K84" s="401"/>
      <c r="L84" s="401"/>
      <c r="M84" s="402"/>
    </row>
    <row r="85" spans="4:13" ht="12.75">
      <c r="D85" s="403"/>
      <c r="E85" s="401"/>
      <c r="F85" s="401"/>
      <c r="G85" s="401"/>
      <c r="H85" s="401"/>
      <c r="I85" s="401"/>
      <c r="J85" s="401"/>
      <c r="K85" s="401"/>
      <c r="L85" s="401"/>
      <c r="M85" s="402"/>
    </row>
    <row r="86" spans="4:13" ht="9.75" customHeight="1">
      <c r="D86" s="403"/>
      <c r="E86" s="401"/>
      <c r="F86" s="401"/>
      <c r="G86" s="401"/>
      <c r="H86" s="401"/>
      <c r="I86" s="401"/>
      <c r="J86" s="401"/>
      <c r="K86" s="401"/>
      <c r="L86" s="401"/>
      <c r="M86" s="402"/>
    </row>
    <row r="87" spans="4:13" ht="12.75">
      <c r="D87" s="400" t="s">
        <v>464</v>
      </c>
      <c r="E87" s="401"/>
      <c r="F87" s="401"/>
      <c r="G87" s="401"/>
      <c r="H87" s="401"/>
      <c r="I87" s="401"/>
      <c r="J87" s="401"/>
      <c r="K87" s="401"/>
      <c r="L87" s="401"/>
      <c r="M87" s="402"/>
    </row>
    <row r="88" spans="4:13" ht="12.75">
      <c r="D88" s="403"/>
      <c r="E88" s="401"/>
      <c r="F88" s="401"/>
      <c r="G88" s="401"/>
      <c r="H88" s="401"/>
      <c r="I88" s="401"/>
      <c r="J88" s="401"/>
      <c r="K88" s="401"/>
      <c r="L88" s="401"/>
      <c r="M88" s="402"/>
    </row>
    <row r="89" spans="4:13" ht="12.75">
      <c r="D89" s="403"/>
      <c r="E89" s="401"/>
      <c r="F89" s="401"/>
      <c r="G89" s="401"/>
      <c r="H89" s="401"/>
      <c r="I89" s="401"/>
      <c r="J89" s="401"/>
      <c r="K89" s="401"/>
      <c r="L89" s="401"/>
      <c r="M89" s="402"/>
    </row>
    <row r="90" spans="4:13" ht="11.25" customHeight="1" thickBot="1">
      <c r="D90" s="404"/>
      <c r="E90" s="405"/>
      <c r="F90" s="405"/>
      <c r="G90" s="405"/>
      <c r="H90" s="405"/>
      <c r="I90" s="405"/>
      <c r="J90" s="405"/>
      <c r="K90" s="405"/>
      <c r="L90" s="405"/>
      <c r="M90" s="406"/>
    </row>
    <row r="91" ht="13.5" thickBot="1"/>
    <row r="92" spans="4:13" ht="12.75">
      <c r="D92" s="407" t="s">
        <v>465</v>
      </c>
      <c r="E92" s="358"/>
      <c r="F92" s="358"/>
      <c r="G92" s="358"/>
      <c r="H92" s="358"/>
      <c r="I92" s="358"/>
      <c r="J92" s="358"/>
      <c r="K92" s="358"/>
      <c r="L92" s="358"/>
      <c r="M92" s="359"/>
    </row>
    <row r="93" spans="4:13" ht="12.75">
      <c r="D93" s="408"/>
      <c r="E93" s="369"/>
      <c r="F93" s="369"/>
      <c r="G93" s="369"/>
      <c r="H93" s="369"/>
      <c r="I93" s="369"/>
      <c r="J93" s="369"/>
      <c r="K93" s="369"/>
      <c r="L93" s="369"/>
      <c r="M93" s="409"/>
    </row>
    <row r="94" spans="4:13" ht="12.75">
      <c r="D94" s="408"/>
      <c r="E94" s="369"/>
      <c r="F94" s="369"/>
      <c r="G94" s="369"/>
      <c r="H94" s="369"/>
      <c r="I94" s="369"/>
      <c r="J94" s="369"/>
      <c r="K94" s="369"/>
      <c r="L94" s="369"/>
      <c r="M94" s="409"/>
    </row>
    <row r="95" spans="4:13" ht="13.5" thickBot="1">
      <c r="D95" s="360"/>
      <c r="E95" s="361"/>
      <c r="F95" s="361"/>
      <c r="G95" s="361"/>
      <c r="H95" s="361"/>
      <c r="I95" s="361"/>
      <c r="J95" s="361"/>
      <c r="K95" s="361"/>
      <c r="L95" s="361"/>
      <c r="M95" s="362"/>
    </row>
    <row r="96" spans="4:13" ht="12.75">
      <c r="D96" s="32"/>
      <c r="E96" s="32"/>
      <c r="F96" s="32"/>
      <c r="G96" s="32"/>
      <c r="H96" s="32"/>
      <c r="I96" s="32"/>
      <c r="J96" s="32"/>
      <c r="K96" s="32"/>
      <c r="L96" s="32"/>
      <c r="M96" s="32"/>
    </row>
  </sheetData>
  <sheetProtection/>
  <mergeCells count="4">
    <mergeCell ref="D67:M68"/>
    <mergeCell ref="D69:M86"/>
    <mergeCell ref="D87:M90"/>
    <mergeCell ref="D92:M95"/>
  </mergeCells>
  <printOptions horizontalCentered="1"/>
  <pageMargins left="0.75" right="0.75" top="1" bottom="1" header="0.5" footer="0.5"/>
  <pageSetup firstPageNumber="19" useFirstPageNumber="1" fitToHeight="2" horizontalDpi="600" verticalDpi="600" orientation="portrait" scale="91" r:id="rId1"/>
  <rowBreaks count="1" manualBreakCount="1">
    <brk id="54" max="12" man="1"/>
  </rowBreaks>
</worksheet>
</file>

<file path=xl/worksheets/sheet22.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B28" sqref="B28"/>
    </sheetView>
  </sheetViews>
  <sheetFormatPr defaultColWidth="8.00390625" defaultRowHeight="12.75"/>
  <cols>
    <col min="1" max="1" width="2.28125" style="235" customWidth="1"/>
    <col min="2" max="2" width="1.8515625" style="235" customWidth="1"/>
    <col min="3" max="3" width="2.28125" style="235" customWidth="1"/>
    <col min="4" max="4" width="33.421875" style="235" customWidth="1"/>
    <col min="5" max="5" width="10.7109375" style="235" customWidth="1"/>
    <col min="6" max="6" width="2.28125" style="235" customWidth="1"/>
    <col min="7" max="7" width="10.7109375" style="235" customWidth="1"/>
    <col min="8" max="8" width="2.140625" style="235" customWidth="1"/>
    <col min="9" max="9" width="10.7109375" style="235" customWidth="1"/>
    <col min="10" max="10" width="8.00390625" style="235" customWidth="1"/>
    <col min="11" max="11" width="8.28125" style="235" bestFit="1" customWidth="1"/>
    <col min="12" max="16384" width="8.00390625" style="235" customWidth="1"/>
  </cols>
  <sheetData>
    <row r="1" spans="1:9" s="233" customFormat="1" ht="12" customHeight="1">
      <c r="A1" s="232" t="s">
        <v>0</v>
      </c>
      <c r="B1" s="232"/>
      <c r="C1" s="232"/>
      <c r="D1" s="232"/>
      <c r="E1" s="232"/>
      <c r="F1" s="232"/>
      <c r="G1" s="232"/>
      <c r="H1" s="232"/>
      <c r="I1" s="232"/>
    </row>
    <row r="2" spans="1:9" s="233" customFormat="1" ht="12" customHeight="1">
      <c r="A2" s="232" t="s">
        <v>466</v>
      </c>
      <c r="B2" s="232"/>
      <c r="C2" s="232"/>
      <c r="D2" s="232"/>
      <c r="E2" s="232"/>
      <c r="F2" s="232"/>
      <c r="G2" s="232"/>
      <c r="H2" s="232"/>
      <c r="I2" s="232"/>
    </row>
    <row r="3" spans="1:9" s="233" customFormat="1" ht="12" customHeight="1">
      <c r="A3" s="232" t="s">
        <v>467</v>
      </c>
      <c r="B3" s="232"/>
      <c r="C3" s="232"/>
      <c r="D3" s="232"/>
      <c r="E3" s="232"/>
      <c r="F3" s="232"/>
      <c r="G3" s="232"/>
      <c r="H3" s="232"/>
      <c r="I3" s="232"/>
    </row>
    <row r="4" spans="1:9" s="233" customFormat="1" ht="12" customHeight="1">
      <c r="A4" s="232" t="s">
        <v>468</v>
      </c>
      <c r="B4" s="232"/>
      <c r="C4" s="232"/>
      <c r="D4" s="232"/>
      <c r="E4" s="232"/>
      <c r="F4" s="232"/>
      <c r="G4" s="232"/>
      <c r="H4" s="232"/>
      <c r="I4" s="232"/>
    </row>
    <row r="5" spans="1:9" s="233" customFormat="1" ht="12" customHeight="1">
      <c r="A5" s="232" t="str">
        <f>GWStmtAct!A4</f>
        <v>For the Year Ended June 30, 2019</v>
      </c>
      <c r="B5" s="232"/>
      <c r="C5" s="232"/>
      <c r="D5" s="232"/>
      <c r="E5" s="232"/>
      <c r="F5" s="232"/>
      <c r="G5" s="232"/>
      <c r="H5" s="232"/>
      <c r="I5" s="232"/>
    </row>
    <row r="6" spans="1:9" ht="12" customHeight="1" thickBot="1">
      <c r="A6" s="234"/>
      <c r="B6" s="234"/>
      <c r="C6" s="234"/>
      <c r="D6" s="234"/>
      <c r="E6" s="234"/>
      <c r="F6" s="234"/>
      <c r="G6" s="234"/>
      <c r="H6" s="234"/>
      <c r="I6" s="234"/>
    </row>
    <row r="7" spans="5:9" ht="12" customHeight="1">
      <c r="E7" s="236" t="s">
        <v>177</v>
      </c>
      <c r="F7" s="236"/>
      <c r="G7" s="236" t="s">
        <v>177</v>
      </c>
      <c r="H7" s="236"/>
      <c r="I7" s="236" t="s">
        <v>360</v>
      </c>
    </row>
    <row r="8" spans="5:9" ht="12" customHeight="1">
      <c r="E8" s="236"/>
      <c r="F8" s="236"/>
      <c r="G8" s="236"/>
      <c r="H8" s="236"/>
      <c r="I8" s="236" t="s">
        <v>356</v>
      </c>
    </row>
    <row r="9" spans="5:9" ht="12" customHeight="1">
      <c r="E9" s="237" t="s">
        <v>358</v>
      </c>
      <c r="G9" s="237" t="s">
        <v>359</v>
      </c>
      <c r="I9" s="237" t="s">
        <v>357</v>
      </c>
    </row>
    <row r="10" ht="8.25" customHeight="1"/>
    <row r="11" spans="1:9" ht="12" customHeight="1">
      <c r="A11" s="235" t="s">
        <v>469</v>
      </c>
      <c r="E11" s="238">
        <v>407600</v>
      </c>
      <c r="G11" s="238">
        <v>406290</v>
      </c>
      <c r="I11" s="238">
        <v>-1310</v>
      </c>
    </row>
    <row r="12" spans="5:9" ht="7.5" customHeight="1">
      <c r="E12" s="239"/>
      <c r="G12" s="239"/>
      <c r="I12" s="239"/>
    </row>
    <row r="13" ht="12" customHeight="1">
      <c r="A13" s="240" t="s">
        <v>470</v>
      </c>
    </row>
    <row r="14" spans="1:2" ht="12" customHeight="1">
      <c r="A14" s="240"/>
      <c r="B14" s="235" t="s">
        <v>471</v>
      </c>
    </row>
    <row r="15" spans="3:9" ht="12" customHeight="1">
      <c r="C15" s="235" t="s">
        <v>298</v>
      </c>
      <c r="E15" s="21"/>
      <c r="G15" s="21">
        <v>830000</v>
      </c>
      <c r="I15" s="21"/>
    </row>
    <row r="16" spans="3:9" ht="12" customHeight="1">
      <c r="C16" s="235" t="s">
        <v>299</v>
      </c>
      <c r="E16" s="21"/>
      <c r="G16" s="21">
        <v>19641</v>
      </c>
      <c r="I16" s="21"/>
    </row>
    <row r="17" spans="3:9" ht="12" customHeight="1">
      <c r="C17" s="235" t="s">
        <v>300</v>
      </c>
      <c r="E17" s="21"/>
      <c r="G17" s="21">
        <f>54000+0.2*0.7*48500+(27219*0.2*0.7)+(0.2*0.7*0.5*1260)+(50000*0.2*0.7)+(30000*0.2*0.7)+(1400*0.5*0.2*0.7)</f>
        <v>75986.86</v>
      </c>
      <c r="I17" s="21"/>
    </row>
    <row r="18" spans="3:9" ht="12" customHeight="1">
      <c r="C18" s="235" t="s">
        <v>301</v>
      </c>
      <c r="E18" s="21"/>
      <c r="G18" s="21">
        <v>54000</v>
      </c>
      <c r="I18" s="21"/>
    </row>
    <row r="19" spans="3:9" ht="12" customHeight="1">
      <c r="C19" s="235" t="s">
        <v>302</v>
      </c>
      <c r="E19" s="21"/>
      <c r="G19" s="21">
        <v>7557</v>
      </c>
      <c r="I19" s="21"/>
    </row>
    <row r="20" spans="3:9" ht="12" customHeight="1">
      <c r="C20" s="240" t="s">
        <v>303</v>
      </c>
      <c r="E20" s="21"/>
      <c r="G20" s="21">
        <v>1886</v>
      </c>
      <c r="I20" s="21"/>
    </row>
    <row r="21" spans="3:9" ht="12" customHeight="1">
      <c r="C21" s="235" t="s">
        <v>304</v>
      </c>
      <c r="E21" s="21"/>
      <c r="G21" s="21">
        <v>7600</v>
      </c>
      <c r="I21" s="21"/>
    </row>
    <row r="22" spans="3:9" ht="12" customHeight="1">
      <c r="C22" s="235" t="s">
        <v>204</v>
      </c>
      <c r="E22" s="241"/>
      <c r="G22" s="241">
        <v>7000</v>
      </c>
      <c r="I22" s="241"/>
    </row>
    <row r="23" spans="3:9" ht="12" customHeight="1">
      <c r="C23" s="235" t="s">
        <v>472</v>
      </c>
      <c r="E23" s="21">
        <f>1047600+0.7*0.2*48500+(20000*0.7*0.2)+(1260*0.5*0.7*0.2)-6440+(50000*0.7*0.2)+(30000*0.7*0.2)+(1400*0.5*0.7*0.2)</f>
        <v>1062136.2</v>
      </c>
      <c r="G23" s="21">
        <f>SUM(G15:G22)</f>
        <v>1003670.86</v>
      </c>
      <c r="I23" s="21">
        <f>E23-G23</f>
        <v>58465.33999999997</v>
      </c>
    </row>
    <row r="24" spans="5:9" ht="7.5" customHeight="1">
      <c r="E24" s="21"/>
      <c r="G24" s="21"/>
      <c r="I24" s="21"/>
    </row>
    <row r="25" spans="2:9" ht="12" customHeight="1">
      <c r="B25" s="235" t="s">
        <v>473</v>
      </c>
      <c r="E25" s="21"/>
      <c r="G25" s="21"/>
      <c r="I25" s="21"/>
    </row>
    <row r="26" spans="3:9" ht="12" customHeight="1">
      <c r="C26" s="235" t="s">
        <v>300</v>
      </c>
      <c r="E26" s="21">
        <v>19000</v>
      </c>
      <c r="G26" s="21">
        <v>19000</v>
      </c>
      <c r="I26" s="21">
        <v>0</v>
      </c>
    </row>
    <row r="27" spans="5:9" ht="7.5" customHeight="1">
      <c r="E27" s="21"/>
      <c r="G27" s="21"/>
      <c r="I27" s="21"/>
    </row>
    <row r="28" spans="2:9" ht="12" customHeight="1">
      <c r="B28" s="235" t="s">
        <v>431</v>
      </c>
      <c r="E28" s="21">
        <v>10000</v>
      </c>
      <c r="G28" s="21">
        <v>9400</v>
      </c>
      <c r="I28" s="21">
        <v>600</v>
      </c>
    </row>
    <row r="29" spans="3:9" ht="12.75">
      <c r="C29" s="240" t="s">
        <v>474</v>
      </c>
      <c r="E29" s="242">
        <v>1076600</v>
      </c>
      <c r="G29" s="242">
        <f>G23+G26+G28</f>
        <v>1032070.86</v>
      </c>
      <c r="I29" s="242">
        <v>66516</v>
      </c>
    </row>
    <row r="30" ht="7.5" customHeight="1"/>
    <row r="31" spans="2:9" ht="12" customHeight="1">
      <c r="B31" s="235" t="s">
        <v>475</v>
      </c>
      <c r="E31" s="21">
        <v>-669000</v>
      </c>
      <c r="G31" s="21">
        <f>G11-G29</f>
        <v>-625780.86</v>
      </c>
      <c r="I31" s="21">
        <f>E31-G31</f>
        <v>-43219.140000000014</v>
      </c>
    </row>
    <row r="32" ht="7.5" customHeight="1"/>
    <row r="33" ht="12" customHeight="1">
      <c r="A33" s="240" t="s">
        <v>476</v>
      </c>
    </row>
    <row r="34" spans="2:9" ht="12" customHeight="1">
      <c r="B34" s="235" t="s">
        <v>28</v>
      </c>
      <c r="E34" s="21">
        <v>540000</v>
      </c>
      <c r="G34" s="21">
        <v>552367</v>
      </c>
      <c r="I34" s="21">
        <v>12367</v>
      </c>
    </row>
    <row r="35" spans="2:9" ht="12" customHeight="1">
      <c r="B35" s="235" t="s">
        <v>308</v>
      </c>
      <c r="E35" s="21">
        <v>18000</v>
      </c>
      <c r="G35" s="21">
        <v>20641</v>
      </c>
      <c r="I35" s="21">
        <v>2641</v>
      </c>
    </row>
    <row r="36" spans="2:9" ht="12" customHeight="1">
      <c r="B36" s="235" t="s">
        <v>477</v>
      </c>
      <c r="E36" s="21">
        <v>97000</v>
      </c>
      <c r="G36" s="21">
        <v>120978</v>
      </c>
      <c r="I36" s="21">
        <v>23978</v>
      </c>
    </row>
    <row r="37" spans="3:9" ht="12.75">
      <c r="C37" s="240" t="s">
        <v>478</v>
      </c>
      <c r="E37" s="242">
        <v>655000</v>
      </c>
      <c r="G37" s="242">
        <v>693986</v>
      </c>
      <c r="I37" s="242">
        <v>38986</v>
      </c>
    </row>
    <row r="38" spans="5:9" ht="7.5" customHeight="1">
      <c r="E38" s="21"/>
      <c r="G38" s="21"/>
      <c r="I38" s="21"/>
    </row>
    <row r="39" ht="12" customHeight="1">
      <c r="A39" s="235" t="s">
        <v>479</v>
      </c>
    </row>
    <row r="40" spans="1:9" ht="12" customHeight="1">
      <c r="A40" s="235" t="s">
        <v>480</v>
      </c>
      <c r="E40" s="21">
        <v>-14000</v>
      </c>
      <c r="G40" s="21">
        <f>G31+G37</f>
        <v>68205.14000000001</v>
      </c>
      <c r="I40" s="21">
        <v>104192</v>
      </c>
    </row>
    <row r="41" spans="5:9" ht="7.5" customHeight="1">
      <c r="E41" s="21"/>
      <c r="G41" s="21"/>
      <c r="I41" s="21"/>
    </row>
    <row r="42" spans="1:9" ht="12" customHeight="1">
      <c r="A42" s="235" t="s">
        <v>481</v>
      </c>
      <c r="E42" s="21"/>
      <c r="G42" s="21"/>
      <c r="I42" s="21"/>
    </row>
    <row r="43" spans="2:9" ht="12" customHeight="1">
      <c r="B43" s="235" t="s">
        <v>270</v>
      </c>
      <c r="E43" s="241">
        <v>14000</v>
      </c>
      <c r="G43" s="241">
        <v>14000</v>
      </c>
      <c r="I43" s="241">
        <v>0</v>
      </c>
    </row>
    <row r="44" spans="5:9" ht="7.5" customHeight="1">
      <c r="E44" s="21"/>
      <c r="G44" s="21"/>
      <c r="I44" s="21"/>
    </row>
    <row r="45" ht="12" customHeight="1">
      <c r="A45" s="235" t="s">
        <v>482</v>
      </c>
    </row>
    <row r="46" spans="1:9" ht="13.5" thickBot="1">
      <c r="A46" s="235" t="s">
        <v>483</v>
      </c>
      <c r="E46" s="243">
        <v>0</v>
      </c>
      <c r="G46" s="244">
        <f>G40+G43</f>
        <v>82205.14000000001</v>
      </c>
      <c r="I46" s="243">
        <v>104192</v>
      </c>
    </row>
    <row r="47" ht="7.5" customHeight="1" thickTop="1"/>
    <row r="48" ht="12" customHeight="1">
      <c r="A48" s="235" t="s">
        <v>484</v>
      </c>
    </row>
    <row r="49" ht="12" customHeight="1">
      <c r="B49" s="235" t="s">
        <v>485</v>
      </c>
    </row>
    <row r="50" spans="2:7" ht="12" customHeight="1">
      <c r="B50" s="235" t="s">
        <v>486</v>
      </c>
      <c r="G50" s="245"/>
    </row>
    <row r="51" spans="3:7" ht="12" customHeight="1">
      <c r="C51" s="235" t="s">
        <v>39</v>
      </c>
      <c r="G51" s="21">
        <v>-7765</v>
      </c>
    </row>
    <row r="52" spans="3:7" ht="12" customHeight="1">
      <c r="C52" s="235" t="s">
        <v>73</v>
      </c>
      <c r="G52" s="21">
        <f>'Cash Flow-Prop'!B39</f>
        <v>-19.809999999999995</v>
      </c>
    </row>
    <row r="53" spans="3:7" ht="12.75">
      <c r="C53" s="235" t="s">
        <v>487</v>
      </c>
      <c r="G53" s="21">
        <f>'Cash Flow-Prop'!B41</f>
        <v>3865.9399999999987</v>
      </c>
    </row>
    <row r="54" spans="3:7" ht="12.75">
      <c r="C54" s="235" t="s">
        <v>488</v>
      </c>
      <c r="G54" s="21">
        <f>'Cash Flow-Prop'!B42</f>
        <v>-70709.3</v>
      </c>
    </row>
    <row r="55" spans="3:7" ht="12.75">
      <c r="C55" s="235" t="s">
        <v>489</v>
      </c>
      <c r="G55" s="21">
        <f>'Cash Flow-Prop'!B43</f>
        <v>-2544.2</v>
      </c>
    </row>
    <row r="56" spans="3:7" ht="12.75" hidden="1">
      <c r="C56" s="246" t="s">
        <v>490</v>
      </c>
      <c r="D56" s="246"/>
      <c r="E56" s="246"/>
      <c r="F56" s="246"/>
      <c r="G56" s="248">
        <f>-'[5]Cash Flow-Prop'!B44+G57</f>
        <v>-75.32000000000001</v>
      </c>
    </row>
    <row r="57" spans="3:7" ht="12.75" hidden="1">
      <c r="C57" s="246" t="s">
        <v>491</v>
      </c>
      <c r="D57" s="246"/>
      <c r="E57" s="246"/>
      <c r="F57" s="246"/>
      <c r="G57" s="247">
        <f>-'[5]Cash Flow-Prop'!B45</f>
        <v>74.61999999999999</v>
      </c>
    </row>
    <row r="58" spans="3:7" ht="12.75">
      <c r="C58" s="235" t="s">
        <v>492</v>
      </c>
      <c r="G58" s="21">
        <f>'Cash Flow-Prop'!B46</f>
        <v>77831.55999999998</v>
      </c>
    </row>
    <row r="59" spans="3:7" ht="12.75" hidden="1">
      <c r="C59" s="246" t="s">
        <v>493</v>
      </c>
      <c r="D59" s="246"/>
      <c r="E59" s="246"/>
      <c r="F59" s="246"/>
      <c r="G59" s="247">
        <f>-'[5]Cash Flow-Prop'!B47</f>
        <v>-59408.02</v>
      </c>
    </row>
    <row r="60" spans="3:7" ht="12" customHeight="1">
      <c r="C60" s="235" t="s">
        <v>301</v>
      </c>
      <c r="G60" s="21">
        <v>-4000</v>
      </c>
    </row>
    <row r="61" spans="3:7" ht="12" customHeight="1">
      <c r="C61" s="235" t="s">
        <v>42</v>
      </c>
      <c r="G61" s="21">
        <v>4000</v>
      </c>
    </row>
    <row r="62" spans="3:7" ht="12" customHeight="1">
      <c r="C62" s="235" t="s">
        <v>494</v>
      </c>
      <c r="G62" s="21">
        <v>9400</v>
      </c>
    </row>
    <row r="63" spans="3:7" ht="12" customHeight="1">
      <c r="C63" s="235" t="s">
        <v>495</v>
      </c>
      <c r="G63" s="21">
        <v>-5000</v>
      </c>
    </row>
    <row r="64" spans="3:7" ht="12" customHeight="1">
      <c r="C64" s="235" t="s">
        <v>496</v>
      </c>
      <c r="G64" s="41">
        <v>-9290</v>
      </c>
    </row>
    <row r="65" spans="2:11" ht="13.5" thickBot="1">
      <c r="B65" s="235" t="s">
        <v>497</v>
      </c>
      <c r="G65" s="249">
        <f>G46+SUM(G51:G64)-G56-G57-G59</f>
        <v>77974.32999999999</v>
      </c>
      <c r="I65" s="250"/>
      <c r="K65" s="250"/>
    </row>
    <row r="66" ht="12" customHeight="1" thickTop="1"/>
    <row r="95" ht="15.75" customHeight="1"/>
  </sheetData>
  <sheetProtection/>
  <printOptions horizontalCentered="1"/>
  <pageMargins left="0.75" right="0.75" top="1" bottom="1" header="0.5" footer="0.5"/>
  <pageSetup firstPageNumber="19" useFirstPageNumber="1" fitToHeight="2" fitToWidth="1"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J52"/>
  <sheetViews>
    <sheetView showGridLines="0" zoomScalePageLayoutView="0" workbookViewId="0" topLeftCell="A1">
      <selection activeCell="B28" sqref="B28"/>
    </sheetView>
  </sheetViews>
  <sheetFormatPr defaultColWidth="8.421875" defaultRowHeight="12.75"/>
  <cols>
    <col min="1" max="1" width="2.57421875" style="21" customWidth="1"/>
    <col min="2" max="2" width="2.421875" style="21" customWidth="1"/>
    <col min="3" max="3" width="3.7109375" style="21" customWidth="1"/>
    <col min="4" max="4" width="25.421875" style="21" customWidth="1"/>
    <col min="5" max="5" width="2.140625" style="21" customWidth="1"/>
    <col min="6" max="6" width="10.57421875" style="21" customWidth="1"/>
    <col min="7" max="7" width="2.28125" style="21" customWidth="1"/>
    <col min="8" max="8" width="10.7109375" style="21" customWidth="1"/>
    <col min="9" max="9" width="2.28125" style="21" customWidth="1"/>
    <col min="10" max="10" width="9.00390625" style="21" customWidth="1"/>
    <col min="11" max="16384" width="8.421875" style="21" customWidth="1"/>
  </cols>
  <sheetData>
    <row r="1" spans="1:10" s="252" customFormat="1" ht="12.75">
      <c r="A1" s="251" t="s">
        <v>0</v>
      </c>
      <c r="B1" s="251"/>
      <c r="C1" s="251"/>
      <c r="D1" s="251"/>
      <c r="E1" s="251"/>
      <c r="F1" s="251"/>
      <c r="G1" s="251"/>
      <c r="H1" s="251"/>
      <c r="I1" s="251"/>
      <c r="J1" s="251"/>
    </row>
    <row r="2" spans="1:10" s="252" customFormat="1" ht="12.75">
      <c r="A2" s="251" t="s">
        <v>498</v>
      </c>
      <c r="B2" s="251"/>
      <c r="C2" s="251"/>
      <c r="D2" s="251"/>
      <c r="E2" s="251"/>
      <c r="F2" s="251"/>
      <c r="G2" s="251"/>
      <c r="H2" s="251"/>
      <c r="I2" s="251"/>
      <c r="J2" s="251"/>
    </row>
    <row r="3" spans="1:10" s="252" customFormat="1" ht="12.75">
      <c r="A3" s="251" t="s">
        <v>466</v>
      </c>
      <c r="B3" s="251"/>
      <c r="C3" s="251"/>
      <c r="D3" s="251"/>
      <c r="E3" s="251"/>
      <c r="F3" s="251"/>
      <c r="G3" s="251"/>
      <c r="H3" s="251"/>
      <c r="I3" s="251"/>
      <c r="J3" s="251"/>
    </row>
    <row r="4" spans="1:10" s="252" customFormat="1" ht="12.75">
      <c r="A4" s="251" t="s">
        <v>499</v>
      </c>
      <c r="B4" s="251"/>
      <c r="C4" s="251"/>
      <c r="D4" s="251"/>
      <c r="E4" s="251"/>
      <c r="F4" s="251"/>
      <c r="G4" s="251"/>
      <c r="H4" s="251"/>
      <c r="I4" s="251"/>
      <c r="J4" s="251"/>
    </row>
    <row r="5" spans="1:10" s="252" customFormat="1" ht="12.75">
      <c r="A5" s="251" t="str">
        <f>GWStmtAct!A4</f>
        <v>For the Year Ended June 30, 2019</v>
      </c>
      <c r="B5" s="251"/>
      <c r="C5" s="251"/>
      <c r="D5" s="251"/>
      <c r="E5" s="251"/>
      <c r="F5" s="251"/>
      <c r="G5" s="251"/>
      <c r="H5" s="251"/>
      <c r="I5" s="251"/>
      <c r="J5" s="251"/>
    </row>
    <row r="6" spans="1:10" ht="13.5" thickBot="1">
      <c r="A6" s="253"/>
      <c r="B6" s="253"/>
      <c r="C6" s="253"/>
      <c r="D6" s="253"/>
      <c r="E6" s="253"/>
      <c r="F6" s="253"/>
      <c r="G6" s="253"/>
      <c r="H6" s="253"/>
      <c r="I6" s="253"/>
      <c r="J6" s="253"/>
    </row>
    <row r="7" ht="12.75">
      <c r="J7" s="254" t="s">
        <v>500</v>
      </c>
    </row>
    <row r="8" ht="12.75">
      <c r="J8" s="254" t="s">
        <v>356</v>
      </c>
    </row>
    <row r="9" spans="2:10" ht="12.75">
      <c r="B9" s="255" t="s">
        <v>177</v>
      </c>
      <c r="F9" s="256" t="s">
        <v>358</v>
      </c>
      <c r="H9" s="256" t="s">
        <v>359</v>
      </c>
      <c r="J9" s="256" t="s">
        <v>357</v>
      </c>
    </row>
    <row r="10" ht="12.75">
      <c r="A10" s="255" t="s">
        <v>259</v>
      </c>
    </row>
    <row r="11" spans="2:10" ht="12.75">
      <c r="B11" s="255" t="s">
        <v>294</v>
      </c>
      <c r="C11" s="19"/>
      <c r="F11" s="245">
        <v>147000</v>
      </c>
      <c r="G11" s="245"/>
      <c r="H11" s="245">
        <v>146882</v>
      </c>
      <c r="I11" s="245"/>
      <c r="J11" s="245">
        <v>-118</v>
      </c>
    </row>
    <row r="12" spans="2:10" ht="16.5" customHeight="1">
      <c r="B12" s="255" t="s">
        <v>25</v>
      </c>
      <c r="F12" s="257">
        <v>1200</v>
      </c>
      <c r="G12" s="258"/>
      <c r="H12" s="257">
        <v>120</v>
      </c>
      <c r="I12" s="258"/>
      <c r="J12" s="241">
        <v>-1080</v>
      </c>
    </row>
    <row r="13" spans="4:10" ht="15" customHeight="1">
      <c r="D13" s="255" t="s">
        <v>207</v>
      </c>
      <c r="E13" s="255"/>
      <c r="F13" s="257">
        <v>148200</v>
      </c>
      <c r="G13" s="258"/>
      <c r="H13" s="257">
        <v>147002</v>
      </c>
      <c r="I13" s="258"/>
      <c r="J13" s="257">
        <v>-1198</v>
      </c>
    </row>
    <row r="14" spans="6:10" ht="12.75">
      <c r="F14" s="258"/>
      <c r="G14" s="258"/>
      <c r="H14" s="258"/>
      <c r="I14" s="258"/>
      <c r="J14" s="258"/>
    </row>
    <row r="15" spans="1:10" ht="12.75">
      <c r="A15" s="255" t="s">
        <v>262</v>
      </c>
      <c r="F15" s="258"/>
      <c r="G15" s="258"/>
      <c r="H15" s="258"/>
      <c r="I15" s="258"/>
      <c r="J15" s="258"/>
    </row>
    <row r="16" spans="1:10" ht="12.75">
      <c r="A16" s="255"/>
      <c r="B16" s="21" t="s">
        <v>501</v>
      </c>
      <c r="F16" s="258"/>
      <c r="G16" s="258"/>
      <c r="H16" s="258"/>
      <c r="I16" s="258"/>
      <c r="J16" s="258"/>
    </row>
    <row r="17" spans="2:10" ht="12.75">
      <c r="B17" s="19"/>
      <c r="C17" s="255" t="s">
        <v>300</v>
      </c>
      <c r="F17" s="259"/>
      <c r="G17" s="258"/>
      <c r="H17" s="258">
        <f>128900+48500*0.2*0.3+27219*0.2*0.3+0.2*0.3*0.5*1260+(50000*0.2*0.3)+(30000*0.2*0.3)+(1400*0.5*0.2*0.3)</f>
        <v>138322.94</v>
      </c>
      <c r="I17" s="258"/>
      <c r="J17" s="260"/>
    </row>
    <row r="18" spans="2:10" ht="12.75">
      <c r="B18" s="19"/>
      <c r="C18" s="21" t="s">
        <v>302</v>
      </c>
      <c r="F18" s="259"/>
      <c r="G18" s="258"/>
      <c r="H18" s="258">
        <v>12408</v>
      </c>
      <c r="I18" s="258"/>
      <c r="J18" s="260"/>
    </row>
    <row r="19" spans="2:10" ht="12.75">
      <c r="B19" s="19"/>
      <c r="C19" s="21" t="s">
        <v>304</v>
      </c>
      <c r="F19" s="261"/>
      <c r="G19" s="258"/>
      <c r="H19" s="262">
        <v>2186</v>
      </c>
      <c r="I19" s="258"/>
      <c r="J19" s="261"/>
    </row>
    <row r="20" spans="2:10" ht="12.75">
      <c r="B20" s="19"/>
      <c r="C20" s="21" t="s">
        <v>502</v>
      </c>
      <c r="F20" s="259">
        <f>149450+(0.2*0.3*48500)+(0.2*0.3*20000)+0.2*0.3*0.5*1260-2760+(50000*0.2*0.3)+(30000*0.2*0.3)+(1400*0.5*0.2*0.3)</f>
        <v>155679.8</v>
      </c>
      <c r="G20" s="258"/>
      <c r="H20" s="258">
        <f>SUM(H17:H19)</f>
        <v>152916.94</v>
      </c>
      <c r="I20" s="258"/>
      <c r="J20" s="260">
        <f>F20-H20</f>
        <v>2762.859999999986</v>
      </c>
    </row>
    <row r="21" spans="6:10" ht="12.75">
      <c r="F21" s="258"/>
      <c r="G21" s="258"/>
      <c r="H21" s="258"/>
      <c r="I21" s="258"/>
      <c r="J21" s="258"/>
    </row>
    <row r="22" spans="2:10" ht="12.75">
      <c r="B22" s="255" t="s">
        <v>264</v>
      </c>
      <c r="F22" s="258"/>
      <c r="G22" s="258"/>
      <c r="H22" s="258"/>
      <c r="I22" s="258"/>
      <c r="J22" s="258"/>
    </row>
    <row r="23" spans="3:10" ht="12.75">
      <c r="C23" s="255" t="s">
        <v>503</v>
      </c>
      <c r="F23" s="262">
        <v>1250</v>
      </c>
      <c r="G23" s="258"/>
      <c r="H23" s="262">
        <v>1130</v>
      </c>
      <c r="I23" s="258"/>
      <c r="J23" s="262">
        <v>120</v>
      </c>
    </row>
    <row r="24" spans="4:10" ht="15" customHeight="1">
      <c r="D24" s="255" t="s">
        <v>220</v>
      </c>
      <c r="F24" s="257">
        <v>150700</v>
      </c>
      <c r="G24" s="258"/>
      <c r="H24" s="257">
        <f>H20+H23</f>
        <v>154046.94</v>
      </c>
      <c r="I24" s="258"/>
      <c r="J24" s="257">
        <v>6076</v>
      </c>
    </row>
    <row r="25" spans="4:10" ht="15" customHeight="1">
      <c r="D25" s="255"/>
      <c r="F25" s="263"/>
      <c r="G25" s="258"/>
      <c r="H25" s="263"/>
      <c r="I25" s="258"/>
      <c r="J25" s="263"/>
    </row>
    <row r="26" spans="1:10" ht="12.75">
      <c r="A26" s="255" t="s">
        <v>504</v>
      </c>
      <c r="E26" s="255"/>
      <c r="F26" s="263">
        <v>-2500</v>
      </c>
      <c r="G26" s="264"/>
      <c r="H26" s="263">
        <f>H13-H24</f>
        <v>-7044.940000000002</v>
      </c>
      <c r="I26" s="264"/>
      <c r="J26" s="263">
        <v>4878</v>
      </c>
    </row>
    <row r="27" spans="1:10" ht="12.75">
      <c r="A27" s="255"/>
      <c r="E27" s="255"/>
      <c r="F27" s="263"/>
      <c r="G27" s="264"/>
      <c r="H27" s="263"/>
      <c r="I27" s="264"/>
      <c r="J27" s="263"/>
    </row>
    <row r="28" spans="1:10" ht="12.75">
      <c r="A28" s="255" t="s">
        <v>460</v>
      </c>
      <c r="E28" s="255"/>
      <c r="F28" s="263"/>
      <c r="G28" s="264"/>
      <c r="H28" s="263"/>
      <c r="I28" s="264"/>
      <c r="J28" s="263"/>
    </row>
    <row r="29" spans="1:10" ht="12.75">
      <c r="A29" s="255"/>
      <c r="B29" s="21" t="s">
        <v>309</v>
      </c>
      <c r="E29" s="19"/>
      <c r="F29" s="241">
        <v>2500</v>
      </c>
      <c r="G29" s="19"/>
      <c r="H29" s="241">
        <v>1024</v>
      </c>
      <c r="I29" s="19"/>
      <c r="J29" s="262">
        <v>-1476</v>
      </c>
    </row>
    <row r="31" ht="12.75">
      <c r="A31" s="21" t="s">
        <v>505</v>
      </c>
    </row>
    <row r="32" spans="1:10" ht="13.5" thickBot="1">
      <c r="A32" s="21" t="s">
        <v>483</v>
      </c>
      <c r="F32" s="243">
        <v>0</v>
      </c>
      <c r="G32" s="245"/>
      <c r="H32" s="244">
        <f>SUM(H26:H31)</f>
        <v>-6020.940000000002</v>
      </c>
      <c r="I32" s="245"/>
      <c r="J32" s="243">
        <v>3402</v>
      </c>
    </row>
    <row r="33" ht="13.5" thickTop="1"/>
    <row r="34" spans="1:10" ht="12.75">
      <c r="A34" s="255" t="s">
        <v>506</v>
      </c>
      <c r="F34" s="258"/>
      <c r="G34" s="258"/>
      <c r="H34" s="258"/>
      <c r="I34" s="258"/>
      <c r="J34" s="258"/>
    </row>
    <row r="35" spans="1:10" ht="12.75">
      <c r="A35" s="255" t="s">
        <v>507</v>
      </c>
      <c r="F35" s="258"/>
      <c r="G35" s="258"/>
      <c r="H35" s="258"/>
      <c r="I35" s="258"/>
      <c r="J35" s="258"/>
    </row>
    <row r="37" ht="12.75">
      <c r="A37" s="255" t="s">
        <v>486</v>
      </c>
    </row>
    <row r="38" spans="1:8" ht="12.75">
      <c r="A38" s="255"/>
      <c r="B38" s="21" t="s">
        <v>73</v>
      </c>
      <c r="H38" s="21">
        <f>'Cash Flow-Prop'!C39</f>
        <v>-8.489999999999998</v>
      </c>
    </row>
    <row r="39" spans="1:8" ht="12.75">
      <c r="A39" s="255"/>
      <c r="B39" s="255" t="s">
        <v>487</v>
      </c>
      <c r="C39" s="235"/>
      <c r="D39" s="235"/>
      <c r="E39" s="235"/>
      <c r="H39" s="21">
        <f>'Cash Flow-Prop'!C41</f>
        <v>1656.2599999999993</v>
      </c>
    </row>
    <row r="40" spans="1:8" ht="12.75">
      <c r="A40" s="255"/>
      <c r="B40" s="255" t="s">
        <v>488</v>
      </c>
      <c r="C40" s="235"/>
      <c r="D40" s="235"/>
      <c r="E40" s="235"/>
      <c r="H40" s="21">
        <f>'Cash Flow-Prop'!C42</f>
        <v>-30303.7</v>
      </c>
    </row>
    <row r="41" spans="1:8" ht="12.75">
      <c r="A41" s="255"/>
      <c r="B41" s="255" t="s">
        <v>508</v>
      </c>
      <c r="C41" s="235"/>
      <c r="D41" s="235"/>
      <c r="E41" s="235"/>
      <c r="H41" s="21">
        <f>'Cash Flow-Prop'!C43</f>
        <v>-1089.7999999999997</v>
      </c>
    </row>
    <row r="42" spans="1:8" ht="12.75" hidden="1">
      <c r="A42" s="255"/>
      <c r="B42" s="265" t="s">
        <v>490</v>
      </c>
      <c r="C42" s="246"/>
      <c r="D42" s="246"/>
      <c r="E42" s="246"/>
      <c r="F42" s="247"/>
      <c r="G42" s="247"/>
      <c r="H42" s="248">
        <f>-'[5]Cash Flow-Prop'!C44</f>
        <v>-64.26</v>
      </c>
    </row>
    <row r="43" spans="1:8" ht="12.75" hidden="1">
      <c r="A43" s="255"/>
      <c r="B43" s="265" t="s">
        <v>509</v>
      </c>
      <c r="C43" s="246"/>
      <c r="D43" s="246"/>
      <c r="E43" s="246"/>
      <c r="F43" s="247"/>
      <c r="G43" s="247"/>
      <c r="H43" s="247">
        <f>-'[5]Cash Flow-Prop'!C45</f>
        <v>31.98</v>
      </c>
    </row>
    <row r="44" spans="1:8" ht="12.75">
      <c r="A44" s="255"/>
      <c r="B44" s="255" t="s">
        <v>510</v>
      </c>
      <c r="C44" s="235"/>
      <c r="D44" s="235"/>
      <c r="E44" s="235"/>
      <c r="H44" s="21">
        <f>'Cash Flow-Prop'!C46</f>
        <v>33357.240000000005</v>
      </c>
    </row>
    <row r="45" spans="1:8" ht="12.75" hidden="1">
      <c r="A45" s="255"/>
      <c r="B45" s="265" t="s">
        <v>511</v>
      </c>
      <c r="C45" s="246"/>
      <c r="D45" s="246"/>
      <c r="E45" s="246"/>
      <c r="F45" s="247"/>
      <c r="G45" s="247"/>
      <c r="H45" s="247">
        <f>-'[5]Cash Flow-Prop'!C47</f>
        <v>-25460.58</v>
      </c>
    </row>
    <row r="46" spans="2:10" ht="12.75">
      <c r="B46" s="255" t="s">
        <v>431</v>
      </c>
      <c r="F46" s="258"/>
      <c r="G46" s="258"/>
      <c r="H46" s="258">
        <v>1130</v>
      </c>
      <c r="I46" s="258"/>
      <c r="J46" s="258"/>
    </row>
    <row r="47" spans="2:10" ht="12.75">
      <c r="B47" s="255" t="s">
        <v>512</v>
      </c>
      <c r="F47" s="258"/>
      <c r="G47" s="258"/>
      <c r="H47" s="258">
        <v>-170</v>
      </c>
      <c r="I47" s="258"/>
      <c r="J47" s="258"/>
    </row>
    <row r="48" spans="2:10" ht="12.75">
      <c r="B48" s="255" t="s">
        <v>39</v>
      </c>
      <c r="F48" s="258"/>
      <c r="G48" s="258"/>
      <c r="H48" s="263">
        <v>-300</v>
      </c>
      <c r="I48" s="258"/>
      <c r="J48" s="258"/>
    </row>
    <row r="49" spans="1:10" ht="13.5" thickBot="1">
      <c r="A49" s="255" t="s">
        <v>156</v>
      </c>
      <c r="F49" s="258"/>
      <c r="G49" s="264"/>
      <c r="H49" s="266">
        <f>H32+SUM(H38:H48)-H43-H42-H45</f>
        <v>-1749.4299999999967</v>
      </c>
      <c r="I49" s="267"/>
      <c r="J49" s="267"/>
    </row>
    <row r="50" spans="6:10" ht="13.5" thickTop="1">
      <c r="F50" s="258"/>
      <c r="G50" s="258"/>
      <c r="H50" s="258"/>
      <c r="I50" s="258"/>
      <c r="J50" s="258"/>
    </row>
    <row r="51" spans="7:10" ht="12.75">
      <c r="G51" s="258"/>
      <c r="H51" s="258"/>
      <c r="I51" s="258"/>
      <c r="J51" s="258"/>
    </row>
    <row r="52" spans="7:10" ht="12.75">
      <c r="G52" s="258"/>
      <c r="H52" s="258"/>
      <c r="I52" s="258"/>
      <c r="J52" s="258"/>
    </row>
    <row r="95" ht="15.75" customHeight="1"/>
  </sheetData>
  <sheetProtection/>
  <printOptions horizontalCentered="1"/>
  <pageMargins left="0.75" right="0.75" top="1" bottom="1" header="0.5" footer="0.5"/>
  <pageSetup firstPageNumber="19" useFirstPageNumber="1" fitToHeight="0"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58"/>
  <sheetViews>
    <sheetView showGridLines="0" zoomScale="115" zoomScaleNormal="115" zoomScalePageLayoutView="0" workbookViewId="0" topLeftCell="A1">
      <selection activeCell="B28" sqref="B28"/>
    </sheetView>
  </sheetViews>
  <sheetFormatPr defaultColWidth="11.7109375" defaultRowHeight="12.75"/>
  <cols>
    <col min="1" max="1" width="33.57421875" style="268" customWidth="1"/>
    <col min="2" max="2" width="9.421875" style="268" customWidth="1"/>
    <col min="3" max="4" width="8.00390625" style="268" customWidth="1"/>
    <col min="5" max="5" width="9.8515625" style="268" customWidth="1"/>
    <col min="6" max="7" width="8.00390625" style="268" customWidth="1"/>
    <col min="8" max="8" width="10.140625" style="268" bestFit="1" customWidth="1"/>
    <col min="9" max="10" width="8.00390625" style="268" customWidth="1"/>
    <col min="11" max="11" width="10.28125" style="268" customWidth="1"/>
    <col min="12" max="13" width="8.00390625" style="268" customWidth="1"/>
    <col min="14" max="14" width="1.7109375" style="268" customWidth="1"/>
    <col min="15" max="15" width="26.28125" style="268" bestFit="1" customWidth="1"/>
    <col min="16" max="16384" width="11.7109375" style="268" customWidth="1"/>
  </cols>
  <sheetData>
    <row r="1" ht="11.25">
      <c r="A1" s="268" t="s">
        <v>314</v>
      </c>
    </row>
    <row r="2" ht="11.25">
      <c r="A2" s="268" t="s">
        <v>513</v>
      </c>
    </row>
    <row r="3" ht="11.25">
      <c r="A3" s="269" t="s">
        <v>557</v>
      </c>
    </row>
    <row r="4" ht="11.25">
      <c r="K4" s="412" t="s">
        <v>514</v>
      </c>
    </row>
    <row r="5" spans="2:11" ht="11.25" customHeight="1">
      <c r="B5" s="412" t="s">
        <v>515</v>
      </c>
      <c r="E5" s="412" t="s">
        <v>516</v>
      </c>
      <c r="K5" s="326"/>
    </row>
    <row r="6" spans="2:15" ht="11.25" customHeight="1">
      <c r="B6" s="412"/>
      <c r="C6" s="410" t="s">
        <v>517</v>
      </c>
      <c r="D6" s="411"/>
      <c r="E6" s="412"/>
      <c r="F6" s="410" t="s">
        <v>517</v>
      </c>
      <c r="G6" s="411"/>
      <c r="I6" s="410" t="s">
        <v>517</v>
      </c>
      <c r="J6" s="411"/>
      <c r="K6" s="326"/>
      <c r="L6" s="410" t="s">
        <v>517</v>
      </c>
      <c r="M6" s="411"/>
      <c r="N6" s="270"/>
      <c r="O6" s="271" t="s">
        <v>518</v>
      </c>
    </row>
    <row r="7" spans="2:15" ht="11.25" customHeight="1">
      <c r="B7" s="412"/>
      <c r="E7" s="412"/>
      <c r="K7" s="326"/>
      <c r="O7" s="272" t="s">
        <v>519</v>
      </c>
    </row>
    <row r="8" spans="1:15" ht="11.25" customHeight="1">
      <c r="A8" s="273" t="s">
        <v>520</v>
      </c>
      <c r="B8" s="412"/>
      <c r="C8" s="274" t="s">
        <v>521</v>
      </c>
      <c r="D8" s="274" t="s">
        <v>522</v>
      </c>
      <c r="E8" s="412"/>
      <c r="F8" s="274" t="s">
        <v>521</v>
      </c>
      <c r="G8" s="274" t="s">
        <v>522</v>
      </c>
      <c r="H8" s="273" t="s">
        <v>523</v>
      </c>
      <c r="I8" s="274" t="s">
        <v>521</v>
      </c>
      <c r="J8" s="274" t="s">
        <v>522</v>
      </c>
      <c r="K8" s="326"/>
      <c r="L8" s="274" t="s">
        <v>521</v>
      </c>
      <c r="M8" s="274" t="s">
        <v>522</v>
      </c>
      <c r="N8" s="274"/>
      <c r="O8" s="274" t="s">
        <v>524</v>
      </c>
    </row>
    <row r="10" spans="1:15" ht="11.25">
      <c r="A10" s="268" t="s">
        <v>253</v>
      </c>
      <c r="B10" s="268">
        <f>GASB34GovtFundsBS!B15</f>
        <v>307790.8</v>
      </c>
      <c r="C10" s="272" t="s">
        <v>525</v>
      </c>
      <c r="D10" s="272" t="s">
        <v>525</v>
      </c>
      <c r="E10" s="268">
        <f>GASB34GovtFundsBS!B21+GASB34GovtFundsBS!B23</f>
        <v>133600</v>
      </c>
      <c r="F10" s="272" t="s">
        <v>525</v>
      </c>
      <c r="G10" s="272" t="s">
        <v>525</v>
      </c>
      <c r="H10" s="268">
        <f>GASB34GovtFundsIS!D17</f>
        <v>33104537</v>
      </c>
      <c r="I10" s="272" t="s">
        <v>525</v>
      </c>
      <c r="J10" s="272" t="s">
        <v>525</v>
      </c>
      <c r="K10" s="268">
        <f>GASB34GovtFundsIS!D47</f>
        <v>32957601.2</v>
      </c>
      <c r="L10" s="272" t="s">
        <v>525</v>
      </c>
      <c r="M10" s="272" t="s">
        <v>525</v>
      </c>
      <c r="O10" s="275" t="s">
        <v>526</v>
      </c>
    </row>
    <row r="12" ht="11.25">
      <c r="A12" s="269" t="s">
        <v>527</v>
      </c>
    </row>
    <row r="13" spans="1:15" ht="11.25">
      <c r="A13" s="276" t="s">
        <v>254</v>
      </c>
      <c r="B13" s="268">
        <f>GASB34GovtFundsBS!C15</f>
        <v>200300</v>
      </c>
      <c r="C13" s="277" t="str">
        <f>IF(B13&gt;B$22,"X","-")</f>
        <v>X</v>
      </c>
      <c r="D13" s="277" t="str">
        <f>IF(B13&gt;B$36,"X","-")</f>
        <v>X</v>
      </c>
      <c r="E13" s="268">
        <f>GASB34GovtFundsBS!C21+GASB34GovtFundsBS!C23</f>
        <v>200300</v>
      </c>
      <c r="F13" s="277" t="str">
        <f>IF(E13&gt;E$22,"X","-")</f>
        <v>X</v>
      </c>
      <c r="G13" s="277" t="str">
        <f>IF(E13&gt;E$36,"X","-")</f>
        <v>X</v>
      </c>
      <c r="H13" s="268">
        <f>GASB34GovtFundsIS!E17</f>
        <v>118964714</v>
      </c>
      <c r="I13" s="277" t="str">
        <f>IF(H13&gt;H$22,"X","-")</f>
        <v>X</v>
      </c>
      <c r="J13" s="277" t="str">
        <f>IF(H13&gt;H$36,"X","-")</f>
        <v>X</v>
      </c>
      <c r="K13" s="268">
        <f>GASB34GovtFundsIS!E47</f>
        <v>118950714</v>
      </c>
      <c r="L13" s="277" t="str">
        <f>IF(K13&gt;K$22,"X","-")</f>
        <v>X</v>
      </c>
      <c r="M13" s="277" t="str">
        <f>IF(K13&gt;K$36,"X","-")</f>
        <v>X</v>
      </c>
      <c r="O13" s="277" t="str">
        <f>IF(OR(AND(C13="X",D13="X"),AND(F13="X",G13="X"),AND(I13="X",J13="X"),AND(L13="X",M13="X")),"MAJOR","-")</f>
        <v>MAJOR</v>
      </c>
    </row>
    <row r="14" spans="1:15" ht="11.25">
      <c r="A14" s="276" t="s">
        <v>167</v>
      </c>
      <c r="B14" s="268">
        <f>GASB34GovtFundsBS!D15</f>
        <v>100072</v>
      </c>
      <c r="C14" s="277" t="str">
        <f>IF(B14&gt;B$22,"X","-")</f>
        <v>X</v>
      </c>
      <c r="D14" s="277" t="str">
        <f>IF(B14&gt;B$36,"X","-")</f>
        <v>X</v>
      </c>
      <c r="E14" s="278">
        <f>GASB34GovtFundsBS!D21+GASB34GovtFundsBS!D23</f>
        <v>0</v>
      </c>
      <c r="F14" s="277" t="str">
        <f>IF(E14&gt;E$22,"X","-")</f>
        <v>-</v>
      </c>
      <c r="G14" s="277" t="str">
        <f>IF(E14&gt;E$36,"X","-")</f>
        <v>-</v>
      </c>
      <c r="H14" s="268">
        <f>GASB34GovtFundsIS!F17</f>
        <v>726000</v>
      </c>
      <c r="I14" s="277" t="str">
        <f>IF(H14&gt;H$22,"X","-")</f>
        <v>-</v>
      </c>
      <c r="J14" s="277" t="str">
        <f>IF(H14&gt;H$36,"X","-")</f>
        <v>-</v>
      </c>
      <c r="K14" s="268">
        <f>GASB34GovtFundsIS!F47</f>
        <v>644028</v>
      </c>
      <c r="L14" s="277" t="str">
        <f>IF(K14&gt;K$22,"X","-")</f>
        <v>-</v>
      </c>
      <c r="M14" s="277" t="str">
        <f>IF(K14&gt;K$36,"X","-")</f>
        <v>-</v>
      </c>
      <c r="O14" s="277" t="str">
        <f>IF(OR(AND(C14="X",D14="X"),AND(F14="X",G14="X"),AND(I14="X",J14="X"),AND(L14="X",M14="X")),"MAJOR","-")</f>
        <v>MAJOR</v>
      </c>
    </row>
    <row r="15" spans="1:15" ht="11.25">
      <c r="A15" s="276" t="s">
        <v>428</v>
      </c>
      <c r="B15" s="268">
        <f>GASB34GovtFundsBS!F15</f>
        <v>30800</v>
      </c>
      <c r="C15" s="277" t="str">
        <f>IF(B15&gt;B$22,"X","-")</f>
        <v>-</v>
      </c>
      <c r="D15" s="277" t="str">
        <f>IF(B15&gt;B$36,"X","-")</f>
        <v>-</v>
      </c>
      <c r="E15" s="268">
        <f>GASB34GovtFundsBS!F21+GASB34GovtFundsBS!F23</f>
        <v>30800</v>
      </c>
      <c r="F15" s="277" t="str">
        <f>IF(E15&gt;E$22,"X","-")</f>
        <v>-</v>
      </c>
      <c r="G15" s="277" t="str">
        <f>IF(E15&gt;E$36,"X","-")</f>
        <v>-</v>
      </c>
      <c r="H15" s="268">
        <f>GASB34GovtFundsIS!H17</f>
        <v>197774</v>
      </c>
      <c r="I15" s="277" t="str">
        <f>IF(H15&gt;H$22,"X","-")</f>
        <v>-</v>
      </c>
      <c r="J15" s="277" t="str">
        <f>IF(H15&gt;H$36,"X","-")</f>
        <v>-</v>
      </c>
      <c r="K15" s="268">
        <f>GASB34GovtFundsIS!H47</f>
        <v>197774</v>
      </c>
      <c r="L15" s="277" t="str">
        <f>IF(K15&gt;K$22,"X","-")</f>
        <v>-</v>
      </c>
      <c r="M15" s="277" t="str">
        <f>IF(K15&gt;K$36,"X","-")</f>
        <v>-</v>
      </c>
      <c r="O15" s="277" t="str">
        <f>IF(OR(AND(C15="X",D15="X"),AND(F15="X",G15="X"),AND(I15="X",J15="X"),AND(L15="X",M15="X")),"MAJOR","-")</f>
        <v>-</v>
      </c>
    </row>
    <row r="17" ht="11.25">
      <c r="A17" s="268" t="s">
        <v>528</v>
      </c>
    </row>
    <row r="18" spans="1:15" ht="11.25">
      <c r="A18" s="276" t="s">
        <v>433</v>
      </c>
      <c r="B18" s="268">
        <f>GASB34GovtFundsBS!E15</f>
        <v>262700</v>
      </c>
      <c r="C18" s="277" t="str">
        <f>IF(B18&gt;B$22,"X","-")</f>
        <v>X</v>
      </c>
      <c r="D18" s="277" t="str">
        <f>IF(B18&gt;B$36,"X","-")</f>
        <v>X</v>
      </c>
      <c r="E18" s="268">
        <f>GASB34GovtFundsBS!E21+GASB34GovtFundsBS!E23</f>
        <v>36700</v>
      </c>
      <c r="F18" s="277" t="str">
        <f>IF(E18&gt;E$22,"X","-")</f>
        <v>-</v>
      </c>
      <c r="G18" s="277" t="str">
        <f>IF(E18&gt;E$36,"X","-")</f>
        <v>X</v>
      </c>
      <c r="H18" s="268">
        <f>GASB34GovtFundsIS!G17</f>
        <v>8910557</v>
      </c>
      <c r="I18" s="277" t="str">
        <f>IF(H18&gt;H$22,"X","-")</f>
        <v>-</v>
      </c>
      <c r="J18" s="277" t="str">
        <f>IF(H18&gt;H$36,"X","-")</f>
        <v>X</v>
      </c>
      <c r="K18" s="268">
        <f>GASB34GovtFundsIS!G47</f>
        <v>9063428</v>
      </c>
      <c r="L18" s="277" t="str">
        <f>IF(K18&gt;K$22,"X","-")</f>
        <v>-</v>
      </c>
      <c r="M18" s="277" t="str">
        <f>IF(K18&gt;K$36,"X","-")</f>
        <v>X</v>
      </c>
      <c r="O18" s="277" t="str">
        <f>IF(OR(AND(C18="X",D18="X"),AND(F18="X",G18="X"),AND(I18="X",J18="X"),AND(L18="X",M18="X")),"MAJOR","-")</f>
        <v>MAJOR</v>
      </c>
    </row>
    <row r="19" ht="11.25">
      <c r="A19" s="276"/>
    </row>
    <row r="20" spans="1:11" ht="12" thickBot="1">
      <c r="A20" s="279" t="s">
        <v>170</v>
      </c>
      <c r="B20" s="280">
        <f>SUM(B10:B19)</f>
        <v>901662.8</v>
      </c>
      <c r="E20" s="280">
        <f>SUM(E10:E19)</f>
        <v>401400</v>
      </c>
      <c r="H20" s="280">
        <f>SUM(H10:H19)</f>
        <v>161903582</v>
      </c>
      <c r="K20" s="280">
        <f>SUM(K10:K19)</f>
        <v>161813545.2</v>
      </c>
    </row>
    <row r="21" ht="12" thickTop="1">
      <c r="A21" s="276"/>
    </row>
    <row r="22" spans="1:11" ht="12" thickBot="1">
      <c r="A22" s="269" t="s">
        <v>529</v>
      </c>
      <c r="B22" s="281">
        <f>ROUND(B20*0.1,0)</f>
        <v>90166</v>
      </c>
      <c r="E22" s="281">
        <f>ROUND(E20*0.1,0)</f>
        <v>40140</v>
      </c>
      <c r="H22" s="281">
        <f>ROUND(H20*0.1,0)</f>
        <v>16190358</v>
      </c>
      <c r="K22" s="281">
        <f>ROUND(K20*0.1,0)</f>
        <v>16181355</v>
      </c>
    </row>
    <row r="23" ht="12" thickTop="1">
      <c r="A23" s="282"/>
    </row>
    <row r="24" ht="11.25">
      <c r="A24" s="282"/>
    </row>
    <row r="25" ht="11.25">
      <c r="A25" s="279" t="s">
        <v>530</v>
      </c>
    </row>
    <row r="26" spans="1:15" ht="11.25">
      <c r="A26" s="276" t="s">
        <v>468</v>
      </c>
      <c r="B26" s="268">
        <f>'Net Pos-Prop'!B24+'Net Pos-Prop'!B26</f>
        <v>563568.51</v>
      </c>
      <c r="C26" s="277" t="str">
        <f>IF(B26&gt;B$31,"X","-")</f>
        <v>X</v>
      </c>
      <c r="D26" s="277" t="str">
        <f>IF(B26&gt;B$36,"X","-")</f>
        <v>X</v>
      </c>
      <c r="E26" s="268">
        <f>'Net Pos-Prop'!B42+'Net Pos-Prop'!B44</f>
        <v>229009.70500000002</v>
      </c>
      <c r="F26" s="277" t="str">
        <f>IF(E26&gt;E$31,"X","-")</f>
        <v>X</v>
      </c>
      <c r="G26" s="277" t="str">
        <f>IF(E26&gt;E$36,"X","-")</f>
        <v>X</v>
      </c>
      <c r="H26" s="268">
        <f>'Rev, exp-Prop'!B13</f>
        <v>406290</v>
      </c>
      <c r="I26" s="277" t="str">
        <f>IF(H26&gt;H$31,"X","-")</f>
        <v>X</v>
      </c>
      <c r="J26" s="277" t="str">
        <f>IF(H26&gt;H$36,"X","-")</f>
        <v>-</v>
      </c>
      <c r="K26" s="268">
        <f>'Rev, exp-Prop'!B26</f>
        <v>1056736.4</v>
      </c>
      <c r="L26" s="277" t="str">
        <f>IF(K26&gt;K$31,"X","-")</f>
        <v>X</v>
      </c>
      <c r="M26" s="277" t="str">
        <f>IF(K26&gt;K$36,"X","-")</f>
        <v>-</v>
      </c>
      <c r="O26" s="277" t="str">
        <f>IF(OR(AND(C26="X",D26="X"),AND(F26="X",G26="X"),AND(I26="X",J26="X"),AND(L26="X",M26="X")),"MAJOR","-")</f>
        <v>MAJOR</v>
      </c>
    </row>
    <row r="27" spans="1:15" ht="11.25">
      <c r="A27" s="276" t="s">
        <v>498</v>
      </c>
      <c r="B27" s="268">
        <f>'Net Pos-Prop'!C24+'Net Pos-Prop'!C26</f>
        <v>37588.79</v>
      </c>
      <c r="C27" s="277" t="str">
        <f>IF(B27&gt;B$31,"X","-")</f>
        <v>-</v>
      </c>
      <c r="D27" s="277" t="str">
        <f>IF(B27&gt;B$36,"X","-")</f>
        <v>-</v>
      </c>
      <c r="E27" s="268">
        <f>'Net Pos-Prop'!C42+'Net Pos-Prop'!C44</f>
        <v>101634.445</v>
      </c>
      <c r="F27" s="277" t="str">
        <f>IF(E27&gt;E$31,"X","-")</f>
        <v>X</v>
      </c>
      <c r="G27" s="277" t="str">
        <f>IF(E27&gt;E$36,"X","-")</f>
        <v>X</v>
      </c>
      <c r="H27" s="268">
        <f>'Rev, exp-Prop'!C13</f>
        <v>147002</v>
      </c>
      <c r="I27" s="277" t="str">
        <f>IF(H27&gt;H$31,"X","-")</f>
        <v>X</v>
      </c>
      <c r="J27" s="277" t="str">
        <f>IF(H27&gt;H$36,"X","-")</f>
        <v>-</v>
      </c>
      <c r="K27" s="268">
        <f>'Rev, exp-Prop'!C26</f>
        <v>157282.6</v>
      </c>
      <c r="L27" s="277" t="str">
        <f>IF(K27&gt;K$31,"X","-")</f>
        <v>X</v>
      </c>
      <c r="M27" s="277" t="str">
        <f>IF(K27&gt;K$36,"X","-")</f>
        <v>-</v>
      </c>
      <c r="O27" s="277" t="str">
        <f>IF(OR(AND(C27="X",D27="X"),AND(F27="X",G27="X"),AND(I27="X",J27="X"),AND(L27="X",M27="X")),"MAJOR","-")</f>
        <v>MAJOR</v>
      </c>
    </row>
    <row r="28" ht="11.25">
      <c r="A28" s="282"/>
    </row>
    <row r="29" spans="1:11" ht="12" thickBot="1">
      <c r="A29" s="279" t="s">
        <v>531</v>
      </c>
      <c r="B29" s="280">
        <f>SUM(B26:B28)</f>
        <v>601157.3</v>
      </c>
      <c r="E29" s="280">
        <f>SUM(E26:E28)</f>
        <v>330644.15</v>
      </c>
      <c r="H29" s="280">
        <f>SUM(H26:H28)</f>
        <v>553292</v>
      </c>
      <c r="K29" s="280">
        <f>SUM(K26:K28)</f>
        <v>1214019</v>
      </c>
    </row>
    <row r="30" ht="12" thickTop="1">
      <c r="A30" s="269"/>
    </row>
    <row r="31" spans="1:11" ht="12" thickBot="1">
      <c r="A31" s="269" t="s">
        <v>532</v>
      </c>
      <c r="B31" s="281">
        <f>ROUND(B29*0.1,0)</f>
        <v>60116</v>
      </c>
      <c r="E31" s="281">
        <f>ROUND(E29*0.1,0)</f>
        <v>33064</v>
      </c>
      <c r="H31" s="281">
        <f>ROUND(H29*0.1,0)</f>
        <v>55329</v>
      </c>
      <c r="K31" s="281">
        <f>ROUND(K29*0.1,0)</f>
        <v>121402</v>
      </c>
    </row>
    <row r="32" ht="12" thickTop="1">
      <c r="A32" s="282"/>
    </row>
    <row r="33" ht="11.25">
      <c r="A33" s="282"/>
    </row>
    <row r="34" spans="1:11" ht="12" thickBot="1">
      <c r="A34" s="269" t="s">
        <v>533</v>
      </c>
      <c r="B34" s="280">
        <f>+B20+B29</f>
        <v>1502820.1</v>
      </c>
      <c r="E34" s="280">
        <f>+E20+E29</f>
        <v>732044.15</v>
      </c>
      <c r="H34" s="280">
        <f>+H20+H29</f>
        <v>162456874</v>
      </c>
      <c r="K34" s="280">
        <f>+K20+K29</f>
        <v>163027564.2</v>
      </c>
    </row>
    <row r="35" ht="12" thickTop="1">
      <c r="A35" s="269"/>
    </row>
    <row r="36" spans="1:11" ht="12" thickBot="1">
      <c r="A36" s="269" t="s">
        <v>534</v>
      </c>
      <c r="B36" s="281">
        <f>ROUND(B34*0.05,0)</f>
        <v>75141</v>
      </c>
      <c r="E36" s="281">
        <f>ROUND(E34*0.05,0)</f>
        <v>36602</v>
      </c>
      <c r="H36" s="281">
        <f>ROUND(H34*0.05,0)</f>
        <v>8122844</v>
      </c>
      <c r="K36" s="281">
        <f>ROUND(K34*0.05,0)</f>
        <v>8151378</v>
      </c>
    </row>
    <row r="37" ht="12" thickTop="1">
      <c r="A37" s="282"/>
    </row>
    <row r="38" ht="11.25">
      <c r="A38" s="279" t="s">
        <v>535</v>
      </c>
    </row>
    <row r="39" spans="1:11" ht="11.25">
      <c r="A39" s="276" t="s">
        <v>253</v>
      </c>
      <c r="B39" s="268">
        <f>B10</f>
        <v>307790.8</v>
      </c>
      <c r="E39" s="268">
        <f>117500+16100</f>
        <v>133600</v>
      </c>
      <c r="H39" s="268">
        <v>33104537</v>
      </c>
      <c r="K39" s="268">
        <v>32957601</v>
      </c>
    </row>
    <row r="40" spans="1:11" ht="11.25">
      <c r="A40" s="282" t="s">
        <v>536</v>
      </c>
      <c r="B40" s="268">
        <f>20300+100072+30800</f>
        <v>151172</v>
      </c>
      <c r="E40" s="268">
        <f>200300+30800</f>
        <v>231100</v>
      </c>
      <c r="H40" s="268">
        <f>118964714+726000+197774</f>
        <v>119888488</v>
      </c>
      <c r="K40" s="268">
        <f>118950714+644028+197774</f>
        <v>119792516</v>
      </c>
    </row>
    <row r="41" spans="1:11" ht="11.25">
      <c r="A41" s="282" t="s">
        <v>537</v>
      </c>
      <c r="B41" s="268">
        <f>262700</f>
        <v>262700</v>
      </c>
      <c r="E41" s="268">
        <v>36700</v>
      </c>
      <c r="H41" s="268">
        <v>8910557</v>
      </c>
      <c r="K41" s="268">
        <v>9063428</v>
      </c>
    </row>
    <row r="42" spans="1:11" ht="11.25">
      <c r="A42" s="282" t="s">
        <v>15</v>
      </c>
      <c r="B42" s="310">
        <v>604626</v>
      </c>
      <c r="E42" s="310">
        <v>208609</v>
      </c>
      <c r="H42" s="268">
        <v>553292</v>
      </c>
      <c r="K42" s="310">
        <v>1187131</v>
      </c>
    </row>
    <row r="43" spans="1:11" ht="12" thickBot="1">
      <c r="A43" s="269" t="s">
        <v>533</v>
      </c>
      <c r="B43" s="280">
        <f>SUM(B39:B42)</f>
        <v>1326288.8</v>
      </c>
      <c r="E43" s="280">
        <f>SUM(E39:E42)</f>
        <v>610009</v>
      </c>
      <c r="H43" s="280">
        <f>SUM(H39:H42)</f>
        <v>162456874</v>
      </c>
      <c r="K43" s="280">
        <f>SUM(K39:K42)</f>
        <v>163000676</v>
      </c>
    </row>
    <row r="44" ht="12" thickTop="1">
      <c r="A44" s="269"/>
    </row>
    <row r="45" spans="1:11" ht="12" thickBot="1">
      <c r="A45" s="279" t="s">
        <v>538</v>
      </c>
      <c r="B45" s="280">
        <f>+B34-B43</f>
        <v>176531.30000000005</v>
      </c>
      <c r="E45" s="280">
        <f>+E34-E43</f>
        <v>122035.15000000002</v>
      </c>
      <c r="H45" s="280">
        <f>+H34-H43</f>
        <v>0</v>
      </c>
      <c r="K45" s="280">
        <f>+K34-K43</f>
        <v>26888.19999998808</v>
      </c>
    </row>
    <row r="46" ht="12" thickTop="1">
      <c r="A46" s="282"/>
    </row>
    <row r="47" ht="11.25">
      <c r="A47" s="279"/>
    </row>
    <row r="50" ht="11.25">
      <c r="A50" s="276"/>
    </row>
    <row r="51" ht="11.25">
      <c r="A51" s="283"/>
    </row>
    <row r="52" ht="11.25">
      <c r="A52" s="276"/>
    </row>
    <row r="53" ht="11.25">
      <c r="A53" s="283"/>
    </row>
    <row r="54" ht="11.25">
      <c r="A54" s="283"/>
    </row>
    <row r="55" ht="11.25">
      <c r="A55" s="283"/>
    </row>
    <row r="58" ht="11.25">
      <c r="A58" s="276"/>
    </row>
  </sheetData>
  <sheetProtection/>
  <mergeCells count="7">
    <mergeCell ref="L6:M6"/>
    <mergeCell ref="K4:K8"/>
    <mergeCell ref="B5:B8"/>
    <mergeCell ref="E5:E8"/>
    <mergeCell ref="C6:D6"/>
    <mergeCell ref="F6:G6"/>
    <mergeCell ref="I6:J6"/>
  </mergeCells>
  <printOptions horizontalCentered="1"/>
  <pageMargins left="0.75" right="0.75" top="1" bottom="1" header="0.5" footer="0.5"/>
  <pageSetup firstPageNumber="19" useFirstPageNumber="1" fitToHeight="1" fitToWidth="1" horizontalDpi="600" verticalDpi="600" orientation="landscape" scale="74" r:id="rId1"/>
  <rowBreaks count="1" manualBreakCount="1">
    <brk id="36" max="255" man="1"/>
  </rowBreaks>
</worksheet>
</file>

<file path=xl/worksheets/sheet2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B28" sqref="B28"/>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D14"/>
  <sheetViews>
    <sheetView showGridLines="0" zoomScalePageLayoutView="0" workbookViewId="0" topLeftCell="A1">
      <selection activeCell="B28" sqref="B28"/>
    </sheetView>
  </sheetViews>
  <sheetFormatPr defaultColWidth="9.140625" defaultRowHeight="12.75"/>
  <sheetData>
    <row r="1" spans="1:3" ht="12.75">
      <c r="A1" s="284" t="s">
        <v>539</v>
      </c>
      <c r="C1" s="284" t="s">
        <v>540</v>
      </c>
    </row>
    <row r="2" spans="1:3" ht="12.75">
      <c r="A2" s="284" t="s">
        <v>541</v>
      </c>
      <c r="C2" s="284" t="s">
        <v>542</v>
      </c>
    </row>
    <row r="3" spans="1:4" ht="12.75">
      <c r="A3" s="284" t="s">
        <v>543</v>
      </c>
      <c r="C3" s="284" t="s">
        <v>544</v>
      </c>
      <c r="D3" s="284" t="s">
        <v>545</v>
      </c>
    </row>
    <row r="10" ht="15.75">
      <c r="B10" s="285"/>
    </row>
    <row r="11" ht="15.75">
      <c r="B11" s="285"/>
    </row>
    <row r="12" ht="15.75">
      <c r="B12" s="285"/>
    </row>
    <row r="13" ht="15.75">
      <c r="B13" s="285"/>
    </row>
    <row r="14" ht="15.75">
      <c r="B14" s="285"/>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showGridLines="0" zoomScalePageLayoutView="0" workbookViewId="0" topLeftCell="A1">
      <selection activeCell="G40" sqref="G40:G51"/>
    </sheetView>
  </sheetViews>
  <sheetFormatPr defaultColWidth="9.140625" defaultRowHeight="12.75"/>
  <cols>
    <col min="1" max="1" width="34.7109375" style="19" customWidth="1"/>
    <col min="2" max="5" width="15.7109375" style="19" customWidth="1"/>
    <col min="6" max="6" width="15.57421875" style="19" bestFit="1" customWidth="1"/>
    <col min="7" max="7" width="15.7109375" style="19" customWidth="1"/>
    <col min="8" max="9" width="10.7109375" style="19" bestFit="1" customWidth="1"/>
    <col min="10" max="16384" width="9.140625" style="19" customWidth="1"/>
  </cols>
  <sheetData>
    <row r="1" ht="12.75">
      <c r="G1" s="65" t="s">
        <v>161</v>
      </c>
    </row>
    <row r="2" spans="1:7" ht="12.75">
      <c r="A2" s="311" t="str">
        <f>'[3]GWNetPos'!A2</f>
        <v>Carolina County Board of Education, North Carolina</v>
      </c>
      <c r="B2" s="311"/>
      <c r="C2" s="311"/>
      <c r="D2" s="311"/>
      <c r="E2" s="311"/>
      <c r="F2" s="311"/>
      <c r="G2" s="311"/>
    </row>
    <row r="3" spans="1:7" ht="12.75">
      <c r="A3" s="311" t="s">
        <v>162</v>
      </c>
      <c r="B3" s="311"/>
      <c r="C3" s="311"/>
      <c r="D3" s="311"/>
      <c r="E3" s="311"/>
      <c r="F3" s="311"/>
      <c r="G3" s="311"/>
    </row>
    <row r="4" spans="1:7" ht="12.75">
      <c r="A4" s="311" t="s">
        <v>163</v>
      </c>
      <c r="B4" s="311"/>
      <c r="C4" s="311"/>
      <c r="D4" s="311"/>
      <c r="E4" s="311"/>
      <c r="F4" s="311"/>
      <c r="G4" s="311"/>
    </row>
    <row r="5" spans="1:7" ht="12.75">
      <c r="A5" s="323">
        <v>43646</v>
      </c>
      <c r="B5" s="324"/>
      <c r="C5" s="324"/>
      <c r="D5" s="324"/>
      <c r="E5" s="324"/>
      <c r="F5" s="324"/>
      <c r="G5" s="324"/>
    </row>
    <row r="6" spans="1:7" ht="12.75">
      <c r="A6" s="93"/>
      <c r="B6" s="48"/>
      <c r="C6" s="48"/>
      <c r="D6" s="48"/>
      <c r="E6" s="48"/>
      <c r="F6" s="48"/>
      <c r="G6" s="48"/>
    </row>
    <row r="7" spans="1:7" ht="12.75">
      <c r="A7" s="93"/>
      <c r="B7" s="94" t="s">
        <v>164</v>
      </c>
      <c r="C7" s="95"/>
      <c r="D7" s="95"/>
      <c r="E7" s="96"/>
      <c r="F7" s="24" t="s">
        <v>17</v>
      </c>
      <c r="G7" s="97"/>
    </row>
    <row r="8" spans="2:7" ht="38.25">
      <c r="B8" s="98" t="s">
        <v>165</v>
      </c>
      <c r="C8" s="66" t="s">
        <v>166</v>
      </c>
      <c r="D8" s="66" t="s">
        <v>167</v>
      </c>
      <c r="E8" s="99" t="s">
        <v>168</v>
      </c>
      <c r="F8" s="29" t="s">
        <v>169</v>
      </c>
      <c r="G8" s="29" t="s">
        <v>170</v>
      </c>
    </row>
    <row r="9" ht="12.75">
      <c r="A9" s="23" t="s">
        <v>69</v>
      </c>
    </row>
    <row r="10" spans="1:7" ht="12.75">
      <c r="A10" s="19" t="s">
        <v>70</v>
      </c>
      <c r="B10" s="67">
        <f>158000+40000-(0.8*(48500))-(0.8*(27219))-(0.8*0.5*1260)-(0.8*50000)-(0.8*30000)-(560)</f>
        <v>72360.79999999999</v>
      </c>
      <c r="C10" s="67">
        <v>0</v>
      </c>
      <c r="D10" s="67">
        <v>97100</v>
      </c>
      <c r="E10" s="67">
        <v>127700</v>
      </c>
      <c r="F10" s="67">
        <v>4700</v>
      </c>
      <c r="G10" s="67">
        <f>SUM(B10:F10)</f>
        <v>301860.8</v>
      </c>
    </row>
    <row r="11" spans="1:7" ht="12.75">
      <c r="A11" s="19" t="s">
        <v>171</v>
      </c>
      <c r="B11" s="68">
        <v>7700</v>
      </c>
      <c r="C11" s="68">
        <v>0</v>
      </c>
      <c r="D11" s="68">
        <v>0</v>
      </c>
      <c r="E11" s="68">
        <v>0</v>
      </c>
      <c r="F11" s="68">
        <v>0</v>
      </c>
      <c r="G11" s="68">
        <f>SUM(B11:F11)</f>
        <v>7700</v>
      </c>
    </row>
    <row r="12" spans="1:7" ht="12.75">
      <c r="A12" s="19" t="s">
        <v>71</v>
      </c>
      <c r="B12" s="68">
        <f>1950+200000</f>
        <v>201950</v>
      </c>
      <c r="C12" s="68">
        <f>215300-15000</f>
        <v>200300</v>
      </c>
      <c r="D12" s="68">
        <v>2972</v>
      </c>
      <c r="E12" s="68">
        <f>160000-25000</f>
        <v>135000</v>
      </c>
      <c r="F12" s="68">
        <f>26250-150</f>
        <v>26100</v>
      </c>
      <c r="G12" s="68">
        <f>SUM(B12:F12)</f>
        <v>566322</v>
      </c>
    </row>
    <row r="13" spans="1:7" ht="12.75">
      <c r="A13" s="19" t="s">
        <v>76</v>
      </c>
      <c r="B13" s="68">
        <v>11580</v>
      </c>
      <c r="C13" s="68">
        <v>0</v>
      </c>
      <c r="D13" s="68">
        <v>0</v>
      </c>
      <c r="E13" s="68">
        <v>0</v>
      </c>
      <c r="F13" s="68">
        <v>0</v>
      </c>
      <c r="G13" s="68">
        <v>11580</v>
      </c>
    </row>
    <row r="14" spans="1:7" ht="12.75">
      <c r="A14" s="19" t="s">
        <v>75</v>
      </c>
      <c r="B14" s="74">
        <f>14200</f>
        <v>14200</v>
      </c>
      <c r="C14" s="74">
        <v>0</v>
      </c>
      <c r="D14" s="74">
        <v>0</v>
      </c>
      <c r="E14" s="74">
        <v>0</v>
      </c>
      <c r="F14" s="74">
        <v>0</v>
      </c>
      <c r="G14" s="74">
        <f>SUM(B14:F14)</f>
        <v>14200</v>
      </c>
    </row>
    <row r="15" spans="1:8" ht="13.5" thickBot="1">
      <c r="A15" s="19" t="s">
        <v>81</v>
      </c>
      <c r="B15" s="78">
        <f>SUM(B10:B14)</f>
        <v>307790.8</v>
      </c>
      <c r="C15" s="78">
        <f>SUM(C10:C14)</f>
        <v>200300</v>
      </c>
      <c r="D15" s="78">
        <v>100072</v>
      </c>
      <c r="E15" s="78">
        <f>SUM(E10:E14)</f>
        <v>262700</v>
      </c>
      <c r="F15" s="78">
        <f>SUM(F10:F14)</f>
        <v>30800</v>
      </c>
      <c r="G15" s="78">
        <f>SUM(G10:G14)</f>
        <v>901662.8</v>
      </c>
      <c r="H15" s="76"/>
    </row>
    <row r="16" ht="13.5" thickTop="1"/>
    <row r="17" ht="25.5">
      <c r="A17" s="31" t="s">
        <v>172</v>
      </c>
    </row>
    <row r="18" ht="12.75">
      <c r="A18" s="19" t="s">
        <v>173</v>
      </c>
    </row>
    <row r="19" spans="1:7" ht="12.75">
      <c r="A19" s="38" t="s">
        <v>174</v>
      </c>
      <c r="B19" s="83">
        <v>43600</v>
      </c>
      <c r="C19" s="83">
        <v>0</v>
      </c>
      <c r="D19" s="83">
        <v>0</v>
      </c>
      <c r="E19" s="83">
        <v>36700</v>
      </c>
      <c r="F19" s="83">
        <v>0</v>
      </c>
      <c r="G19" s="83">
        <f>SUM(B19:F19)</f>
        <v>80300</v>
      </c>
    </row>
    <row r="20" spans="1:7" ht="12.75">
      <c r="A20" s="38" t="s">
        <v>85</v>
      </c>
      <c r="B20" s="68">
        <v>73900</v>
      </c>
      <c r="C20" s="68">
        <v>200300</v>
      </c>
      <c r="D20" s="68">
        <v>0</v>
      </c>
      <c r="E20" s="68">
        <v>0</v>
      </c>
      <c r="F20" s="68">
        <v>30800</v>
      </c>
      <c r="G20" s="68">
        <f>SUM(B20:F20)</f>
        <v>305000</v>
      </c>
    </row>
    <row r="21" spans="1:7" ht="12.75">
      <c r="A21" s="71" t="s">
        <v>92</v>
      </c>
      <c r="B21" s="73">
        <f aca="true" t="shared" si="0" ref="B21:G21">SUM(B19:B20)</f>
        <v>117500</v>
      </c>
      <c r="C21" s="73">
        <f t="shared" si="0"/>
        <v>200300</v>
      </c>
      <c r="D21" s="73">
        <f t="shared" si="0"/>
        <v>0</v>
      </c>
      <c r="E21" s="73">
        <f t="shared" si="0"/>
        <v>36700</v>
      </c>
      <c r="F21" s="73">
        <f t="shared" si="0"/>
        <v>30800</v>
      </c>
      <c r="G21" s="73">
        <f t="shared" si="0"/>
        <v>385300</v>
      </c>
    </row>
    <row r="22" spans="1:7" ht="12.75">
      <c r="A22" s="71"/>
      <c r="B22" s="74"/>
      <c r="C22" s="74"/>
      <c r="D22" s="74"/>
      <c r="E22" s="74"/>
      <c r="F22" s="74"/>
      <c r="G22" s="74"/>
    </row>
    <row r="23" spans="1:7" ht="12.75">
      <c r="A23" s="19" t="s">
        <v>175</v>
      </c>
      <c r="B23" s="70">
        <v>16100</v>
      </c>
      <c r="C23" s="70">
        <v>0</v>
      </c>
      <c r="D23" s="70">
        <v>0</v>
      </c>
      <c r="E23" s="70">
        <v>0</v>
      </c>
      <c r="F23" s="70">
        <v>0</v>
      </c>
      <c r="G23" s="70">
        <f>SUM(B23:F23)</f>
        <v>16100</v>
      </c>
    </row>
    <row r="25" spans="1:3" ht="12.75">
      <c r="A25" s="19" t="s">
        <v>176</v>
      </c>
      <c r="C25" s="19" t="s">
        <v>177</v>
      </c>
    </row>
    <row r="26" ht="12.75">
      <c r="A26" s="69" t="s">
        <v>178</v>
      </c>
    </row>
    <row r="27" spans="1:7" ht="12.75">
      <c r="A27" s="71" t="s">
        <v>75</v>
      </c>
      <c r="B27" s="68">
        <f>14200</f>
        <v>14200</v>
      </c>
      <c r="C27" s="68">
        <v>0</v>
      </c>
      <c r="D27" s="68">
        <v>0</v>
      </c>
      <c r="E27" s="68">
        <v>0</v>
      </c>
      <c r="F27" s="68">
        <v>0</v>
      </c>
      <c r="G27" s="68">
        <f>SUM(B27:F27)</f>
        <v>14200</v>
      </c>
    </row>
    <row r="28" spans="1:7" ht="12.75">
      <c r="A28" s="71" t="s">
        <v>76</v>
      </c>
      <c r="B28" s="68">
        <v>11580</v>
      </c>
      <c r="C28" s="68">
        <v>0</v>
      </c>
      <c r="D28" s="68">
        <v>0</v>
      </c>
      <c r="E28" s="68">
        <v>0</v>
      </c>
      <c r="F28" s="68">
        <v>0</v>
      </c>
      <c r="G28" s="68">
        <f aca="true" t="shared" si="1" ref="G28:G36">SUM(B28:F28)</f>
        <v>11580</v>
      </c>
    </row>
    <row r="29" spans="1:7" ht="12.75">
      <c r="A29" s="69" t="s">
        <v>97</v>
      </c>
      <c r="G29" s="68"/>
    </row>
    <row r="30" spans="1:7" ht="12.75">
      <c r="A30" s="71" t="s">
        <v>179</v>
      </c>
      <c r="B30" s="68">
        <v>14650</v>
      </c>
      <c r="C30" s="68">
        <v>0</v>
      </c>
      <c r="D30" s="68">
        <v>0</v>
      </c>
      <c r="E30" s="68">
        <v>0</v>
      </c>
      <c r="F30" s="68">
        <v>0</v>
      </c>
      <c r="G30" s="68">
        <f t="shared" si="1"/>
        <v>14650</v>
      </c>
    </row>
    <row r="31" spans="1:7" ht="12.75">
      <c r="A31" s="71" t="s">
        <v>180</v>
      </c>
      <c r="B31" s="68">
        <v>0</v>
      </c>
      <c r="C31" s="68">
        <v>0</v>
      </c>
      <c r="D31" s="68">
        <v>0</v>
      </c>
      <c r="E31" s="68">
        <f>60000+166000</f>
        <v>226000</v>
      </c>
      <c r="F31" s="68">
        <v>0</v>
      </c>
      <c r="G31" s="68">
        <f t="shared" si="1"/>
        <v>226000</v>
      </c>
    </row>
    <row r="32" spans="1:7" ht="15" customHeight="1">
      <c r="A32" s="38" t="s">
        <v>181</v>
      </c>
      <c r="B32" s="68">
        <v>0</v>
      </c>
      <c r="C32" s="68">
        <v>0</v>
      </c>
      <c r="D32" s="68">
        <v>100072</v>
      </c>
      <c r="E32" s="68">
        <v>0</v>
      </c>
      <c r="F32" s="68">
        <v>0</v>
      </c>
      <c r="G32" s="68">
        <f>SUM(B32:F32)</f>
        <v>100072</v>
      </c>
    </row>
    <row r="33" spans="1:7" ht="12.75">
      <c r="A33" s="69" t="s">
        <v>182</v>
      </c>
      <c r="G33" s="68"/>
    </row>
    <row r="34" spans="1:7" ht="12.75">
      <c r="A34" s="69" t="s">
        <v>183</v>
      </c>
      <c r="B34" s="68">
        <v>5000</v>
      </c>
      <c r="C34" s="68">
        <v>0</v>
      </c>
      <c r="D34" s="68">
        <v>0</v>
      </c>
      <c r="E34" s="68">
        <v>0</v>
      </c>
      <c r="F34" s="68">
        <v>0</v>
      </c>
      <c r="G34" s="68">
        <f t="shared" si="1"/>
        <v>5000</v>
      </c>
    </row>
    <row r="35" spans="1:7" ht="12.75">
      <c r="A35" s="69" t="s">
        <v>184</v>
      </c>
      <c r="B35" s="68">
        <f>B15-B21-B23-SUM(B27:B34)</f>
        <v>128760.79999999999</v>
      </c>
      <c r="C35" s="68">
        <v>0</v>
      </c>
      <c r="D35" s="68">
        <v>0</v>
      </c>
      <c r="E35" s="68">
        <v>0</v>
      </c>
      <c r="F35" s="68">
        <v>0</v>
      </c>
      <c r="G35" s="68">
        <f t="shared" si="1"/>
        <v>128760.79999999999</v>
      </c>
    </row>
    <row r="36" spans="1:10" ht="12.75">
      <c r="A36" s="72" t="s">
        <v>185</v>
      </c>
      <c r="B36" s="73">
        <f>SUM(B27:B35)</f>
        <v>174190.8</v>
      </c>
      <c r="C36" s="73">
        <f>SUM(C27:C35)</f>
        <v>0</v>
      </c>
      <c r="D36" s="73">
        <f>SUM(D27:D35)</f>
        <v>100072</v>
      </c>
      <c r="E36" s="73">
        <f>SUM(E27:E35)</f>
        <v>226000</v>
      </c>
      <c r="F36" s="73">
        <f>SUM(F27:F35)</f>
        <v>0</v>
      </c>
      <c r="G36" s="73">
        <f t="shared" si="1"/>
        <v>500262.8</v>
      </c>
      <c r="I36" s="75"/>
      <c r="J36" s="100"/>
    </row>
    <row r="37" spans="1:7" ht="26.25" thickBot="1">
      <c r="A37" s="32" t="s">
        <v>186</v>
      </c>
      <c r="B37" s="78">
        <f>B21+B36+B23</f>
        <v>307790.8</v>
      </c>
      <c r="C37" s="78">
        <f>C21+C36+C23</f>
        <v>200300</v>
      </c>
      <c r="D37" s="78">
        <f>D21+D36+D23</f>
        <v>100072</v>
      </c>
      <c r="E37" s="78">
        <f>E21+E36+E23</f>
        <v>262700</v>
      </c>
      <c r="F37" s="78">
        <f>F21+F36+F23</f>
        <v>30800</v>
      </c>
      <c r="G37" s="101"/>
    </row>
    <row r="38" ht="13.5" thickTop="1"/>
    <row r="39" spans="2:7" s="102" customFormat="1" ht="26.25" customHeight="1">
      <c r="B39" s="325" t="s">
        <v>187</v>
      </c>
      <c r="C39" s="325"/>
      <c r="D39" s="325"/>
      <c r="E39" s="325"/>
      <c r="F39" s="325"/>
      <c r="G39" s="19"/>
    </row>
    <row r="40" spans="2:7" s="102" customFormat="1" ht="15.75" customHeight="1">
      <c r="B40" s="38" t="s">
        <v>188</v>
      </c>
      <c r="C40" s="38"/>
      <c r="D40" s="38"/>
      <c r="E40" s="38"/>
      <c r="F40" s="38"/>
      <c r="G40" s="68">
        <f>GWNetPos!B13</f>
        <v>275.4000000000001</v>
      </c>
    </row>
    <row r="41" spans="2:7" s="102" customFormat="1" ht="26.25" customHeight="1">
      <c r="B41" s="322" t="s">
        <v>189</v>
      </c>
      <c r="C41" s="322"/>
      <c r="D41" s="322"/>
      <c r="E41" s="322"/>
      <c r="F41" s="322"/>
      <c r="G41" s="68">
        <f>15262085</f>
        <v>15262085</v>
      </c>
    </row>
    <row r="42" spans="2:7" ht="12.75">
      <c r="B42" s="69" t="s">
        <v>190</v>
      </c>
      <c r="G42" s="68">
        <f>GWNetPos!B23</f>
        <v>176041.6</v>
      </c>
    </row>
    <row r="43" spans="2:7" ht="12.75">
      <c r="B43" s="69" t="s">
        <v>191</v>
      </c>
      <c r="G43" s="68">
        <f>GWNetPos!B24+GWNetPos!B25</f>
        <v>71869.40000000001</v>
      </c>
    </row>
    <row r="44" spans="2:7" s="102" customFormat="1" ht="24.75" customHeight="1">
      <c r="B44" s="322" t="s">
        <v>192</v>
      </c>
      <c r="C44" s="322"/>
      <c r="D44" s="322"/>
      <c r="E44" s="322"/>
      <c r="F44" s="322"/>
      <c r="G44" s="68">
        <f>1430</f>
        <v>1430</v>
      </c>
    </row>
    <row r="45" spans="2:7" s="102" customFormat="1" ht="12.75">
      <c r="B45" s="69" t="s">
        <v>193</v>
      </c>
      <c r="C45" s="69"/>
      <c r="D45" s="69"/>
      <c r="E45" s="69"/>
      <c r="F45" s="69"/>
      <c r="G45" s="68">
        <f>-831</f>
        <v>-831</v>
      </c>
    </row>
    <row r="46" spans="2:7" s="102" customFormat="1" ht="26.25" customHeight="1">
      <c r="B46" s="322" t="s">
        <v>194</v>
      </c>
      <c r="C46" s="322"/>
      <c r="D46" s="322"/>
      <c r="E46" s="322"/>
      <c r="F46" s="322"/>
      <c r="G46" s="103">
        <f>-308377-20764</f>
        <v>-329141</v>
      </c>
    </row>
    <row r="47" spans="2:7" ht="12.75">
      <c r="B47" s="69" t="s">
        <v>89</v>
      </c>
      <c r="G47" s="103">
        <f>-GWNetPos!B34</f>
        <v>-325762.2</v>
      </c>
    </row>
    <row r="48" spans="2:7" ht="12.75">
      <c r="B48" s="69" t="str">
        <f>GWNetPos!A35</f>
        <v>Net OPEB liability</v>
      </c>
      <c r="G48" s="103">
        <f>-GWNetPos!B35</f>
        <v>-874709.6000000001</v>
      </c>
    </row>
    <row r="49" spans="2:7" s="102" customFormat="1" ht="13.5" customHeight="1">
      <c r="B49" s="69" t="s">
        <v>195</v>
      </c>
      <c r="C49" s="38"/>
      <c r="D49" s="38"/>
      <c r="E49" s="38"/>
      <c r="F49" s="38"/>
      <c r="G49" s="103">
        <f>GWNetPos!B40</f>
        <v>18432.4</v>
      </c>
    </row>
    <row r="50" spans="2:7" s="102" customFormat="1" ht="13.5" customHeight="1">
      <c r="B50" s="69" t="s">
        <v>552</v>
      </c>
      <c r="C50" s="287"/>
      <c r="D50" s="287"/>
      <c r="E50" s="287"/>
      <c r="F50" s="287"/>
      <c r="G50" s="103">
        <v>-16100</v>
      </c>
    </row>
    <row r="51" spans="2:7" s="102" customFormat="1" ht="13.5" customHeight="1">
      <c r="B51" s="69" t="s">
        <v>196</v>
      </c>
      <c r="C51" s="38"/>
      <c r="D51" s="38"/>
      <c r="E51" s="38"/>
      <c r="F51" s="38"/>
      <c r="G51" s="103">
        <f>-GWNetPos!B41</f>
        <v>-442514.4</v>
      </c>
    </row>
    <row r="52" spans="2:9" s="102" customFormat="1" ht="13.5" thickBot="1">
      <c r="B52" s="69" t="s">
        <v>197</v>
      </c>
      <c r="C52" s="69"/>
      <c r="D52" s="19"/>
      <c r="E52" s="19"/>
      <c r="F52" s="19"/>
      <c r="G52" s="78">
        <f>SUM(G36:G51)</f>
        <v>14041338.4</v>
      </c>
      <c r="H52" s="104"/>
      <c r="I52" s="104"/>
    </row>
    <row r="53" ht="13.5" thickTop="1"/>
    <row r="54" spans="1:7" ht="12.75">
      <c r="A54" s="19" t="str">
        <f>'[3]GWStmtAct'!A61</f>
        <v>The notes to the financial statements are an integral part of this statement.</v>
      </c>
      <c r="G54" s="76"/>
    </row>
    <row r="55" ht="12.75">
      <c r="G55" s="76"/>
    </row>
    <row r="56" ht="12.75">
      <c r="G56" s="76"/>
    </row>
    <row r="58" ht="12.75">
      <c r="G58" s="76"/>
    </row>
  </sheetData>
  <sheetProtection/>
  <mergeCells count="8">
    <mergeCell ref="B44:F44"/>
    <mergeCell ref="B46:F46"/>
    <mergeCell ref="A2:G2"/>
    <mergeCell ref="A3:G3"/>
    <mergeCell ref="A4:G4"/>
    <mergeCell ref="A5:G5"/>
    <mergeCell ref="B39:F39"/>
    <mergeCell ref="B41:F41"/>
  </mergeCells>
  <printOptions/>
  <pageMargins left="0.7" right="0.7" top="0.75" bottom="0.75" header="0.3" footer="0.3"/>
  <pageSetup fitToHeight="1" fitToWidth="1" horizontalDpi="600" verticalDpi="600" orientation="portrait" scale="66" r:id="rId1"/>
</worksheet>
</file>

<file path=xl/worksheets/sheet4.xml><?xml version="1.0" encoding="utf-8"?>
<worksheet xmlns="http://schemas.openxmlformats.org/spreadsheetml/2006/main" xmlns:r="http://schemas.openxmlformats.org/officeDocument/2006/relationships">
  <dimension ref="A1:K63"/>
  <sheetViews>
    <sheetView showGridLines="0" zoomScalePageLayoutView="0" workbookViewId="0" topLeftCell="A22">
      <selection activeCell="B28" sqref="B28:C28"/>
    </sheetView>
  </sheetViews>
  <sheetFormatPr defaultColWidth="9.140625" defaultRowHeight="12.75"/>
  <cols>
    <col min="1" max="1" width="3.140625" style="19" customWidth="1"/>
    <col min="2" max="2" width="3.421875" style="19" customWidth="1"/>
    <col min="3" max="3" width="47.8515625" style="19" customWidth="1"/>
    <col min="4" max="4" width="12.421875" style="19" bestFit="1" customWidth="1"/>
    <col min="5" max="5" width="15.00390625" style="19" customWidth="1"/>
    <col min="6" max="6" width="12.421875" style="19" customWidth="1"/>
    <col min="7" max="7" width="14.00390625" style="19" bestFit="1" customWidth="1"/>
    <col min="8" max="8" width="15.00390625" style="19" customWidth="1"/>
    <col min="9" max="9" width="14.00390625" style="19" bestFit="1" customWidth="1"/>
    <col min="10" max="10" width="11.28125" style="19" bestFit="1" customWidth="1"/>
    <col min="11" max="11" width="13.140625" style="19" bestFit="1" customWidth="1"/>
    <col min="12" max="16384" width="9.140625" style="19" customWidth="1"/>
  </cols>
  <sheetData>
    <row r="1" ht="12.75">
      <c r="I1" s="65" t="s">
        <v>198</v>
      </c>
    </row>
    <row r="2" spans="1:9" ht="12.75">
      <c r="A2" s="311" t="str">
        <f>'[3]GWNetPos'!A2</f>
        <v>Carolina County Board of Education, North Carolina</v>
      </c>
      <c r="B2" s="311"/>
      <c r="C2" s="311"/>
      <c r="D2" s="311"/>
      <c r="E2" s="311"/>
      <c r="F2" s="311"/>
      <c r="G2" s="311"/>
      <c r="H2" s="311"/>
      <c r="I2" s="311"/>
    </row>
    <row r="3" spans="1:9" ht="12.75">
      <c r="A3" s="311" t="s">
        <v>199</v>
      </c>
      <c r="B3" s="311"/>
      <c r="C3" s="311"/>
      <c r="D3" s="311"/>
      <c r="E3" s="311"/>
      <c r="F3" s="311"/>
      <c r="G3" s="311"/>
      <c r="H3" s="311"/>
      <c r="I3" s="311"/>
    </row>
    <row r="4" spans="1:9" ht="12.75">
      <c r="A4" s="311" t="s">
        <v>163</v>
      </c>
      <c r="B4" s="311"/>
      <c r="C4" s="311"/>
      <c r="D4" s="311"/>
      <c r="E4" s="311"/>
      <c r="F4" s="311"/>
      <c r="G4" s="311"/>
      <c r="H4" s="311"/>
      <c r="I4" s="311"/>
    </row>
    <row r="5" spans="1:9" ht="12.75">
      <c r="A5" s="311" t="str">
        <f>GWStmtAct!A4</f>
        <v>For the Year Ended June 30, 2019</v>
      </c>
      <c r="B5" s="311"/>
      <c r="C5" s="311"/>
      <c r="D5" s="311"/>
      <c r="E5" s="311"/>
      <c r="F5" s="311"/>
      <c r="G5" s="311"/>
      <c r="H5" s="311"/>
      <c r="I5" s="311"/>
    </row>
    <row r="6" spans="1:9" ht="12.75">
      <c r="A6" s="48"/>
      <c r="B6" s="48"/>
      <c r="C6" s="48"/>
      <c r="D6" s="48"/>
      <c r="E6" s="48"/>
      <c r="F6" s="48"/>
      <c r="G6" s="48"/>
      <c r="H6" s="48"/>
      <c r="I6" s="48"/>
    </row>
    <row r="7" spans="1:9" ht="12.75">
      <c r="A7" s="93"/>
      <c r="B7" s="93"/>
      <c r="C7" s="93"/>
      <c r="D7" s="94" t="s">
        <v>164</v>
      </c>
      <c r="E7" s="95"/>
      <c r="F7" s="95"/>
      <c r="G7" s="96"/>
      <c r="H7" s="24" t="s">
        <v>17</v>
      </c>
      <c r="I7" s="97"/>
    </row>
    <row r="8" spans="4:9" ht="38.25">
      <c r="D8" s="98" t="s">
        <v>165</v>
      </c>
      <c r="E8" s="66" t="s">
        <v>166</v>
      </c>
      <c r="F8" s="66" t="s">
        <v>167</v>
      </c>
      <c r="G8" s="99" t="s">
        <v>168</v>
      </c>
      <c r="H8" s="29" t="s">
        <v>169</v>
      </c>
      <c r="I8" s="29" t="s">
        <v>170</v>
      </c>
    </row>
    <row r="9" spans="1:3" ht="12.75">
      <c r="A9" s="23" t="s">
        <v>200</v>
      </c>
      <c r="B9" s="23"/>
      <c r="C9" s="23"/>
    </row>
    <row r="10" spans="1:9" ht="12.75">
      <c r="A10" s="19" t="s">
        <v>201</v>
      </c>
      <c r="D10" s="67">
        <f>702640</f>
        <v>702640</v>
      </c>
      <c r="E10" s="67">
        <f>3964714+115000000</f>
        <v>118964714</v>
      </c>
      <c r="F10" s="67">
        <v>0</v>
      </c>
      <c r="G10" s="67">
        <f>375000+36000</f>
        <v>411000</v>
      </c>
      <c r="H10" s="67">
        <v>0</v>
      </c>
      <c r="I10" s="67">
        <f aca="true" t="shared" si="0" ref="I10:I16">SUM(D10:H10)</f>
        <v>120078354</v>
      </c>
    </row>
    <row r="11" spans="1:10" ht="12.75">
      <c r="A11" s="19" t="s">
        <v>202</v>
      </c>
      <c r="D11" s="68"/>
      <c r="E11" s="68"/>
      <c r="F11" s="68"/>
      <c r="G11" s="68"/>
      <c r="H11" s="68"/>
      <c r="I11" s="68"/>
      <c r="J11" s="68"/>
    </row>
    <row r="12" spans="2:10" ht="12.75">
      <c r="B12" s="68" t="s">
        <v>203</v>
      </c>
      <c r="C12" s="68"/>
      <c r="D12" s="74">
        <f>1980000+30119059+20000+(200000)</f>
        <v>32319059</v>
      </c>
      <c r="E12" s="68">
        <v>0</v>
      </c>
      <c r="F12" s="68">
        <v>0</v>
      </c>
      <c r="G12" s="68">
        <v>0</v>
      </c>
      <c r="H12" s="68">
        <v>0</v>
      </c>
      <c r="I12" s="68">
        <f t="shared" si="0"/>
        <v>32319059</v>
      </c>
      <c r="J12" s="68"/>
    </row>
    <row r="13" spans="2:10" ht="12.75">
      <c r="B13" s="68" t="s">
        <v>204</v>
      </c>
      <c r="C13" s="68"/>
      <c r="D13" s="68">
        <v>1032</v>
      </c>
      <c r="E13" s="68">
        <v>0</v>
      </c>
      <c r="F13" s="68">
        <v>0</v>
      </c>
      <c r="G13" s="68">
        <v>8499557</v>
      </c>
      <c r="H13" s="68">
        <v>0</v>
      </c>
      <c r="I13" s="68">
        <f t="shared" si="0"/>
        <v>8500589</v>
      </c>
      <c r="J13" s="105"/>
    </row>
    <row r="14" spans="1:11" ht="12.75">
      <c r="A14" s="19" t="s">
        <v>205</v>
      </c>
      <c r="D14" s="68">
        <v>0</v>
      </c>
      <c r="E14" s="68">
        <v>0</v>
      </c>
      <c r="F14" s="68">
        <v>0</v>
      </c>
      <c r="G14" s="68">
        <v>0</v>
      </c>
      <c r="H14" s="68">
        <v>197774</v>
      </c>
      <c r="I14" s="68">
        <f t="shared" si="0"/>
        <v>197774</v>
      </c>
      <c r="K14" s="68"/>
    </row>
    <row r="15" spans="1:9" ht="12.75">
      <c r="A15" s="19" t="s">
        <v>206</v>
      </c>
      <c r="D15" s="68">
        <v>0</v>
      </c>
      <c r="E15" s="68">
        <v>0</v>
      </c>
      <c r="F15" s="68">
        <v>452000</v>
      </c>
      <c r="G15" s="68">
        <v>0</v>
      </c>
      <c r="H15" s="68">
        <v>0</v>
      </c>
      <c r="I15" s="68">
        <f t="shared" si="0"/>
        <v>452000</v>
      </c>
    </row>
    <row r="16" spans="1:11" ht="12.75">
      <c r="A16" s="19" t="s">
        <v>204</v>
      </c>
      <c r="D16" s="68">
        <f>42838-1032+40000</f>
        <v>81806</v>
      </c>
      <c r="E16" s="68">
        <v>0</v>
      </c>
      <c r="F16" s="68">
        <v>274000</v>
      </c>
      <c r="G16" s="68">
        <v>0</v>
      </c>
      <c r="H16" s="68">
        <v>0</v>
      </c>
      <c r="I16" s="68">
        <f t="shared" si="0"/>
        <v>355806</v>
      </c>
      <c r="K16" s="68"/>
    </row>
    <row r="17" spans="1:11" ht="12.75">
      <c r="A17" s="69" t="s">
        <v>207</v>
      </c>
      <c r="B17" s="69"/>
      <c r="C17" s="69"/>
      <c r="D17" s="73">
        <f>SUM(D10:D16)</f>
        <v>33104537</v>
      </c>
      <c r="E17" s="73">
        <f>SUM(E10:E16)</f>
        <v>118964714</v>
      </c>
      <c r="F17" s="73">
        <v>726000</v>
      </c>
      <c r="G17" s="73">
        <f>SUM(G10:G16)</f>
        <v>8910557</v>
      </c>
      <c r="H17" s="73">
        <v>197774</v>
      </c>
      <c r="I17" s="73">
        <f>SUM(I10:I16)</f>
        <v>161903582</v>
      </c>
      <c r="K17" s="75"/>
    </row>
    <row r="18" spans="4:9" ht="12.75">
      <c r="D18" s="68"/>
      <c r="E18" s="68"/>
      <c r="F18" s="68"/>
      <c r="G18" s="68"/>
      <c r="H18" s="68"/>
      <c r="I18" s="68"/>
    </row>
    <row r="19" spans="1:9" ht="12.75">
      <c r="A19" s="23" t="s">
        <v>208</v>
      </c>
      <c r="B19" s="88"/>
      <c r="C19" s="23"/>
      <c r="D19" s="68"/>
      <c r="E19" s="68"/>
      <c r="F19" s="68"/>
      <c r="G19" s="68"/>
      <c r="H19" s="68"/>
      <c r="I19" s="68"/>
    </row>
    <row r="20" spans="1:9" ht="12.75">
      <c r="A20" s="23" t="s">
        <v>209</v>
      </c>
      <c r="B20" s="88"/>
      <c r="C20" s="23"/>
      <c r="D20" s="68"/>
      <c r="E20" s="68"/>
      <c r="F20" s="68"/>
      <c r="G20" s="68"/>
      <c r="H20" s="68"/>
      <c r="I20" s="68"/>
    </row>
    <row r="21" spans="2:9" ht="12.75">
      <c r="B21" s="326" t="s">
        <v>210</v>
      </c>
      <c r="C21" s="326"/>
      <c r="D21" s="68"/>
      <c r="E21" s="68"/>
      <c r="F21" s="68"/>
      <c r="G21" s="68"/>
      <c r="H21" s="68"/>
      <c r="I21" s="68"/>
    </row>
    <row r="22" spans="2:9" ht="12.75">
      <c r="B22" s="58"/>
      <c r="C22" s="32" t="s">
        <v>118</v>
      </c>
      <c r="D22" s="68">
        <f>938342+5000000+(48500)*0.8+(27219*0.8)+(0.8*630)+(0.8*50000)+(0.8*30000)+(560)</f>
        <v>6063981.2</v>
      </c>
      <c r="E22" s="68">
        <f>2682457+75000000</f>
        <v>77682457</v>
      </c>
      <c r="F22" s="68">
        <v>0</v>
      </c>
      <c r="G22" s="68">
        <v>0</v>
      </c>
      <c r="H22" s="68">
        <v>83577</v>
      </c>
      <c r="I22" s="68">
        <f>SUM(D22:H22)</f>
        <v>83830015.2</v>
      </c>
    </row>
    <row r="23" spans="2:9" ht="12.75">
      <c r="B23" s="58"/>
      <c r="C23" s="32" t="s">
        <v>119</v>
      </c>
      <c r="D23" s="68">
        <f>146497+2000000</f>
        <v>2146497</v>
      </c>
      <c r="E23" s="68">
        <f>475641+35000000</f>
        <v>35475641</v>
      </c>
      <c r="F23" s="68">
        <v>0</v>
      </c>
      <c r="G23" s="68">
        <v>0</v>
      </c>
      <c r="H23" s="68">
        <v>50797</v>
      </c>
      <c r="I23" s="68">
        <f>SUM(D23:H23)</f>
        <v>37672935</v>
      </c>
    </row>
    <row r="24" spans="2:9" ht="12.75">
      <c r="B24" s="58"/>
      <c r="C24" s="32" t="s">
        <v>120</v>
      </c>
      <c r="D24" s="68">
        <f>107903+2000000</f>
        <v>2107903</v>
      </c>
      <c r="E24" s="68">
        <v>0</v>
      </c>
      <c r="F24" s="68">
        <v>0</v>
      </c>
      <c r="G24" s="68">
        <v>0</v>
      </c>
      <c r="H24" s="68">
        <v>0</v>
      </c>
      <c r="I24" s="68">
        <f aca="true" t="shared" si="1" ref="I24:I39">SUM(D24:H24)</f>
        <v>2107903</v>
      </c>
    </row>
    <row r="25" spans="2:9" ht="12.75">
      <c r="B25" s="58"/>
      <c r="C25" s="32" t="s">
        <v>121</v>
      </c>
      <c r="D25" s="68">
        <f>22316+1000000</f>
        <v>1022316</v>
      </c>
      <c r="E25" s="68">
        <v>0</v>
      </c>
      <c r="F25" s="68">
        <v>0</v>
      </c>
      <c r="G25" s="68">
        <v>0</v>
      </c>
      <c r="H25" s="68">
        <v>0</v>
      </c>
      <c r="I25" s="68">
        <f t="shared" si="1"/>
        <v>1022316</v>
      </c>
    </row>
    <row r="26" spans="2:9" ht="12.75">
      <c r="B26" s="58"/>
      <c r="C26" s="32" t="s">
        <v>122</v>
      </c>
      <c r="D26" s="68">
        <f>37981+1000000</f>
        <v>1037981</v>
      </c>
      <c r="E26" s="68">
        <v>0</v>
      </c>
      <c r="F26" s="68">
        <v>644028</v>
      </c>
      <c r="G26" s="68">
        <v>0</v>
      </c>
      <c r="H26" s="68">
        <v>0</v>
      </c>
      <c r="I26" s="68">
        <f t="shared" si="1"/>
        <v>1682009</v>
      </c>
    </row>
    <row r="27" spans="2:9" ht="12.75">
      <c r="B27" s="58"/>
      <c r="C27" s="32" t="s">
        <v>123</v>
      </c>
      <c r="D27" s="68">
        <f>94952+1000000</f>
        <v>1094952</v>
      </c>
      <c r="E27" s="68">
        <v>0</v>
      </c>
      <c r="F27" s="68">
        <v>0</v>
      </c>
      <c r="G27" s="68">
        <v>0</v>
      </c>
      <c r="H27" s="68">
        <v>0</v>
      </c>
      <c r="I27" s="68">
        <f t="shared" si="1"/>
        <v>1094952</v>
      </c>
    </row>
    <row r="28" spans="2:9" ht="12.75">
      <c r="B28" s="326" t="s">
        <v>211</v>
      </c>
      <c r="C28" s="326"/>
      <c r="D28" s="68"/>
      <c r="E28" s="68"/>
      <c r="F28" s="68"/>
      <c r="G28" s="68"/>
      <c r="H28" s="68"/>
      <c r="I28" s="68"/>
    </row>
    <row r="29" spans="2:9" ht="12.75">
      <c r="B29" s="58"/>
      <c r="C29" s="32" t="s">
        <v>125</v>
      </c>
      <c r="D29" s="68">
        <f>14990+1000000</f>
        <v>1014990</v>
      </c>
      <c r="E29" s="68">
        <v>83951</v>
      </c>
      <c r="F29" s="68">
        <v>0</v>
      </c>
      <c r="G29" s="68">
        <v>0</v>
      </c>
      <c r="H29" s="68">
        <v>0</v>
      </c>
      <c r="I29" s="68">
        <f t="shared" si="1"/>
        <v>1098941</v>
      </c>
    </row>
    <row r="30" spans="2:9" ht="15.75" customHeight="1">
      <c r="B30" s="58"/>
      <c r="C30" s="32" t="s">
        <v>212</v>
      </c>
      <c r="D30" s="106">
        <f>59684+1000000</f>
        <v>1059684</v>
      </c>
      <c r="E30" s="106">
        <v>23704</v>
      </c>
      <c r="F30" s="106">
        <v>0</v>
      </c>
      <c r="G30" s="106">
        <v>0</v>
      </c>
      <c r="H30" s="106">
        <v>25000</v>
      </c>
      <c r="I30" s="106">
        <f t="shared" si="1"/>
        <v>1108388</v>
      </c>
    </row>
    <row r="31" spans="2:9" ht="15.75" customHeight="1">
      <c r="B31" s="58"/>
      <c r="C31" s="32" t="s">
        <v>127</v>
      </c>
      <c r="D31" s="106">
        <f>36850+1000000</f>
        <v>1036850</v>
      </c>
      <c r="E31" s="106">
        <v>19754</v>
      </c>
      <c r="F31" s="106">
        <v>0</v>
      </c>
      <c r="G31" s="106">
        <v>0</v>
      </c>
      <c r="H31" s="106">
        <v>0</v>
      </c>
      <c r="I31" s="106">
        <f t="shared" si="1"/>
        <v>1056604</v>
      </c>
    </row>
    <row r="32" spans="2:9" ht="15" customHeight="1">
      <c r="B32" s="58"/>
      <c r="C32" s="32" t="s">
        <v>128</v>
      </c>
      <c r="D32" s="68">
        <v>165487</v>
      </c>
      <c r="E32" s="68">
        <f>248895</f>
        <v>248895</v>
      </c>
      <c r="F32" s="68">
        <v>0</v>
      </c>
      <c r="G32" s="68">
        <v>0</v>
      </c>
      <c r="H32" s="68">
        <v>0</v>
      </c>
      <c r="I32" s="68">
        <f t="shared" si="1"/>
        <v>414382</v>
      </c>
    </row>
    <row r="33" spans="2:9" ht="12.75">
      <c r="B33" s="58"/>
      <c r="C33" s="32" t="s">
        <v>129</v>
      </c>
      <c r="D33" s="68">
        <f>293056+4000000</f>
        <v>4293056</v>
      </c>
      <c r="E33" s="68">
        <f>280501+5000000</f>
        <v>5280501</v>
      </c>
      <c r="F33" s="68">
        <v>0</v>
      </c>
      <c r="G33" s="68">
        <v>0</v>
      </c>
      <c r="H33" s="68">
        <v>15000</v>
      </c>
      <c r="I33" s="68">
        <f t="shared" si="1"/>
        <v>9588557</v>
      </c>
    </row>
    <row r="34" spans="2:9" ht="12.75">
      <c r="B34" s="58"/>
      <c r="C34" s="32" t="s">
        <v>130</v>
      </c>
      <c r="D34" s="68">
        <f>281548+4000000</f>
        <v>4281548</v>
      </c>
      <c r="E34" s="68">
        <f>7901</f>
        <v>7901</v>
      </c>
      <c r="F34" s="68">
        <v>0</v>
      </c>
      <c r="G34" s="68">
        <v>0</v>
      </c>
      <c r="H34" s="68">
        <v>0</v>
      </c>
      <c r="I34" s="68">
        <f t="shared" si="1"/>
        <v>4289449</v>
      </c>
    </row>
    <row r="35" spans="2:9" ht="12.75">
      <c r="B35" s="58"/>
      <c r="C35" s="32" t="s">
        <v>131</v>
      </c>
      <c r="D35" s="68">
        <f>37981+119059</f>
        <v>157040</v>
      </c>
      <c r="E35" s="68">
        <f>127910</f>
        <v>127910</v>
      </c>
      <c r="F35" s="68">
        <v>0</v>
      </c>
      <c r="G35" s="68">
        <v>0</v>
      </c>
      <c r="H35" s="68">
        <v>0</v>
      </c>
      <c r="I35" s="68">
        <f t="shared" si="1"/>
        <v>284950</v>
      </c>
    </row>
    <row r="36" spans="2:9" ht="12.75">
      <c r="B36" s="58"/>
      <c r="C36" s="32" t="s">
        <v>132</v>
      </c>
      <c r="D36" s="68">
        <f>161196+3000000</f>
        <v>3161196</v>
      </c>
      <c r="E36" s="68">
        <v>0</v>
      </c>
      <c r="F36" s="68">
        <v>0</v>
      </c>
      <c r="G36" s="68">
        <v>0</v>
      </c>
      <c r="H36" s="68">
        <v>0</v>
      </c>
      <c r="I36" s="68">
        <f t="shared" si="1"/>
        <v>3161196</v>
      </c>
    </row>
    <row r="37" spans="2:9" ht="12.75">
      <c r="B37" s="58"/>
      <c r="C37" s="32" t="s">
        <v>133</v>
      </c>
      <c r="D37" s="68">
        <f>219767+35000+3000000</f>
        <v>3254767</v>
      </c>
      <c r="E37" s="68">
        <v>0</v>
      </c>
      <c r="F37" s="68">
        <v>0</v>
      </c>
      <c r="G37" s="68">
        <v>0</v>
      </c>
      <c r="H37" s="68">
        <v>0</v>
      </c>
      <c r="I37" s="68">
        <f t="shared" si="1"/>
        <v>3254767</v>
      </c>
    </row>
    <row r="38" spans="2:9" ht="12.75">
      <c r="B38" s="326" t="s">
        <v>134</v>
      </c>
      <c r="C38" s="326"/>
      <c r="D38" s="68">
        <f>18990+30000+1000000</f>
        <v>1048990</v>
      </c>
      <c r="E38" s="68">
        <v>0</v>
      </c>
      <c r="F38" s="68">
        <v>0</v>
      </c>
      <c r="G38" s="68">
        <v>0</v>
      </c>
      <c r="H38" s="68">
        <v>0</v>
      </c>
      <c r="I38" s="68">
        <f t="shared" si="1"/>
        <v>1048990</v>
      </c>
    </row>
    <row r="39" spans="2:9" ht="12.75">
      <c r="B39" s="326" t="s">
        <v>135</v>
      </c>
      <c r="C39" s="326"/>
      <c r="D39" s="68">
        <f>75363-65000</f>
        <v>10363</v>
      </c>
      <c r="E39" s="68">
        <v>0</v>
      </c>
      <c r="F39" s="68">
        <v>0</v>
      </c>
      <c r="G39" s="68">
        <v>0</v>
      </c>
      <c r="H39" s="68">
        <v>23400</v>
      </c>
      <c r="I39" s="68">
        <f t="shared" si="1"/>
        <v>33763</v>
      </c>
    </row>
    <row r="40" spans="1:9" ht="12.75">
      <c r="A40" s="23" t="s">
        <v>213</v>
      </c>
      <c r="B40" s="88"/>
      <c r="C40" s="88"/>
      <c r="D40" s="68"/>
      <c r="E40" s="68"/>
      <c r="F40" s="68"/>
      <c r="G40" s="68"/>
      <c r="H40" s="68"/>
      <c r="I40" s="68"/>
    </row>
    <row r="41" spans="2:9" ht="12.75">
      <c r="B41" s="58" t="s">
        <v>214</v>
      </c>
      <c r="C41" s="58"/>
      <c r="D41" s="68">
        <v>0</v>
      </c>
      <c r="E41" s="68">
        <v>0</v>
      </c>
      <c r="F41" s="68">
        <v>0</v>
      </c>
      <c r="G41" s="68">
        <f>11975+36000</f>
        <v>47975</v>
      </c>
      <c r="H41" s="68">
        <v>0</v>
      </c>
      <c r="I41" s="68">
        <f>SUM(D41:H41)</f>
        <v>47975</v>
      </c>
    </row>
    <row r="42" spans="2:9" ht="12.75">
      <c r="B42" s="58" t="s">
        <v>215</v>
      </c>
      <c r="C42" s="58"/>
      <c r="D42" s="68">
        <v>0</v>
      </c>
      <c r="E42" s="68">
        <v>0</v>
      </c>
      <c r="F42" s="68">
        <v>0</v>
      </c>
      <c r="G42" s="68">
        <v>1100</v>
      </c>
      <c r="H42" s="68">
        <v>0</v>
      </c>
      <c r="I42" s="68">
        <f>SUM(D42:H42)</f>
        <v>1100</v>
      </c>
    </row>
    <row r="43" spans="1:9" ht="12.75">
      <c r="A43" s="23" t="s">
        <v>216</v>
      </c>
      <c r="B43" s="88"/>
      <c r="C43" s="88"/>
      <c r="D43" s="74"/>
      <c r="E43" s="74"/>
      <c r="F43" s="68"/>
      <c r="G43" s="74"/>
      <c r="H43" s="68"/>
      <c r="I43" s="68"/>
    </row>
    <row r="44" spans="2:9" ht="12.75">
      <c r="B44" s="58" t="s">
        <v>217</v>
      </c>
      <c r="C44" s="58"/>
      <c r="D44" s="74">
        <v>0</v>
      </c>
      <c r="E44" s="74">
        <v>0</v>
      </c>
      <c r="F44" s="68">
        <v>0</v>
      </c>
      <c r="G44" s="74">
        <f>1747471-7000+950000+6001882</f>
        <v>8692353</v>
      </c>
      <c r="H44" s="68">
        <v>0</v>
      </c>
      <c r="I44" s="68">
        <f>SUM(D44:H44)</f>
        <v>8692353</v>
      </c>
    </row>
    <row r="45" spans="2:9" ht="12.75">
      <c r="B45" s="58" t="s">
        <v>218</v>
      </c>
      <c r="C45" s="58"/>
      <c r="D45" s="74">
        <v>0</v>
      </c>
      <c r="E45" s="74">
        <v>0</v>
      </c>
      <c r="F45" s="68">
        <v>0</v>
      </c>
      <c r="G45" s="74">
        <v>214000</v>
      </c>
      <c r="H45" s="68">
        <v>0</v>
      </c>
      <c r="I45" s="68">
        <f>SUM(D45:H45)</f>
        <v>214000</v>
      </c>
    </row>
    <row r="46" spans="2:9" ht="12.75">
      <c r="B46" s="58" t="s">
        <v>219</v>
      </c>
      <c r="C46" s="58"/>
      <c r="D46" s="70">
        <v>0</v>
      </c>
      <c r="E46" s="70">
        <v>0</v>
      </c>
      <c r="F46" s="68">
        <v>0</v>
      </c>
      <c r="G46" s="70">
        <f>101000+7000</f>
        <v>108000</v>
      </c>
      <c r="H46" s="68">
        <v>0</v>
      </c>
      <c r="I46" s="68">
        <f>SUM(D46:H46)</f>
        <v>108000</v>
      </c>
    </row>
    <row r="47" spans="2:11" ht="12.75">
      <c r="B47" s="58"/>
      <c r="C47" s="58" t="s">
        <v>220</v>
      </c>
      <c r="D47" s="73">
        <f aca="true" t="shared" si="2" ref="D47:I47">SUM(D21:D46)</f>
        <v>32957601.2</v>
      </c>
      <c r="E47" s="73">
        <f t="shared" si="2"/>
        <v>118950714</v>
      </c>
      <c r="F47" s="73">
        <f t="shared" si="2"/>
        <v>644028</v>
      </c>
      <c r="G47" s="73">
        <f t="shared" si="2"/>
        <v>9063428</v>
      </c>
      <c r="H47" s="73">
        <f t="shared" si="2"/>
        <v>197774</v>
      </c>
      <c r="I47" s="73">
        <f t="shared" si="2"/>
        <v>161813545.2</v>
      </c>
      <c r="K47" s="75">
        <f>SUM(D47:H47)-I47</f>
        <v>0</v>
      </c>
    </row>
    <row r="48" spans="2:9" ht="12.75">
      <c r="B48" s="58"/>
      <c r="C48" s="107" t="s">
        <v>221</v>
      </c>
      <c r="D48" s="73">
        <f>D17+-D47</f>
        <v>146935.80000000075</v>
      </c>
      <c r="E48" s="73">
        <f>E17+-E47</f>
        <v>14000</v>
      </c>
      <c r="F48" s="73">
        <v>81972</v>
      </c>
      <c r="G48" s="73">
        <f>G17-G47</f>
        <v>-152871</v>
      </c>
      <c r="H48" s="73">
        <v>0</v>
      </c>
      <c r="I48" s="73">
        <f>I17-I47</f>
        <v>90036.80000001192</v>
      </c>
    </row>
    <row r="49" spans="2:9" ht="12.75">
      <c r="B49" s="58"/>
      <c r="D49" s="68"/>
      <c r="E49" s="68"/>
      <c r="F49" s="68"/>
      <c r="G49" s="68"/>
      <c r="H49" s="68"/>
      <c r="I49" s="68"/>
    </row>
    <row r="50" spans="1:9" ht="12.75">
      <c r="A50" s="23" t="s">
        <v>222</v>
      </c>
      <c r="B50" s="88"/>
      <c r="C50" s="23"/>
      <c r="D50" s="68"/>
      <c r="E50" s="68"/>
      <c r="F50" s="68"/>
      <c r="G50" s="68"/>
      <c r="H50" s="68"/>
      <c r="I50" s="68"/>
    </row>
    <row r="51" spans="1:9" ht="12.75">
      <c r="A51" s="326" t="s">
        <v>223</v>
      </c>
      <c r="B51" s="326"/>
      <c r="C51" s="326"/>
      <c r="D51" s="68">
        <v>0</v>
      </c>
      <c r="E51" s="68">
        <v>-14000</v>
      </c>
      <c r="F51" s="68">
        <v>0</v>
      </c>
      <c r="G51" s="68">
        <v>0</v>
      </c>
      <c r="H51" s="68">
        <v>0</v>
      </c>
      <c r="I51" s="68">
        <v>-14000</v>
      </c>
    </row>
    <row r="52" spans="1:9" ht="12.75">
      <c r="A52" s="326" t="s">
        <v>224</v>
      </c>
      <c r="B52" s="326"/>
      <c r="C52" s="326"/>
      <c r="D52" s="68">
        <v>0</v>
      </c>
      <c r="E52" s="68">
        <v>0</v>
      </c>
      <c r="F52" s="68">
        <v>0</v>
      </c>
      <c r="G52" s="68">
        <v>200000</v>
      </c>
      <c r="H52" s="68">
        <v>0</v>
      </c>
      <c r="I52" s="68">
        <v>19000</v>
      </c>
    </row>
    <row r="53" spans="1:9" ht="12.75">
      <c r="A53" s="326" t="s">
        <v>225</v>
      </c>
      <c r="B53" s="326"/>
      <c r="C53" s="326"/>
      <c r="D53" s="70">
        <v>0</v>
      </c>
      <c r="E53" s="70">
        <v>0</v>
      </c>
      <c r="F53" s="70">
        <v>0</v>
      </c>
      <c r="G53" s="70">
        <v>19000</v>
      </c>
      <c r="H53" s="70">
        <v>0</v>
      </c>
      <c r="I53" s="70">
        <v>200000</v>
      </c>
    </row>
    <row r="54" spans="2:9" ht="12.75">
      <c r="B54" s="326" t="s">
        <v>226</v>
      </c>
      <c r="C54" s="326"/>
      <c r="D54" s="73">
        <v>0</v>
      </c>
      <c r="E54" s="73">
        <v>-14000</v>
      </c>
      <c r="F54" s="73">
        <v>0</v>
      </c>
      <c r="G54" s="73">
        <v>219000</v>
      </c>
      <c r="H54" s="73">
        <v>0</v>
      </c>
      <c r="I54" s="70">
        <f>SUM(I51:I53)</f>
        <v>205000</v>
      </c>
    </row>
    <row r="55" spans="2:9" ht="12.75">
      <c r="B55" s="326" t="s">
        <v>227</v>
      </c>
      <c r="C55" s="326"/>
      <c r="D55" s="68">
        <f>D48+SUM(D51:D53)</f>
        <v>146935.80000000075</v>
      </c>
      <c r="E55" s="68">
        <v>0</v>
      </c>
      <c r="F55" s="68">
        <v>81972</v>
      </c>
      <c r="G55" s="68">
        <v>66129</v>
      </c>
      <c r="H55" s="68">
        <v>0</v>
      </c>
      <c r="I55" s="74">
        <f>SUM(D55:H55)</f>
        <v>295036.80000000075</v>
      </c>
    </row>
    <row r="56" spans="1:11" ht="12.75">
      <c r="A56" s="19" t="s">
        <v>228</v>
      </c>
      <c r="D56" s="74">
        <v>26055</v>
      </c>
      <c r="E56" s="74">
        <v>0</v>
      </c>
      <c r="F56" s="74">
        <v>18100</v>
      </c>
      <c r="G56" s="74">
        <v>159871</v>
      </c>
      <c r="H56" s="74">
        <v>0</v>
      </c>
      <c r="I56" s="74">
        <v>204026</v>
      </c>
      <c r="K56" s="76"/>
    </row>
    <row r="57" spans="1:9" ht="12.75">
      <c r="A57" s="19" t="s">
        <v>229</v>
      </c>
      <c r="D57" s="74">
        <v>1200</v>
      </c>
      <c r="E57" s="74">
        <v>0</v>
      </c>
      <c r="F57" s="74">
        <v>0</v>
      </c>
      <c r="G57" s="74">
        <v>0</v>
      </c>
      <c r="H57" s="74">
        <v>0</v>
      </c>
      <c r="I57" s="74">
        <v>1200</v>
      </c>
    </row>
    <row r="58" spans="1:10" ht="13.5" thickBot="1">
      <c r="A58" s="19" t="s">
        <v>230</v>
      </c>
      <c r="D58" s="78">
        <f>SUM(D55:D57)</f>
        <v>174190.80000000075</v>
      </c>
      <c r="E58" s="78">
        <v>0</v>
      </c>
      <c r="F58" s="78">
        <v>100072</v>
      </c>
      <c r="G58" s="78">
        <v>226000</v>
      </c>
      <c r="H58" s="78">
        <v>0</v>
      </c>
      <c r="I58" s="78">
        <f>SUM(I55:I57)</f>
        <v>500262.80000000075</v>
      </c>
      <c r="J58" s="75"/>
    </row>
    <row r="59" ht="14.25" thickBot="1" thickTop="1"/>
    <row r="60" spans="1:4" ht="12.75">
      <c r="A60" s="327" t="s">
        <v>231</v>
      </c>
      <c r="B60" s="328"/>
      <c r="C60" s="328"/>
      <c r="D60" s="329"/>
    </row>
    <row r="61" spans="1:4" ht="13.5" thickBot="1">
      <c r="A61" s="330"/>
      <c r="B61" s="331"/>
      <c r="C61" s="331"/>
      <c r="D61" s="332"/>
    </row>
    <row r="62" ht="12.75">
      <c r="A62" s="19" t="str">
        <f>'[3]GWStmtAct'!A61</f>
        <v>The notes to the financial statements are an integral part of this statement.</v>
      </c>
    </row>
    <row r="63" ht="12.75">
      <c r="I63" s="92"/>
    </row>
  </sheetData>
  <sheetProtection/>
  <mergeCells count="14">
    <mergeCell ref="B55:C55"/>
    <mergeCell ref="A60:D61"/>
    <mergeCell ref="B38:C38"/>
    <mergeCell ref="B39:C39"/>
    <mergeCell ref="A51:C51"/>
    <mergeCell ref="A52:C52"/>
    <mergeCell ref="A53:C53"/>
    <mergeCell ref="B54:C54"/>
    <mergeCell ref="B28:C28"/>
    <mergeCell ref="A2:I2"/>
    <mergeCell ref="A3:I3"/>
    <mergeCell ref="A4:I4"/>
    <mergeCell ref="A5:I5"/>
    <mergeCell ref="B21:C21"/>
  </mergeCells>
  <printOptions/>
  <pageMargins left="0.7" right="0.7" top="0.75" bottom="0.75" header="0.3" footer="0.3"/>
  <pageSetup horizontalDpi="600" verticalDpi="600" orientation="portrait" scale="62" r:id="rId1"/>
</worksheet>
</file>

<file path=xl/worksheets/sheet5.xml><?xml version="1.0" encoding="utf-8"?>
<worksheet xmlns="http://schemas.openxmlformats.org/spreadsheetml/2006/main" xmlns:r="http://schemas.openxmlformats.org/officeDocument/2006/relationships">
  <dimension ref="A1:I50"/>
  <sheetViews>
    <sheetView showGridLines="0" zoomScalePageLayoutView="0" workbookViewId="0" topLeftCell="A4">
      <selection activeCell="F26" sqref="F26"/>
    </sheetView>
  </sheetViews>
  <sheetFormatPr defaultColWidth="9.140625" defaultRowHeight="12.75"/>
  <cols>
    <col min="1" max="3" width="2.7109375" style="19" customWidth="1"/>
    <col min="4" max="4" width="45.7109375" style="19" customWidth="1"/>
    <col min="5" max="5" width="9.140625" style="19" customWidth="1"/>
    <col min="6" max="6" width="12.421875" style="19" customWidth="1"/>
    <col min="7" max="7" width="10.421875" style="19" bestFit="1" customWidth="1"/>
    <col min="8" max="8" width="11.28125" style="19" customWidth="1"/>
    <col min="9" max="16384" width="9.140625" style="19" customWidth="1"/>
  </cols>
  <sheetData>
    <row r="1" ht="12.75">
      <c r="F1" s="108" t="s">
        <v>232</v>
      </c>
    </row>
    <row r="2" spans="1:6" ht="12.75">
      <c r="A2" s="311" t="str">
        <f>'[3]GWNetPos'!A2</f>
        <v>Carolina County Board of Education, North Carolina</v>
      </c>
      <c r="B2" s="311"/>
      <c r="C2" s="311"/>
      <c r="D2" s="311"/>
      <c r="E2" s="311"/>
      <c r="F2" s="311"/>
    </row>
    <row r="3" spans="1:6" ht="12.75">
      <c r="A3" s="311" t="s">
        <v>199</v>
      </c>
      <c r="B3" s="311"/>
      <c r="C3" s="311"/>
      <c r="D3" s="311"/>
      <c r="E3" s="311"/>
      <c r="F3" s="311"/>
    </row>
    <row r="4" spans="1:6" ht="12.75">
      <c r="A4" s="311" t="s">
        <v>163</v>
      </c>
      <c r="B4" s="311"/>
      <c r="C4" s="311"/>
      <c r="D4" s="311"/>
      <c r="E4" s="311"/>
      <c r="F4" s="311"/>
    </row>
    <row r="5" spans="1:6" ht="12.75">
      <c r="A5" s="311" t="str">
        <f>GASB34GovtFundsIS!A5</f>
        <v>For the Year Ended June 30, 2019</v>
      </c>
      <c r="B5" s="311"/>
      <c r="C5" s="311"/>
      <c r="D5" s="311"/>
      <c r="E5" s="311"/>
      <c r="F5" s="311"/>
    </row>
    <row r="6" ht="12.75"/>
    <row r="7" ht="12.75"/>
    <row r="8" ht="12.75">
      <c r="A8" s="19" t="s">
        <v>233</v>
      </c>
    </row>
    <row r="9" ht="12.75">
      <c r="B9" s="19" t="s">
        <v>234</v>
      </c>
    </row>
    <row r="10" ht="12.75"/>
    <row r="11" spans="3:8" ht="12.75">
      <c r="C11" s="19" t="s">
        <v>235</v>
      </c>
      <c r="F11" s="33">
        <f>GASB34GovtFundsIS!I55</f>
        <v>295036.80000000075</v>
      </c>
      <c r="H11" s="33"/>
    </row>
    <row r="12" spans="3:6" ht="12.75">
      <c r="C12" s="19" t="s">
        <v>236</v>
      </c>
      <c r="F12" s="75">
        <f>'[3]GASB34GovtFundsIS'!D57</f>
        <v>1200</v>
      </c>
    </row>
    <row r="13" ht="12.75"/>
    <row r="14" spans="4:6" ht="89.25">
      <c r="D14" s="32" t="s">
        <v>237</v>
      </c>
      <c r="F14" s="75">
        <f>1826600+(570000-369090)+6001882-1</f>
        <v>8029391</v>
      </c>
    </row>
    <row r="15" ht="12.75">
      <c r="F15" s="35"/>
    </row>
    <row r="16" spans="4:6" ht="25.5">
      <c r="D16" s="32" t="s">
        <v>238</v>
      </c>
      <c r="F16" s="35">
        <f>50000*0.8</f>
        <v>40000</v>
      </c>
    </row>
    <row r="17" spans="4:6" ht="25.5">
      <c r="D17" s="32" t="s">
        <v>239</v>
      </c>
      <c r="F17" s="35">
        <f>30000*0.8+(0.8*0.5*1400)</f>
        <v>24560</v>
      </c>
    </row>
    <row r="18" spans="4:6" ht="25.5">
      <c r="D18" s="32" t="s">
        <v>240</v>
      </c>
      <c r="F18" s="35">
        <f>-20-25888</f>
        <v>-25908</v>
      </c>
    </row>
    <row r="19" spans="4:6" ht="12.75">
      <c r="D19" s="32"/>
      <c r="F19" s="35"/>
    </row>
    <row r="20" spans="4:6" ht="139.5" customHeight="1">
      <c r="D20" s="109" t="s">
        <v>241</v>
      </c>
      <c r="F20" s="35">
        <f>-207025+36000-5511</f>
        <v>-176536</v>
      </c>
    </row>
    <row r="21" spans="4:6" ht="12.75">
      <c r="D21" s="32"/>
      <c r="F21" s="35"/>
    </row>
    <row r="22" spans="4:6" ht="25.5">
      <c r="D22" s="32" t="s">
        <v>242</v>
      </c>
      <c r="F22" s="35">
        <f>-773+329</f>
        <v>-444</v>
      </c>
    </row>
    <row r="23" spans="4:6" ht="12.75">
      <c r="D23" s="32"/>
      <c r="F23" s="35"/>
    </row>
    <row r="24" spans="4:9" ht="51">
      <c r="D24" s="32" t="s">
        <v>243</v>
      </c>
      <c r="F24" s="35"/>
      <c r="I24" s="33">
        <f>F30-GWStmtAct!G53</f>
        <v>-0.19999998155981302</v>
      </c>
    </row>
    <row r="25" spans="4:6" ht="12.75">
      <c r="D25" s="38" t="s">
        <v>244</v>
      </c>
      <c r="F25" s="35">
        <f>-0.8*(94314)-(16100)</f>
        <v>-91551.2</v>
      </c>
    </row>
    <row r="26" spans="4:6" ht="12.75">
      <c r="D26" s="38" t="s">
        <v>245</v>
      </c>
      <c r="F26" s="35">
        <f>(12699+(0.5*547))*0.8+1+77</f>
        <v>10456</v>
      </c>
    </row>
    <row r="27" spans="4:6" ht="12.75">
      <c r="D27" s="38" t="s">
        <v>246</v>
      </c>
      <c r="F27" s="35">
        <v>-63000</v>
      </c>
    </row>
    <row r="28" spans="4:6" ht="12.75">
      <c r="D28" s="38" t="s">
        <v>247</v>
      </c>
      <c r="F28" s="37">
        <v>-8000</v>
      </c>
    </row>
    <row r="29" spans="6:8" ht="12.75">
      <c r="F29" s="35"/>
      <c r="H29" s="33"/>
    </row>
    <row r="30" spans="4:8" ht="13.5" thickBot="1">
      <c r="D30" s="19" t="s">
        <v>248</v>
      </c>
      <c r="F30" s="110">
        <f>SUM(F11:F28)+1</f>
        <v>8035205.600000001</v>
      </c>
      <c r="H30" s="33"/>
    </row>
    <row r="31" ht="13.5" thickTop="1">
      <c r="F31" s="35"/>
    </row>
    <row r="32" ht="12.75">
      <c r="A32" s="19" t="str">
        <f>'[3]GWStmtAct'!A61</f>
        <v>The notes to the financial statements are an integral part of this statement.</v>
      </c>
    </row>
    <row r="33" spans="6:7" ht="12.75">
      <c r="F33" s="33"/>
      <c r="G33" s="84"/>
    </row>
    <row r="37" ht="12.75">
      <c r="F37" s="33"/>
    </row>
    <row r="41" ht="12.75">
      <c r="F41" s="33"/>
    </row>
    <row r="50" ht="12.75">
      <c r="D50" s="65" t="s">
        <v>249</v>
      </c>
    </row>
  </sheetData>
  <sheetProtection/>
  <mergeCells count="4">
    <mergeCell ref="A2:F2"/>
    <mergeCell ref="A3:F3"/>
    <mergeCell ref="A4:F4"/>
    <mergeCell ref="A5:F5"/>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Q71"/>
  <sheetViews>
    <sheetView showGridLines="0" zoomScalePageLayoutView="0" workbookViewId="0" topLeftCell="A19">
      <selection activeCell="D56" sqref="D56"/>
    </sheetView>
  </sheetViews>
  <sheetFormatPr defaultColWidth="9.140625" defaultRowHeight="12.75"/>
  <cols>
    <col min="1" max="2" width="1.7109375" style="19" customWidth="1"/>
    <col min="3" max="3" width="36.28125" style="19" bestFit="1" customWidth="1"/>
    <col min="4" max="4" width="12.421875" style="19" customWidth="1"/>
    <col min="5" max="5" width="11.7109375" style="19" customWidth="1"/>
    <col min="6" max="6" width="12.421875" style="19" customWidth="1"/>
    <col min="7" max="7" width="12.8515625" style="19" customWidth="1"/>
    <col min="8" max="8" width="2.7109375" style="19" customWidth="1"/>
    <col min="9" max="11" width="13.8515625" style="19" customWidth="1"/>
    <col min="12" max="12" width="12.28125" style="19" customWidth="1"/>
    <col min="13" max="13" width="9.140625" style="19" customWidth="1"/>
    <col min="14" max="16384" width="9.140625" style="19" customWidth="1"/>
  </cols>
  <sheetData>
    <row r="1" spans="7:12" ht="12.75">
      <c r="G1" s="65"/>
      <c r="L1" s="65" t="s">
        <v>250</v>
      </c>
    </row>
    <row r="2" spans="1:12" ht="12.75">
      <c r="A2" s="111"/>
      <c r="B2" s="311" t="str">
        <f>'[3]GWNetPos'!A2</f>
        <v>Carolina County Board of Education, North Carolina</v>
      </c>
      <c r="C2" s="311"/>
      <c r="D2" s="311"/>
      <c r="E2" s="311"/>
      <c r="F2" s="311"/>
      <c r="G2" s="311"/>
      <c r="H2" s="311"/>
      <c r="I2" s="311"/>
      <c r="J2" s="311"/>
      <c r="K2" s="311"/>
      <c r="L2" s="311"/>
    </row>
    <row r="3" spans="1:12" ht="12.75">
      <c r="A3" s="111"/>
      <c r="B3" s="311" t="s">
        <v>251</v>
      </c>
      <c r="C3" s="311"/>
      <c r="D3" s="311"/>
      <c r="E3" s="311"/>
      <c r="F3" s="311"/>
      <c r="G3" s="311"/>
      <c r="H3" s="311"/>
      <c r="I3" s="311"/>
      <c r="J3" s="311"/>
      <c r="K3" s="311"/>
      <c r="L3" s="311"/>
    </row>
    <row r="4" spans="1:12" ht="12.75">
      <c r="A4" s="111"/>
      <c r="B4" s="311" t="s">
        <v>252</v>
      </c>
      <c r="C4" s="311"/>
      <c r="D4" s="311"/>
      <c r="E4" s="311"/>
      <c r="F4" s="311"/>
      <c r="G4" s="311"/>
      <c r="H4" s="311"/>
      <c r="I4" s="311"/>
      <c r="J4" s="311"/>
      <c r="K4" s="311"/>
      <c r="L4" s="311"/>
    </row>
    <row r="5" spans="1:12" ht="12.75">
      <c r="A5" s="111"/>
      <c r="B5" s="333" t="s">
        <v>556</v>
      </c>
      <c r="C5" s="333"/>
      <c r="D5" s="333"/>
      <c r="E5" s="333"/>
      <c r="F5" s="333"/>
      <c r="G5" s="333"/>
      <c r="H5" s="333"/>
      <c r="I5" s="333"/>
      <c r="J5" s="333"/>
      <c r="K5" s="333"/>
      <c r="L5" s="333"/>
    </row>
    <row r="8" spans="4:12" ht="12.75">
      <c r="D8" s="112" t="s">
        <v>253</v>
      </c>
      <c r="E8" s="113"/>
      <c r="F8" s="113"/>
      <c r="G8" s="114"/>
      <c r="I8" s="22" t="s">
        <v>254</v>
      </c>
      <c r="J8" s="111"/>
      <c r="K8" s="111"/>
      <c r="L8" s="111"/>
    </row>
    <row r="9" spans="4:12" ht="51">
      <c r="D9" s="115" t="s">
        <v>255</v>
      </c>
      <c r="E9" s="115" t="s">
        <v>256</v>
      </c>
      <c r="F9" s="115" t="s">
        <v>257</v>
      </c>
      <c r="G9" s="115" t="s">
        <v>258</v>
      </c>
      <c r="I9" s="115" t="s">
        <v>255</v>
      </c>
      <c r="J9" s="115" t="s">
        <v>256</v>
      </c>
      <c r="K9" s="115" t="s">
        <v>257</v>
      </c>
      <c r="L9" s="115" t="s">
        <v>258</v>
      </c>
    </row>
    <row r="10" ht="12.75">
      <c r="A10" s="20" t="s">
        <v>259</v>
      </c>
    </row>
    <row r="11" spans="2:14" ht="12.75">
      <c r="B11" s="19" t="s">
        <v>201</v>
      </c>
      <c r="C11" s="86"/>
      <c r="D11" s="116">
        <f>755275+561+48500*0.8+0.8*27219+0.8*0.5*1260+(50000*0.8)+(30000*0.8)+(1400*0.8*0.5)</f>
        <v>881475.2</v>
      </c>
      <c r="E11" s="116">
        <f>685275+48500*0.8+0.8*27219+0.8*0.5*1260+(50000*0.8)+(30000*0.8)+(1400*0.8*0.5)</f>
        <v>810914.2</v>
      </c>
      <c r="F11" s="116">
        <v>702640</v>
      </c>
      <c r="G11" s="116">
        <f>F11-E11</f>
        <v>-108274.19999999995</v>
      </c>
      <c r="I11" s="116">
        <f>3964350+115000000</f>
        <v>118964350</v>
      </c>
      <c r="J11" s="116">
        <f>3964350+115000000</f>
        <v>118964350</v>
      </c>
      <c r="K11" s="116">
        <f>3964714+115000000</f>
        <v>118964714</v>
      </c>
      <c r="L11" s="116">
        <v>364</v>
      </c>
      <c r="N11" s="76"/>
    </row>
    <row r="12" spans="2:12" ht="12.75">
      <c r="B12" s="19" t="s">
        <v>202</v>
      </c>
      <c r="C12" s="86"/>
      <c r="D12" s="117">
        <f>1979200+30119059</f>
        <v>32098259</v>
      </c>
      <c r="E12" s="117">
        <f>2000000+30119059+1032+198968</f>
        <v>32319059</v>
      </c>
      <c r="F12" s="117">
        <v>32319059</v>
      </c>
      <c r="G12" s="117">
        <f>E12-F12</f>
        <v>0</v>
      </c>
      <c r="I12" s="117">
        <v>0</v>
      </c>
      <c r="J12" s="117">
        <v>0</v>
      </c>
      <c r="K12" s="117">
        <v>0</v>
      </c>
      <c r="L12" s="117">
        <v>0</v>
      </c>
    </row>
    <row r="13" spans="2:12" ht="12.75">
      <c r="B13" s="19" t="s">
        <v>260</v>
      </c>
      <c r="C13" s="86"/>
      <c r="D13" s="117">
        <v>0</v>
      </c>
      <c r="E13" s="117">
        <v>0</v>
      </c>
      <c r="F13" s="117">
        <v>0</v>
      </c>
      <c r="G13" s="117">
        <v>0</v>
      </c>
      <c r="I13" s="117">
        <v>0</v>
      </c>
      <c r="J13" s="117">
        <v>0</v>
      </c>
      <c r="K13" s="117">
        <v>0</v>
      </c>
      <c r="L13" s="117">
        <v>0</v>
      </c>
    </row>
    <row r="14" spans="2:12" ht="12.75">
      <c r="B14" s="19" t="s">
        <v>261</v>
      </c>
      <c r="C14" s="86"/>
      <c r="D14" s="117">
        <v>0</v>
      </c>
      <c r="E14" s="117">
        <v>0</v>
      </c>
      <c r="F14" s="117">
        <v>0</v>
      </c>
      <c r="G14" s="117">
        <v>0</v>
      </c>
      <c r="I14" s="117">
        <v>0</v>
      </c>
      <c r="J14" s="117">
        <v>0</v>
      </c>
      <c r="K14" s="117">
        <v>0</v>
      </c>
      <c r="L14" s="117">
        <v>0</v>
      </c>
    </row>
    <row r="15" spans="2:12" ht="12.75">
      <c r="B15" s="19" t="s">
        <v>204</v>
      </c>
      <c r="C15" s="86"/>
      <c r="D15" s="118">
        <v>40000</v>
      </c>
      <c r="E15" s="118">
        <f>50800-1032</f>
        <v>49768</v>
      </c>
      <c r="F15" s="118">
        <f>42838-1032+40000+1032</f>
        <v>82838</v>
      </c>
      <c r="G15" s="118">
        <f>F15-E15</f>
        <v>33070</v>
      </c>
      <c r="I15" s="118">
        <v>0</v>
      </c>
      <c r="J15" s="118">
        <v>0</v>
      </c>
      <c r="K15" s="118">
        <v>0</v>
      </c>
      <c r="L15" s="118">
        <v>0</v>
      </c>
    </row>
    <row r="16" spans="3:12" ht="12.75">
      <c r="C16" s="86" t="s">
        <v>207</v>
      </c>
      <c r="D16" s="119">
        <f>SUM(D11:D15)</f>
        <v>33019734.2</v>
      </c>
      <c r="E16" s="119">
        <f>SUM(E11:E15)</f>
        <v>33179741.2</v>
      </c>
      <c r="F16" s="119">
        <f>SUM(F11:F15)</f>
        <v>33104537</v>
      </c>
      <c r="G16" s="119">
        <f>SUM(G11:G15)</f>
        <v>-75204.19999999995</v>
      </c>
      <c r="I16" s="119">
        <f>SUM(I11:I15)</f>
        <v>118964350</v>
      </c>
      <c r="J16" s="119">
        <f>SUM(J11:J15)</f>
        <v>118964350</v>
      </c>
      <c r="K16" s="119">
        <f>SUM(K11:K15)</f>
        <v>118964714</v>
      </c>
      <c r="L16" s="119">
        <v>364</v>
      </c>
    </row>
    <row r="17" spans="4:12" ht="12.75">
      <c r="D17" s="117"/>
      <c r="E17" s="117"/>
      <c r="F17" s="117"/>
      <c r="G17" s="117"/>
      <c r="I17" s="117"/>
      <c r="J17" s="117"/>
      <c r="K17" s="117"/>
      <c r="L17" s="117"/>
    </row>
    <row r="18" spans="1:16" ht="12.75">
      <c r="A18" s="20" t="s">
        <v>262</v>
      </c>
      <c r="D18" s="117"/>
      <c r="E18" s="117"/>
      <c r="F18" s="117"/>
      <c r="G18" s="117"/>
      <c r="I18" s="117"/>
      <c r="J18" s="117"/>
      <c r="K18" s="117"/>
      <c r="L18" s="117"/>
      <c r="P18" s="76"/>
    </row>
    <row r="19" spans="1:16" ht="12.75">
      <c r="A19" s="20" t="s">
        <v>209</v>
      </c>
      <c r="D19" s="117"/>
      <c r="E19" s="117"/>
      <c r="F19" s="117"/>
      <c r="G19" s="117"/>
      <c r="I19" s="117"/>
      <c r="J19" s="117"/>
      <c r="K19" s="117"/>
      <c r="L19" s="117"/>
      <c r="O19" s="75">
        <f>E16-E46</f>
        <v>0</v>
      </c>
      <c r="P19" s="75"/>
    </row>
    <row r="20" spans="1:12" ht="12.75">
      <c r="A20" s="86"/>
      <c r="B20" s="86" t="s">
        <v>117</v>
      </c>
      <c r="D20" s="117"/>
      <c r="E20" s="117"/>
      <c r="F20" s="117"/>
      <c r="G20" s="117"/>
      <c r="I20" s="117"/>
      <c r="J20" s="117"/>
      <c r="K20" s="117"/>
      <c r="L20" s="117"/>
    </row>
    <row r="21" spans="1:12" ht="12.75">
      <c r="A21" s="86"/>
      <c r="C21" s="58" t="s">
        <v>118</v>
      </c>
      <c r="D21" s="117">
        <f>939113+5000000+48500*0.8+0.8*27219+0.8*0.5*1260+(50000*0.8)+(30000*0.8)+(1400*0.8+0.5)</f>
        <v>6065312.7</v>
      </c>
      <c r="E21" s="117">
        <f>939113+5000000+48500*0.8+0.8*27219+0.8*0.5*1260+(50000*0.8)+(30000*0.8)+(1400*0.8*0.5)</f>
        <v>6064752.2</v>
      </c>
      <c r="F21" s="117">
        <f>GASB34GovtFundsIS!D22</f>
        <v>6063981.2</v>
      </c>
      <c r="G21" s="117">
        <f>E21-F21</f>
        <v>771</v>
      </c>
      <c r="I21" s="117">
        <f>2700000+75000000</f>
        <v>77700000</v>
      </c>
      <c r="J21" s="117">
        <f>2710000+75000000</f>
        <v>77710000</v>
      </c>
      <c r="K21" s="117">
        <f>2682457+75000000</f>
        <v>77682457</v>
      </c>
      <c r="L21" s="117">
        <f>J21-K21</f>
        <v>27543</v>
      </c>
    </row>
    <row r="22" spans="1:17" ht="12.75">
      <c r="A22" s="86"/>
      <c r="C22" s="58" t="s">
        <v>119</v>
      </c>
      <c r="D22" s="117">
        <f>146900+2000000</f>
        <v>2146900</v>
      </c>
      <c r="E22" s="117">
        <f>146900+2000000</f>
        <v>2146900</v>
      </c>
      <c r="F22" s="117">
        <f>146497+2000000</f>
        <v>2146497</v>
      </c>
      <c r="G22" s="117">
        <f aca="true" t="shared" si="0" ref="G22:G38">E22-F22</f>
        <v>403</v>
      </c>
      <c r="I22" s="117">
        <f>415000+35000000</f>
        <v>35415000</v>
      </c>
      <c r="J22" s="117">
        <f>414900+35000000</f>
        <v>35414900</v>
      </c>
      <c r="K22" s="117">
        <f>475641+35000000</f>
        <v>35475641</v>
      </c>
      <c r="L22" s="117">
        <f aca="true" t="shared" si="1" ref="L22:L38">J22-K22</f>
        <v>-60741</v>
      </c>
      <c r="Q22" s="76"/>
    </row>
    <row r="23" spans="1:12" ht="12.75">
      <c r="A23" s="86"/>
      <c r="C23" s="58" t="s">
        <v>120</v>
      </c>
      <c r="D23" s="117">
        <f>108125+2000000</f>
        <v>2108125</v>
      </c>
      <c r="E23" s="117">
        <f>108125+2000000+198968</f>
        <v>2307093</v>
      </c>
      <c r="F23" s="117">
        <f>107903+2000000</f>
        <v>2107903</v>
      </c>
      <c r="G23" s="117">
        <f t="shared" si="0"/>
        <v>199190</v>
      </c>
      <c r="I23" s="117">
        <v>0</v>
      </c>
      <c r="J23" s="117">
        <v>0</v>
      </c>
      <c r="K23" s="117">
        <v>0</v>
      </c>
      <c r="L23" s="117">
        <f t="shared" si="1"/>
        <v>0</v>
      </c>
    </row>
    <row r="24" spans="1:12" ht="12.75">
      <c r="A24" s="86"/>
      <c r="C24" s="58" t="s">
        <v>121</v>
      </c>
      <c r="D24" s="117">
        <f>22975+1000000</f>
        <v>1022975</v>
      </c>
      <c r="E24" s="117">
        <f>22975+1000000</f>
        <v>1022975</v>
      </c>
      <c r="F24" s="117">
        <f>22316+1000000</f>
        <v>1022316</v>
      </c>
      <c r="G24" s="117">
        <f t="shared" si="0"/>
        <v>659</v>
      </c>
      <c r="I24" s="117">
        <v>0</v>
      </c>
      <c r="J24" s="117">
        <v>0</v>
      </c>
      <c r="K24" s="117">
        <v>0</v>
      </c>
      <c r="L24" s="117">
        <f t="shared" si="1"/>
        <v>0</v>
      </c>
    </row>
    <row r="25" spans="1:12" ht="12.75">
      <c r="A25" s="86"/>
      <c r="C25" s="58" t="s">
        <v>122</v>
      </c>
      <c r="D25" s="117">
        <f>38000+1000000</f>
        <v>1038000</v>
      </c>
      <c r="E25" s="117">
        <f>38000+1000000</f>
        <v>1038000</v>
      </c>
      <c r="F25" s="117">
        <f>37981+1000000</f>
        <v>1037981</v>
      </c>
      <c r="G25" s="117">
        <f t="shared" si="0"/>
        <v>19</v>
      </c>
      <c r="I25" s="117">
        <v>0</v>
      </c>
      <c r="J25" s="117">
        <v>0</v>
      </c>
      <c r="K25" s="117">
        <v>0</v>
      </c>
      <c r="L25" s="117">
        <f t="shared" si="1"/>
        <v>0</v>
      </c>
    </row>
    <row r="26" spans="1:12" ht="12.75">
      <c r="A26" s="86"/>
      <c r="C26" s="58" t="s">
        <v>123</v>
      </c>
      <c r="D26" s="117">
        <f>95000+1000000</f>
        <v>1095000</v>
      </c>
      <c r="E26" s="117">
        <f>95000+1000000</f>
        <v>1095000</v>
      </c>
      <c r="F26" s="117">
        <f>94952+1000000</f>
        <v>1094952</v>
      </c>
      <c r="G26" s="117">
        <f t="shared" si="0"/>
        <v>48</v>
      </c>
      <c r="I26" s="117">
        <v>0</v>
      </c>
      <c r="J26" s="117">
        <v>0</v>
      </c>
      <c r="K26" s="117">
        <v>0</v>
      </c>
      <c r="L26" s="117">
        <f t="shared" si="1"/>
        <v>0</v>
      </c>
    </row>
    <row r="27" spans="1:12" ht="12.75">
      <c r="A27" s="86"/>
      <c r="B27" s="86" t="s">
        <v>124</v>
      </c>
      <c r="C27" s="102"/>
      <c r="D27" s="117"/>
      <c r="E27" s="117"/>
      <c r="F27" s="117"/>
      <c r="G27" s="117"/>
      <c r="I27" s="117"/>
      <c r="J27" s="117"/>
      <c r="K27" s="117"/>
      <c r="L27" s="117"/>
    </row>
    <row r="28" spans="1:12" ht="12.75">
      <c r="A28" s="86"/>
      <c r="C28" s="32" t="s">
        <v>125</v>
      </c>
      <c r="D28" s="117">
        <f>15000+1000000</f>
        <v>1015000</v>
      </c>
      <c r="E28" s="117">
        <f>15000+1000000</f>
        <v>1015000</v>
      </c>
      <c r="F28" s="117">
        <f>14990+1000000</f>
        <v>1014990</v>
      </c>
      <c r="G28" s="117">
        <f t="shared" si="0"/>
        <v>10</v>
      </c>
      <c r="I28" s="117">
        <v>117000</v>
      </c>
      <c r="J28" s="117">
        <v>117000</v>
      </c>
      <c r="K28" s="117">
        <v>83951</v>
      </c>
      <c r="L28" s="117">
        <f t="shared" si="1"/>
        <v>33049</v>
      </c>
    </row>
    <row r="29" spans="1:12" ht="12.75">
      <c r="A29" s="86"/>
      <c r="C29" s="32" t="s">
        <v>126</v>
      </c>
      <c r="D29" s="117">
        <f>60000+1000000</f>
        <v>1060000</v>
      </c>
      <c r="E29" s="117">
        <f>60000+1000000</f>
        <v>1060000</v>
      </c>
      <c r="F29" s="117">
        <f>59684+1000000</f>
        <v>1059684</v>
      </c>
      <c r="G29" s="117">
        <f t="shared" si="0"/>
        <v>316</v>
      </c>
      <c r="I29" s="117">
        <v>24000</v>
      </c>
      <c r="J29" s="117">
        <v>23700</v>
      </c>
      <c r="K29" s="117">
        <v>23704</v>
      </c>
      <c r="L29" s="117">
        <f t="shared" si="1"/>
        <v>-4</v>
      </c>
    </row>
    <row r="30" spans="1:12" ht="25.5">
      <c r="A30" s="86"/>
      <c r="C30" s="32" t="s">
        <v>127</v>
      </c>
      <c r="D30" s="117">
        <f>37000+1000000</f>
        <v>1037000</v>
      </c>
      <c r="E30" s="117">
        <f>37000+1000000</f>
        <v>1037000</v>
      </c>
      <c r="F30" s="117">
        <f>36850+1000000</f>
        <v>1036850</v>
      </c>
      <c r="G30" s="117">
        <f t="shared" si="0"/>
        <v>150</v>
      </c>
      <c r="I30" s="117">
        <v>20500</v>
      </c>
      <c r="J30" s="117">
        <v>20000</v>
      </c>
      <c r="K30" s="117">
        <v>19754</v>
      </c>
      <c r="L30" s="117">
        <f t="shared" si="1"/>
        <v>246</v>
      </c>
    </row>
    <row r="31" spans="1:12" ht="12.75">
      <c r="A31" s="86"/>
      <c r="C31" s="32" t="s">
        <v>128</v>
      </c>
      <c r="D31" s="117">
        <v>170000</v>
      </c>
      <c r="E31" s="117">
        <v>170000</v>
      </c>
      <c r="F31" s="117">
        <v>165487</v>
      </c>
      <c r="G31" s="117">
        <f t="shared" si="0"/>
        <v>4513</v>
      </c>
      <c r="I31" s="117">
        <v>251000</v>
      </c>
      <c r="J31" s="117">
        <v>249000</v>
      </c>
      <c r="K31" s="117">
        <v>248895</v>
      </c>
      <c r="L31" s="117">
        <f t="shared" si="1"/>
        <v>105</v>
      </c>
    </row>
    <row r="32" spans="1:12" ht="12.75">
      <c r="A32" s="86"/>
      <c r="C32" s="32" t="s">
        <v>129</v>
      </c>
      <c r="D32" s="117">
        <f>300000+6761+4000000</f>
        <v>4306761</v>
      </c>
      <c r="E32" s="117">
        <f>300000+4000000</f>
        <v>4300000</v>
      </c>
      <c r="F32" s="117">
        <f>293056+4000000</f>
        <v>4293056</v>
      </c>
      <c r="G32" s="117">
        <f t="shared" si="0"/>
        <v>6944</v>
      </c>
      <c r="I32" s="117">
        <f>283000+5000000</f>
        <v>5283000</v>
      </c>
      <c r="J32" s="117">
        <f>280550+5000000</f>
        <v>5280550</v>
      </c>
      <c r="K32" s="117">
        <f>280501+5000000</f>
        <v>5280501</v>
      </c>
      <c r="L32" s="117">
        <f t="shared" si="1"/>
        <v>49</v>
      </c>
    </row>
    <row r="33" spans="1:12" ht="12.75">
      <c r="A33" s="86"/>
      <c r="C33" s="32" t="s">
        <v>130</v>
      </c>
      <c r="D33" s="117">
        <f>281000+4000000</f>
        <v>4281000</v>
      </c>
      <c r="E33" s="117">
        <f>281000+4000000</f>
        <v>4281000</v>
      </c>
      <c r="F33" s="117">
        <f>281548+4000000</f>
        <v>4281548</v>
      </c>
      <c r="G33" s="117">
        <f t="shared" si="0"/>
        <v>-548</v>
      </c>
      <c r="I33" s="117">
        <v>7900</v>
      </c>
      <c r="J33" s="117">
        <v>7900</v>
      </c>
      <c r="K33" s="117">
        <v>7901</v>
      </c>
      <c r="L33" s="117">
        <f t="shared" si="1"/>
        <v>-1</v>
      </c>
    </row>
    <row r="34" spans="1:12" ht="12.75">
      <c r="A34" s="86"/>
      <c r="C34" s="32" t="s">
        <v>131</v>
      </c>
      <c r="D34" s="117">
        <f>38500+119059</f>
        <v>157559</v>
      </c>
      <c r="E34" s="117">
        <f>38500+119059</f>
        <v>157559</v>
      </c>
      <c r="F34" s="117">
        <f>37981+119059</f>
        <v>157040</v>
      </c>
      <c r="G34" s="117">
        <f t="shared" si="0"/>
        <v>519</v>
      </c>
      <c r="I34" s="117">
        <v>131950</v>
      </c>
      <c r="J34" s="117">
        <v>127300</v>
      </c>
      <c r="K34" s="117">
        <v>127910</v>
      </c>
      <c r="L34" s="117">
        <f t="shared" si="1"/>
        <v>-610</v>
      </c>
    </row>
    <row r="35" spans="1:12" ht="12.75">
      <c r="A35" s="86"/>
      <c r="C35" s="32" t="s">
        <v>132</v>
      </c>
      <c r="D35" s="117">
        <f>169962+18564+3000000</f>
        <v>3188526</v>
      </c>
      <c r="E35" s="117">
        <f>169962+3000000</f>
        <v>3169962</v>
      </c>
      <c r="F35" s="117">
        <f>161196+3000000</f>
        <v>3161196</v>
      </c>
      <c r="G35" s="117">
        <f t="shared" si="0"/>
        <v>8766</v>
      </c>
      <c r="I35" s="117">
        <v>0</v>
      </c>
      <c r="J35" s="117">
        <v>0</v>
      </c>
      <c r="K35" s="117">
        <v>0</v>
      </c>
      <c r="L35" s="117">
        <f t="shared" si="1"/>
        <v>0</v>
      </c>
    </row>
    <row r="36" spans="1:12" ht="12.75">
      <c r="A36" s="86"/>
      <c r="C36" s="32" t="s">
        <v>133</v>
      </c>
      <c r="D36" s="117">
        <f>220000+35000+3000000</f>
        <v>3255000</v>
      </c>
      <c r="E36" s="117">
        <f>220000+35000+3000000</f>
        <v>3255000</v>
      </c>
      <c r="F36" s="117">
        <f>219767+35000+3000000</f>
        <v>3254767</v>
      </c>
      <c r="G36" s="117">
        <f t="shared" si="0"/>
        <v>233</v>
      </c>
      <c r="I36" s="117">
        <v>0</v>
      </c>
      <c r="J36" s="117">
        <v>0</v>
      </c>
      <c r="K36" s="117">
        <v>0</v>
      </c>
      <c r="L36" s="117">
        <f t="shared" si="1"/>
        <v>0</v>
      </c>
    </row>
    <row r="37" spans="1:12" ht="12.75">
      <c r="A37" s="86"/>
      <c r="B37" s="58" t="s">
        <v>134</v>
      </c>
      <c r="C37" s="120"/>
      <c r="D37" s="117">
        <f>19000+30000+1000000</f>
        <v>1049000</v>
      </c>
      <c r="E37" s="117">
        <f>19000+30000+1000000</f>
        <v>1049000</v>
      </c>
      <c r="F37" s="117">
        <f>18990+30000+1000000</f>
        <v>1048990</v>
      </c>
      <c r="G37" s="117">
        <f t="shared" si="0"/>
        <v>10</v>
      </c>
      <c r="I37" s="117">
        <v>0</v>
      </c>
      <c r="J37" s="117">
        <v>0</v>
      </c>
      <c r="K37" s="117">
        <v>0</v>
      </c>
      <c r="L37" s="117">
        <f t="shared" si="1"/>
        <v>0</v>
      </c>
    </row>
    <row r="38" spans="1:13" ht="12.75">
      <c r="A38" s="86"/>
      <c r="B38" s="58" t="s">
        <v>135</v>
      </c>
      <c r="D38" s="117">
        <f>75500-65000</f>
        <v>10500</v>
      </c>
      <c r="E38" s="117">
        <f>75500-65000</f>
        <v>10500</v>
      </c>
      <c r="F38" s="117">
        <f>75363-65000</f>
        <v>10363</v>
      </c>
      <c r="G38" s="117">
        <f t="shared" si="0"/>
        <v>137</v>
      </c>
      <c r="I38" s="117">
        <v>0</v>
      </c>
      <c r="J38" s="117">
        <v>0</v>
      </c>
      <c r="K38" s="117">
        <v>0</v>
      </c>
      <c r="L38" s="117">
        <f t="shared" si="1"/>
        <v>0</v>
      </c>
      <c r="M38" s="19" t="s">
        <v>263</v>
      </c>
    </row>
    <row r="39" spans="1:12" ht="12.75">
      <c r="A39" s="86"/>
      <c r="B39" s="58"/>
      <c r="D39" s="117"/>
      <c r="E39" s="117"/>
      <c r="F39" s="117"/>
      <c r="G39" s="117"/>
      <c r="I39" s="117"/>
      <c r="J39" s="117"/>
      <c r="K39" s="117"/>
      <c r="L39" s="117"/>
    </row>
    <row r="40" spans="4:13" ht="12.75">
      <c r="D40" s="112" t="s">
        <v>253</v>
      </c>
      <c r="E40" s="113"/>
      <c r="F40" s="113"/>
      <c r="G40" s="114"/>
      <c r="I40" s="22" t="s">
        <v>254</v>
      </c>
      <c r="J40" s="111"/>
      <c r="K40" s="111"/>
      <c r="L40" s="111"/>
      <c r="M40" s="19" t="s">
        <v>263</v>
      </c>
    </row>
    <row r="41" spans="4:12" ht="51">
      <c r="D41" s="115" t="s">
        <v>255</v>
      </c>
      <c r="E41" s="115" t="s">
        <v>256</v>
      </c>
      <c r="F41" s="115" t="s">
        <v>257</v>
      </c>
      <c r="G41" s="115" t="s">
        <v>258</v>
      </c>
      <c r="I41" s="115" t="s">
        <v>255</v>
      </c>
      <c r="J41" s="115" t="s">
        <v>256</v>
      </c>
      <c r="K41" s="115" t="s">
        <v>257</v>
      </c>
      <c r="L41" s="115" t="s">
        <v>258</v>
      </c>
    </row>
    <row r="42" spans="1:12" ht="12.75">
      <c r="A42" s="23" t="s">
        <v>264</v>
      </c>
      <c r="D42" s="117"/>
      <c r="E42" s="117"/>
      <c r="F42" s="117"/>
      <c r="G42" s="117"/>
      <c r="I42" s="117"/>
      <c r="J42" s="117"/>
      <c r="K42" s="117"/>
      <c r="L42" s="117"/>
    </row>
    <row r="43" spans="1:12" ht="12.75">
      <c r="A43" s="86"/>
      <c r="C43" s="58" t="s">
        <v>265</v>
      </c>
      <c r="D43" s="117">
        <v>0</v>
      </c>
      <c r="E43" s="117">
        <v>0</v>
      </c>
      <c r="F43" s="117">
        <v>0</v>
      </c>
      <c r="G43" s="117">
        <v>0</v>
      </c>
      <c r="I43" s="117">
        <v>0</v>
      </c>
      <c r="J43" s="117">
        <v>0</v>
      </c>
      <c r="K43" s="117">
        <v>0</v>
      </c>
      <c r="L43" s="117">
        <v>0</v>
      </c>
    </row>
    <row r="44" spans="1:12" ht="12.75">
      <c r="A44" s="86"/>
      <c r="C44" s="58" t="s">
        <v>266</v>
      </c>
      <c r="D44" s="117">
        <v>0</v>
      </c>
      <c r="E44" s="117">
        <v>0</v>
      </c>
      <c r="F44" s="117">
        <v>0</v>
      </c>
      <c r="G44" s="117">
        <v>0</v>
      </c>
      <c r="I44" s="117">
        <v>0</v>
      </c>
      <c r="J44" s="117">
        <v>0</v>
      </c>
      <c r="K44" s="117">
        <v>0</v>
      </c>
      <c r="L44" s="117">
        <v>0</v>
      </c>
    </row>
    <row r="45" spans="1:12" ht="12.75">
      <c r="A45" s="86"/>
      <c r="C45" s="58" t="s">
        <v>267</v>
      </c>
      <c r="D45" s="118">
        <v>0</v>
      </c>
      <c r="E45" s="118">
        <v>0</v>
      </c>
      <c r="F45" s="118">
        <v>0</v>
      </c>
      <c r="G45" s="118">
        <v>0</v>
      </c>
      <c r="I45" s="118">
        <v>0</v>
      </c>
      <c r="J45" s="118">
        <v>0</v>
      </c>
      <c r="K45" s="118">
        <v>0</v>
      </c>
      <c r="L45" s="118">
        <v>0</v>
      </c>
    </row>
    <row r="46" spans="3:12" ht="12.75">
      <c r="C46" s="71" t="s">
        <v>220</v>
      </c>
      <c r="D46" s="119">
        <f>SUM(D21:D45)</f>
        <v>33006658.7</v>
      </c>
      <c r="E46" s="119">
        <f>SUM(E21:E45)</f>
        <v>33179741.2</v>
      </c>
      <c r="F46" s="119">
        <f>SUM(F21:F45)</f>
        <v>32957601.2</v>
      </c>
      <c r="G46" s="119">
        <f>SUM(G21:G45)</f>
        <v>222140</v>
      </c>
      <c r="I46" s="119">
        <f>SUM(I21:I45)</f>
        <v>118950350</v>
      </c>
      <c r="J46" s="119">
        <f>SUM(J21:J45)</f>
        <v>118950350</v>
      </c>
      <c r="K46" s="119">
        <f>SUM(K21:K45)</f>
        <v>118950714</v>
      </c>
      <c r="L46" s="119">
        <f>SUM(L21:L45)</f>
        <v>-364</v>
      </c>
    </row>
    <row r="47" spans="4:12" ht="12.75">
      <c r="D47" s="117"/>
      <c r="E47" s="117"/>
      <c r="F47" s="117"/>
      <c r="G47" s="117"/>
      <c r="I47" s="117"/>
      <c r="J47" s="117"/>
      <c r="K47" s="117"/>
      <c r="L47" s="117"/>
    </row>
    <row r="48" spans="1:12" ht="12.75">
      <c r="A48" s="86" t="s">
        <v>268</v>
      </c>
      <c r="D48" s="119">
        <f>D16-D46</f>
        <v>13075.5</v>
      </c>
      <c r="E48" s="119">
        <v>0</v>
      </c>
      <c r="F48" s="119">
        <f>F16-F46</f>
        <v>146935.80000000075</v>
      </c>
      <c r="G48" s="119">
        <v>32575</v>
      </c>
      <c r="I48" s="119">
        <f>I16-I46</f>
        <v>14000</v>
      </c>
      <c r="J48" s="119">
        <f>J16-J46</f>
        <v>14000</v>
      </c>
      <c r="K48" s="119">
        <f>K16-K46</f>
        <v>14000</v>
      </c>
      <c r="L48" s="119">
        <f>L16+L46</f>
        <v>0</v>
      </c>
    </row>
    <row r="49" spans="4:12" ht="12.75">
      <c r="D49" s="117"/>
      <c r="E49" s="117"/>
      <c r="F49" s="117"/>
      <c r="G49" s="117"/>
      <c r="I49" s="117"/>
      <c r="J49" s="117"/>
      <c r="K49" s="117"/>
      <c r="L49" s="117"/>
    </row>
    <row r="50" spans="1:12" ht="12.75">
      <c r="A50" s="86" t="s">
        <v>269</v>
      </c>
      <c r="D50" s="117"/>
      <c r="E50" s="117"/>
      <c r="F50" s="117"/>
      <c r="G50" s="117"/>
      <c r="I50" s="117"/>
      <c r="J50" s="117"/>
      <c r="K50" s="117"/>
      <c r="L50" s="117"/>
    </row>
    <row r="51" spans="1:12" ht="12.75">
      <c r="A51" s="86"/>
      <c r="B51" s="19" t="s">
        <v>270</v>
      </c>
      <c r="D51" s="117">
        <v>0</v>
      </c>
      <c r="E51" s="117">
        <v>0</v>
      </c>
      <c r="F51" s="117">
        <v>0</v>
      </c>
      <c r="G51" s="117">
        <v>0</v>
      </c>
      <c r="I51" s="117">
        <v>0</v>
      </c>
      <c r="J51" s="117">
        <v>0</v>
      </c>
      <c r="K51" s="117">
        <v>0</v>
      </c>
      <c r="L51" s="117">
        <v>0</v>
      </c>
    </row>
    <row r="52" spans="2:12" ht="12.75">
      <c r="B52" s="86" t="s">
        <v>223</v>
      </c>
      <c r="C52" s="86"/>
      <c r="D52" s="117">
        <v>-13075</v>
      </c>
      <c r="E52" s="117">
        <v>0</v>
      </c>
      <c r="F52" s="117">
        <v>0</v>
      </c>
      <c r="G52" s="117">
        <v>0</v>
      </c>
      <c r="I52" s="117">
        <v>-14000</v>
      </c>
      <c r="J52" s="117">
        <v>-14000</v>
      </c>
      <c r="K52" s="117">
        <v>-14000</v>
      </c>
      <c r="L52" s="117">
        <v>0</v>
      </c>
    </row>
    <row r="53" spans="2:12" ht="12.75">
      <c r="B53" s="86" t="s">
        <v>225</v>
      </c>
      <c r="C53" s="86"/>
      <c r="D53" s="119">
        <v>0</v>
      </c>
      <c r="E53" s="119">
        <v>0</v>
      </c>
      <c r="F53" s="119">
        <v>0</v>
      </c>
      <c r="G53" s="121">
        <v>0</v>
      </c>
      <c r="I53" s="119">
        <v>0</v>
      </c>
      <c r="J53" s="119">
        <v>0</v>
      </c>
      <c r="K53" s="119">
        <v>0</v>
      </c>
      <c r="L53" s="121">
        <v>0</v>
      </c>
    </row>
    <row r="54" spans="3:12" ht="12.75">
      <c r="C54" s="86" t="s">
        <v>271</v>
      </c>
      <c r="D54" s="119">
        <v>-13075</v>
      </c>
      <c r="E54" s="119">
        <v>0</v>
      </c>
      <c r="F54" s="119">
        <v>0</v>
      </c>
      <c r="G54" s="119">
        <v>0</v>
      </c>
      <c r="I54" s="119">
        <v>-14000</v>
      </c>
      <c r="J54" s="119">
        <v>-14000</v>
      </c>
      <c r="K54" s="119">
        <v>-14000</v>
      </c>
      <c r="L54" s="119">
        <v>0</v>
      </c>
    </row>
    <row r="55" spans="4:12" ht="12.75">
      <c r="D55" s="117"/>
      <c r="E55" s="117"/>
      <c r="F55" s="117"/>
      <c r="G55" s="117"/>
      <c r="I55" s="117"/>
      <c r="J55" s="117"/>
      <c r="K55" s="117"/>
      <c r="L55" s="117"/>
    </row>
    <row r="56" spans="1:12" ht="13.5" thickBot="1">
      <c r="A56" s="86" t="s">
        <v>227</v>
      </c>
      <c r="C56" s="86"/>
      <c r="D56" s="122">
        <f>+D48+D54-0.5</f>
        <v>0</v>
      </c>
      <c r="E56" s="122">
        <f>+E48+E54</f>
        <v>0</v>
      </c>
      <c r="F56" s="117">
        <f>+F48+F54</f>
        <v>146935.80000000075</v>
      </c>
      <c r="G56" s="122">
        <f>+G48+G54</f>
        <v>32575</v>
      </c>
      <c r="I56" s="122">
        <f>+I48+I54</f>
        <v>0</v>
      </c>
      <c r="J56" s="122">
        <f>+J48+J54</f>
        <v>0</v>
      </c>
      <c r="K56" s="117">
        <f>+K48+K54</f>
        <v>0</v>
      </c>
      <c r="L56" s="122">
        <f>+L48+L54</f>
        <v>0</v>
      </c>
    </row>
    <row r="57" spans="1:11" ht="13.5" thickTop="1">
      <c r="A57" s="86" t="s">
        <v>228</v>
      </c>
      <c r="F57" s="123">
        <v>26055</v>
      </c>
      <c r="H57" s="30"/>
      <c r="K57" s="123">
        <v>0</v>
      </c>
    </row>
    <row r="58" spans="1:12" ht="12.75">
      <c r="A58" s="19" t="s">
        <v>229</v>
      </c>
      <c r="D58" s="92"/>
      <c r="E58" s="92"/>
      <c r="F58" s="124">
        <v>1200</v>
      </c>
      <c r="G58" s="92"/>
      <c r="H58" s="75"/>
      <c r="I58" s="92"/>
      <c r="J58" s="92"/>
      <c r="K58" s="124">
        <v>0</v>
      </c>
      <c r="L58" s="92"/>
    </row>
    <row r="59" spans="1:11" ht="13.5" thickBot="1">
      <c r="A59" s="86" t="s">
        <v>230</v>
      </c>
      <c r="F59" s="125">
        <f>SUM(F56:F58)</f>
        <v>174190.80000000075</v>
      </c>
      <c r="K59" s="125">
        <v>0</v>
      </c>
    </row>
    <row r="60" ht="14.25" thickBot="1" thickTop="1"/>
    <row r="61" spans="4:7" ht="12.75">
      <c r="D61" s="334" t="s">
        <v>272</v>
      </c>
      <c r="E61" s="335"/>
      <c r="F61" s="335"/>
      <c r="G61" s="336"/>
    </row>
    <row r="62" spans="4:7" ht="12.75">
      <c r="D62" s="337"/>
      <c r="E62" s="338"/>
      <c r="F62" s="338"/>
      <c r="G62" s="339"/>
    </row>
    <row r="63" spans="4:7" ht="13.5" thickBot="1">
      <c r="D63" s="340"/>
      <c r="E63" s="341"/>
      <c r="F63" s="341"/>
      <c r="G63" s="342"/>
    </row>
    <row r="64" ht="12.75">
      <c r="G64" s="92"/>
    </row>
    <row r="66" ht="12.75">
      <c r="A66" s="19" t="str">
        <f>'[3]GWStmtAct'!A61</f>
        <v>The notes to the financial statements are an integral part of this statement.</v>
      </c>
    </row>
    <row r="71" ht="12.75">
      <c r="C71" s="19" t="s">
        <v>177</v>
      </c>
    </row>
  </sheetData>
  <sheetProtection/>
  <mergeCells count="5">
    <mergeCell ref="B2:L2"/>
    <mergeCell ref="B3:L3"/>
    <mergeCell ref="B4:L4"/>
    <mergeCell ref="B5:L5"/>
    <mergeCell ref="D61:G63"/>
  </mergeCells>
  <printOptions/>
  <pageMargins left="0.7" right="0.7" top="0.75" bottom="0.75" header="0.3" footer="0.3"/>
  <pageSetup fitToHeight="2" horizontalDpi="600" verticalDpi="600" orientation="landscape" scale="76" r:id="rId1"/>
  <rowBreaks count="1" manualBreakCount="1">
    <brk id="39" max="13" man="1"/>
  </rowBreaks>
</worksheet>
</file>

<file path=xl/worksheets/sheet7.xml><?xml version="1.0" encoding="utf-8"?>
<worksheet xmlns="http://schemas.openxmlformats.org/spreadsheetml/2006/main" xmlns:r="http://schemas.openxmlformats.org/officeDocument/2006/relationships">
  <dimension ref="A1:G58"/>
  <sheetViews>
    <sheetView showGridLines="0" zoomScalePageLayoutView="0" workbookViewId="0" topLeftCell="A10">
      <selection activeCell="A44" sqref="A44:IV46"/>
    </sheetView>
  </sheetViews>
  <sheetFormatPr defaultColWidth="9.140625" defaultRowHeight="12.75"/>
  <cols>
    <col min="1" max="1" width="43.28125" style="19" customWidth="1"/>
    <col min="2" max="4" width="15.7109375" style="19" customWidth="1"/>
    <col min="5" max="16384" width="9.140625" style="19" customWidth="1"/>
  </cols>
  <sheetData>
    <row r="1" ht="12.75">
      <c r="D1" s="65" t="s">
        <v>273</v>
      </c>
    </row>
    <row r="2" spans="1:4" ht="12.75">
      <c r="A2" s="311" t="str">
        <f>'[3]GWNetPos'!A2</f>
        <v>Carolina County Board of Education, North Carolina</v>
      </c>
      <c r="B2" s="311"/>
      <c r="C2" s="311"/>
      <c r="D2" s="311"/>
    </row>
    <row r="3" spans="1:4" ht="12.75">
      <c r="A3" s="311" t="s">
        <v>65</v>
      </c>
      <c r="B3" s="311"/>
      <c r="C3" s="311"/>
      <c r="D3" s="311"/>
    </row>
    <row r="4" spans="1:4" ht="12.75">
      <c r="A4" s="311" t="s">
        <v>14</v>
      </c>
      <c r="B4" s="311"/>
      <c r="C4" s="311"/>
      <c r="D4" s="311"/>
    </row>
    <row r="5" spans="1:4" ht="12.75">
      <c r="A5" s="323">
        <f>GASB34GovtFundsBS!A5</f>
        <v>43646</v>
      </c>
      <c r="B5" s="324"/>
      <c r="C5" s="324"/>
      <c r="D5" s="324"/>
    </row>
    <row r="7" spans="2:4" ht="12.75">
      <c r="B7" s="313" t="s">
        <v>15</v>
      </c>
      <c r="C7" s="313"/>
      <c r="D7" s="313"/>
    </row>
    <row r="8" spans="2:4" ht="12.75">
      <c r="B8" s="24" t="s">
        <v>16</v>
      </c>
      <c r="C8" s="25" t="s">
        <v>17</v>
      </c>
      <c r="D8" s="26"/>
    </row>
    <row r="9" spans="2:4" ht="25.5">
      <c r="B9" s="27" t="s">
        <v>18</v>
      </c>
      <c r="C9" s="28" t="s">
        <v>19</v>
      </c>
      <c r="D9" s="29" t="s">
        <v>20</v>
      </c>
    </row>
    <row r="10" ht="12.75">
      <c r="A10" s="23" t="s">
        <v>69</v>
      </c>
    </row>
    <row r="11" ht="12.75">
      <c r="A11" s="19" t="s">
        <v>274</v>
      </c>
    </row>
    <row r="12" spans="1:6" ht="12.75">
      <c r="A12" s="69" t="s">
        <v>70</v>
      </c>
      <c r="B12" s="67">
        <f>320800-(48500)*0.2*0.7-(27219)*0.2*0.7-(0.2*0.7*1260*0.5)-(50000*0.2*0.7)-(30000*0.2*0.7)-(1400*0.5*0.7*0.2)</f>
        <v>298813.14</v>
      </c>
      <c r="C12" s="67">
        <f>27644-(48500)*0.2*0.3-(27219)*0.2*0.3-(0.2*0.3*1260*0.5)-(50000*0.2*0.3)-(30000*0.2*0.3)-(1400*0.5*0.2*0.3)</f>
        <v>18221.06</v>
      </c>
      <c r="D12" s="67">
        <f>SUM(B12:C12)</f>
        <v>317034.2</v>
      </c>
      <c r="F12" s="76"/>
    </row>
    <row r="13" spans="1:4" ht="12.75">
      <c r="A13" s="69" t="s">
        <v>71</v>
      </c>
      <c r="B13" s="68">
        <v>142900</v>
      </c>
      <c r="C13" s="68">
        <v>814</v>
      </c>
      <c r="D13" s="68">
        <f>SUM(B13:C13)</f>
        <v>143714</v>
      </c>
    </row>
    <row r="14" spans="1:4" ht="12.75">
      <c r="A14" s="69" t="s">
        <v>72</v>
      </c>
      <c r="B14" s="68">
        <v>0</v>
      </c>
      <c r="C14" s="68">
        <v>4500</v>
      </c>
      <c r="D14" s="68">
        <f>SUM(B14:C14)</f>
        <v>4500</v>
      </c>
    </row>
    <row r="15" spans="1:4" ht="12.75">
      <c r="A15" s="69" t="s">
        <v>275</v>
      </c>
      <c r="B15" s="68">
        <f>GWNetPos!C13*0.7</f>
        <v>48.37000000000001</v>
      </c>
      <c r="C15" s="68">
        <f>GWNetPos!C13*0.3</f>
        <v>20.730000000000008</v>
      </c>
      <c r="D15" s="68">
        <f>SUM(B15:C15)</f>
        <v>69.10000000000002</v>
      </c>
    </row>
    <row r="16" spans="1:4" ht="12.75">
      <c r="A16" s="69" t="s">
        <v>75</v>
      </c>
      <c r="B16" s="68">
        <v>42660</v>
      </c>
      <c r="C16" s="68">
        <v>0</v>
      </c>
      <c r="D16" s="68">
        <f>SUM(B16:C16)</f>
        <v>42660</v>
      </c>
    </row>
    <row r="17" spans="1:4" ht="12.75">
      <c r="A17" s="71" t="s">
        <v>276</v>
      </c>
      <c r="B17" s="73">
        <f>SUM(B12:B16)</f>
        <v>484421.51</v>
      </c>
      <c r="C17" s="73">
        <f>SUM(C12:C16)</f>
        <v>23555.79</v>
      </c>
      <c r="D17" s="73">
        <f>SUM(D12:D16)</f>
        <v>507977.3</v>
      </c>
    </row>
    <row r="18" spans="2:4" ht="12.75">
      <c r="B18" s="68"/>
      <c r="C18" s="68"/>
      <c r="D18" s="68"/>
    </row>
    <row r="19" spans="1:4" ht="12.75">
      <c r="A19" s="32" t="s">
        <v>277</v>
      </c>
      <c r="B19" s="74"/>
      <c r="C19" s="74"/>
      <c r="D19" s="74"/>
    </row>
    <row r="20" spans="1:5" ht="12.75">
      <c r="A20" s="38" t="s">
        <v>278</v>
      </c>
      <c r="B20" s="74"/>
      <c r="C20" s="74"/>
      <c r="D20" s="74"/>
      <c r="E20" s="30"/>
    </row>
    <row r="21" spans="1:6" ht="12.75">
      <c r="A21" s="71" t="s">
        <v>279</v>
      </c>
      <c r="B21" s="74">
        <v>42825</v>
      </c>
      <c r="C21" s="74">
        <v>0</v>
      </c>
      <c r="D21" s="74">
        <f>SUM(B21:C21)</f>
        <v>42825</v>
      </c>
      <c r="E21" s="30"/>
      <c r="F21" s="74"/>
    </row>
    <row r="22" spans="1:6" ht="12.75">
      <c r="A22" s="71" t="s">
        <v>280</v>
      </c>
      <c r="B22" s="74">
        <v>5515</v>
      </c>
      <c r="C22" s="74">
        <v>830</v>
      </c>
      <c r="D22" s="74">
        <f>SUM(B22:C22)</f>
        <v>6345</v>
      </c>
      <c r="E22" s="30"/>
      <c r="F22" s="30"/>
    </row>
    <row r="23" spans="1:4" ht="12.75">
      <c r="A23" s="128" t="s">
        <v>281</v>
      </c>
      <c r="B23" s="73">
        <v>48340</v>
      </c>
      <c r="C23" s="73">
        <v>830</v>
      </c>
      <c r="D23" s="73">
        <f>SUM(D21:D22)</f>
        <v>49170</v>
      </c>
    </row>
    <row r="24" spans="1:4" ht="13.5" thickBot="1">
      <c r="A24" s="129" t="s">
        <v>81</v>
      </c>
      <c r="B24" s="130">
        <f>B17+B23</f>
        <v>532761.51</v>
      </c>
      <c r="C24" s="130">
        <f>C17+C23</f>
        <v>24385.79</v>
      </c>
      <c r="D24" s="130">
        <f>SUM(B24:C24)</f>
        <v>557147.3</v>
      </c>
    </row>
    <row r="25" spans="1:4" ht="13.5" thickTop="1">
      <c r="A25" s="129"/>
      <c r="B25" s="131"/>
      <c r="C25" s="131"/>
      <c r="D25" s="131"/>
    </row>
    <row r="26" spans="1:4" ht="12.75" hidden="1">
      <c r="A26" s="23" t="s">
        <v>282</v>
      </c>
      <c r="B26" s="131">
        <f>GWNetPos!C23*0.7</f>
        <v>30806.999999999996</v>
      </c>
      <c r="C26" s="131">
        <f>GWNetPos!C23*0.3</f>
        <v>13203</v>
      </c>
      <c r="D26" s="131">
        <f>SUM(B26:C26)</f>
        <v>44010</v>
      </c>
    </row>
    <row r="27" spans="1:4" ht="12.75" hidden="1">
      <c r="A27" s="23" t="str">
        <f>GWNetPos!A24</f>
        <v>RHBF Deferred Outflows of Resources</v>
      </c>
      <c r="B27" s="131">
        <f>GWNetPos!C24*0.7</f>
        <v>12284.720000000001</v>
      </c>
      <c r="C27" s="131">
        <f>GWNetPos!C24*0.3</f>
        <v>5264.88</v>
      </c>
      <c r="D27" s="131">
        <f>SUM(B27:C27)</f>
        <v>17549.600000000002</v>
      </c>
    </row>
    <row r="28" spans="1:4" ht="12.75" hidden="1">
      <c r="A28" s="23" t="str">
        <f>GWNetPos!A25</f>
        <v>DIPNC Deferred Outflows of Resources</v>
      </c>
      <c r="B28" s="131">
        <f>GWNetPos!C25*0.7</f>
        <v>292.42499999999995</v>
      </c>
      <c r="C28" s="131">
        <f>GWNetPos!C25*0.3</f>
        <v>125.32499999999999</v>
      </c>
      <c r="D28" s="131">
        <f>SUM(B28:C28)</f>
        <v>417.74999999999994</v>
      </c>
    </row>
    <row r="29" spans="1:4" ht="12.75">
      <c r="A29" s="23" t="s">
        <v>82</v>
      </c>
      <c r="B29" s="132">
        <f>SUM(B26:B28)</f>
        <v>43384.145000000004</v>
      </c>
      <c r="C29" s="132">
        <f>SUM(C26:C28)</f>
        <v>18593.205</v>
      </c>
      <c r="D29" s="132">
        <f>SUM(D26:D28)</f>
        <v>61977.350000000006</v>
      </c>
    </row>
    <row r="30" spans="2:4" ht="12.75">
      <c r="B30" s="68"/>
      <c r="C30" s="68"/>
      <c r="D30" s="68"/>
    </row>
    <row r="31" spans="1:4" ht="12.75">
      <c r="A31" s="23" t="s">
        <v>83</v>
      </c>
      <c r="B31" s="68"/>
      <c r="C31" s="68"/>
      <c r="D31" s="68"/>
    </row>
    <row r="32" spans="1:4" ht="12.75">
      <c r="A32" s="19" t="s">
        <v>283</v>
      </c>
      <c r="B32" s="68"/>
      <c r="C32" s="68"/>
      <c r="D32" s="68"/>
    </row>
    <row r="33" spans="1:7" ht="25.5">
      <c r="A33" s="38" t="s">
        <v>284</v>
      </c>
      <c r="B33" s="82">
        <v>3000</v>
      </c>
      <c r="C33" s="82">
        <v>2200</v>
      </c>
      <c r="D33" s="82">
        <v>5200</v>
      </c>
      <c r="G33" s="76"/>
    </row>
    <row r="34" spans="1:4" ht="12.75">
      <c r="A34" s="38" t="s">
        <v>285</v>
      </c>
      <c r="B34" s="68">
        <v>7700</v>
      </c>
      <c r="C34" s="68">
        <v>0</v>
      </c>
      <c r="D34" s="68">
        <v>7700</v>
      </c>
    </row>
    <row r="35" spans="1:4" ht="12.75">
      <c r="A35" s="71" t="s">
        <v>286</v>
      </c>
      <c r="B35" s="73">
        <f>SUM(B33:B34)</f>
        <v>10700</v>
      </c>
      <c r="C35" s="73">
        <f>SUM(C33:C34)</f>
        <v>2200</v>
      </c>
      <c r="D35" s="73">
        <f>SUM(D33:D34)</f>
        <v>12900</v>
      </c>
    </row>
    <row r="36" spans="1:4" ht="12.75">
      <c r="A36" s="71"/>
      <c r="B36" s="74"/>
      <c r="C36" s="74"/>
      <c r="D36" s="74"/>
    </row>
    <row r="37" spans="1:4" ht="12.75">
      <c r="A37" s="19" t="s">
        <v>287</v>
      </c>
      <c r="B37" s="74"/>
      <c r="C37" s="74"/>
      <c r="D37" s="74"/>
    </row>
    <row r="38" spans="1:4" ht="12.75">
      <c r="A38" s="69" t="s">
        <v>89</v>
      </c>
      <c r="B38" s="74">
        <f>0.7*GWNetPos!C34</f>
        <v>57008.385</v>
      </c>
      <c r="C38" s="74">
        <f>0.3*GWNetPos!C34</f>
        <v>24432.165</v>
      </c>
      <c r="D38" s="74">
        <f>SUM(B38:C38)</f>
        <v>81440.55</v>
      </c>
    </row>
    <row r="39" spans="1:4" ht="12.75">
      <c r="A39" s="69" t="str">
        <f>GWNetPos!A35</f>
        <v>Net OPEB liability</v>
      </c>
      <c r="B39" s="74">
        <f>GWNetPos!C35*0.7</f>
        <v>153074.18</v>
      </c>
      <c r="C39" s="74">
        <f>GWNetPos!C35*0.3</f>
        <v>65603.22</v>
      </c>
      <c r="D39" s="74">
        <f>SUM(B39:C39)</f>
        <v>218677.4</v>
      </c>
    </row>
    <row r="40" spans="1:4" ht="12.75">
      <c r="A40" s="69" t="s">
        <v>246</v>
      </c>
      <c r="B40" s="68">
        <v>5000</v>
      </c>
      <c r="C40" s="68">
        <v>8016</v>
      </c>
      <c r="D40" s="68">
        <v>13016</v>
      </c>
    </row>
    <row r="41" spans="1:4" ht="12.75">
      <c r="A41" s="71" t="s">
        <v>288</v>
      </c>
      <c r="B41" s="73">
        <f>SUM(B38:B40)</f>
        <v>215082.565</v>
      </c>
      <c r="C41" s="73">
        <f>SUM(C38:C40)</f>
        <v>98051.38500000001</v>
      </c>
      <c r="D41" s="73">
        <f>SUM(D38:D40)</f>
        <v>313133.95</v>
      </c>
    </row>
    <row r="42" spans="1:4" ht="12.75">
      <c r="A42" s="72" t="s">
        <v>92</v>
      </c>
      <c r="B42" s="73">
        <f>B41+B35</f>
        <v>225782.565</v>
      </c>
      <c r="C42" s="73">
        <f>C41+C35</f>
        <v>100251.38500000001</v>
      </c>
      <c r="D42" s="73">
        <f>D41+D35</f>
        <v>326033.95</v>
      </c>
    </row>
    <row r="43" spans="1:4" ht="12.75">
      <c r="A43" s="72"/>
      <c r="B43" s="74"/>
      <c r="C43" s="74"/>
      <c r="D43" s="74"/>
    </row>
    <row r="44" spans="1:4" ht="12.75" hidden="1">
      <c r="A44" s="23" t="s">
        <v>93</v>
      </c>
      <c r="B44" s="74">
        <f>GWNetPos!C40*0.7</f>
        <v>3227.14</v>
      </c>
      <c r="C44" s="74">
        <f>GWNetPos!C40*0.3</f>
        <v>1383.06</v>
      </c>
      <c r="D44" s="74">
        <f>SUM(B44:C44)</f>
        <v>4610.2</v>
      </c>
    </row>
    <row r="45" spans="1:4" ht="12.75" hidden="1">
      <c r="A45" s="23" t="str">
        <f>GWNetPos!A41</f>
        <v>RHBF Deferred Inflows of Resources</v>
      </c>
      <c r="B45" s="74">
        <f>GWNetPos!C41*0.7</f>
        <v>77440.02</v>
      </c>
      <c r="C45" s="74">
        <f>GWNetPos!C41*0.3</f>
        <v>33188.58</v>
      </c>
      <c r="D45" s="74">
        <f>SUM(B45:C45)</f>
        <v>110628.6</v>
      </c>
    </row>
    <row r="46" spans="1:4" ht="12.75" hidden="1">
      <c r="A46" s="23" t="str">
        <f>GWNetPos!A42</f>
        <v>DIPNC Deferred Inflows of Resources</v>
      </c>
      <c r="B46" s="74">
        <v>0</v>
      </c>
      <c r="C46" s="74">
        <v>0</v>
      </c>
      <c r="D46" s="74">
        <v>0</v>
      </c>
    </row>
    <row r="47" spans="1:4" ht="12.75">
      <c r="A47" s="23" t="s">
        <v>94</v>
      </c>
      <c r="B47" s="68">
        <f>SUM(B44:B46)</f>
        <v>80667.16</v>
      </c>
      <c r="C47" s="68">
        <f>SUM(C44:C46)</f>
        <v>34571.64</v>
      </c>
      <c r="D47" s="68">
        <f>SUM(D44:D46)</f>
        <v>115238.8</v>
      </c>
    </row>
    <row r="48" spans="1:4" ht="12.75">
      <c r="A48" s="23"/>
      <c r="B48" s="68"/>
      <c r="C48" s="68"/>
      <c r="D48" s="68"/>
    </row>
    <row r="49" spans="1:4" ht="12.75">
      <c r="A49" s="23" t="s">
        <v>95</v>
      </c>
      <c r="B49" s="68"/>
      <c r="C49" s="68"/>
      <c r="D49" s="68"/>
    </row>
    <row r="50" spans="1:4" ht="12.75">
      <c r="A50" s="32" t="s">
        <v>96</v>
      </c>
      <c r="B50" s="68">
        <v>48340</v>
      </c>
      <c r="C50" s="68">
        <v>830</v>
      </c>
      <c r="D50" s="68">
        <f>SUM(B50:C50)</f>
        <v>49170</v>
      </c>
    </row>
    <row r="51" spans="1:4" ht="12.75">
      <c r="A51" s="38" t="s">
        <v>101</v>
      </c>
      <c r="B51" s="68">
        <f>GWNetPos!C51*0.7</f>
        <v>340.795</v>
      </c>
      <c r="C51" s="68">
        <f>GWNetPos!C51*0.3</f>
        <v>146.055</v>
      </c>
      <c r="D51" s="68">
        <f>SUM(B51:C51)</f>
        <v>486.85</v>
      </c>
    </row>
    <row r="52" spans="1:4" ht="12.75">
      <c r="A52" s="32" t="s">
        <v>289</v>
      </c>
      <c r="B52" s="70">
        <f>B24+B26+B27+B28-B42-B44-B45-B50-B51</f>
        <v>221015.13499999998</v>
      </c>
      <c r="C52" s="70">
        <f>C24+C26+C27+C28-C42-C44-C45-C50-C51</f>
        <v>-92820.085</v>
      </c>
      <c r="D52" s="68">
        <f>SUM(B52:C52)</f>
        <v>128195.04999999997</v>
      </c>
    </row>
    <row r="53" spans="1:6" ht="13.5" thickBot="1">
      <c r="A53" s="32" t="s">
        <v>103</v>
      </c>
      <c r="B53" s="78">
        <f>SUM(B50:B52)</f>
        <v>269695.93</v>
      </c>
      <c r="C53" s="78">
        <f>SUM(C50:C52)</f>
        <v>-91844.03000000001</v>
      </c>
      <c r="D53" s="78">
        <f>SUM(D50:D52)-1</f>
        <v>177850.89999999997</v>
      </c>
      <c r="F53" s="76"/>
    </row>
    <row r="54" spans="1:4" ht="13.5" thickTop="1">
      <c r="A54" s="32"/>
      <c r="D54" s="75"/>
    </row>
    <row r="56" ht="12.75">
      <c r="A56" s="19" t="str">
        <f>'[3]GWStmtAct'!A61</f>
        <v>The notes to the financial statements are an integral part of this statement.</v>
      </c>
    </row>
    <row r="58" spans="2:4" ht="12.75">
      <c r="B58" s="76">
        <f>B24+B26+B27+B28-B42-B44-B45-B53</f>
        <v>0</v>
      </c>
      <c r="C58" s="76">
        <f>C24+C26+C27+C28-C42-C44-C45-C53</f>
        <v>0</v>
      </c>
      <c r="D58" s="76">
        <f>SUM(B58:C58)</f>
        <v>0</v>
      </c>
    </row>
  </sheetData>
  <sheetProtection/>
  <mergeCells count="5">
    <mergeCell ref="A2:D2"/>
    <mergeCell ref="A3:D3"/>
    <mergeCell ref="A4:D4"/>
    <mergeCell ref="A5:D5"/>
    <mergeCell ref="B7:D7"/>
  </mergeCells>
  <printOptions/>
  <pageMargins left="0.7" right="0.7" top="0.75" bottom="0.75" header="0.3" footer="0.3"/>
  <pageSetup horizontalDpi="600" verticalDpi="600" orientation="portrait" scale="91" r:id="rId1"/>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4">
      <selection activeCell="C38" sqref="C38"/>
    </sheetView>
  </sheetViews>
  <sheetFormatPr defaultColWidth="9.140625" defaultRowHeight="12.75"/>
  <cols>
    <col min="1" max="1" width="30.7109375" style="19" customWidth="1"/>
    <col min="2" max="5" width="15.7109375" style="19" customWidth="1"/>
    <col min="6" max="6" width="9.57421875" style="19" bestFit="1" customWidth="1"/>
    <col min="7" max="16384" width="9.140625" style="19" customWidth="1"/>
  </cols>
  <sheetData>
    <row r="1" ht="12.75">
      <c r="E1" s="65" t="s">
        <v>290</v>
      </c>
    </row>
    <row r="2" spans="1:5" ht="12.75">
      <c r="A2" s="311" t="str">
        <f>'[3]GWNetPos'!A2</f>
        <v>Carolina County Board of Education, North Carolina</v>
      </c>
      <c r="B2" s="311"/>
      <c r="C2" s="311"/>
      <c r="D2" s="311"/>
      <c r="E2" s="311"/>
    </row>
    <row r="3" spans="1:5" ht="12.75">
      <c r="A3" s="311" t="s">
        <v>291</v>
      </c>
      <c r="B3" s="311"/>
      <c r="C3" s="311"/>
      <c r="D3" s="311"/>
      <c r="E3" s="311"/>
    </row>
    <row r="4" spans="1:5" ht="12.75">
      <c r="A4" s="311" t="s">
        <v>14</v>
      </c>
      <c r="B4" s="311"/>
      <c r="C4" s="311"/>
      <c r="D4" s="311"/>
      <c r="E4" s="311"/>
    </row>
    <row r="5" spans="1:5" ht="12.75">
      <c r="A5" s="333" t="str">
        <f>GASB34GovtFundsBudget!B5</f>
        <v>For the Year Ended June 30, 2019</v>
      </c>
      <c r="B5" s="311"/>
      <c r="C5" s="311"/>
      <c r="D5" s="311"/>
      <c r="E5" s="311"/>
    </row>
    <row r="6" spans="1:5" ht="12.75">
      <c r="A6" s="19" t="s">
        <v>177</v>
      </c>
      <c r="E6" s="30"/>
    </row>
    <row r="7" spans="2:5" ht="12.75">
      <c r="B7" s="313" t="s">
        <v>15</v>
      </c>
      <c r="C7" s="313"/>
      <c r="D7" s="313"/>
      <c r="E7" s="30"/>
    </row>
    <row r="8" spans="2:5" ht="12.75">
      <c r="B8" s="24" t="s">
        <v>16</v>
      </c>
      <c r="C8" s="25" t="s">
        <v>17</v>
      </c>
      <c r="D8" s="26"/>
      <c r="E8" s="30"/>
    </row>
    <row r="9" spans="2:5" ht="25.5">
      <c r="B9" s="27" t="s">
        <v>18</v>
      </c>
      <c r="C9" s="28" t="s">
        <v>19</v>
      </c>
      <c r="D9" s="29" t="s">
        <v>20</v>
      </c>
      <c r="E9" s="126"/>
    </row>
    <row r="10" spans="1:5" ht="12.75">
      <c r="A10" s="23" t="s">
        <v>292</v>
      </c>
      <c r="E10" s="30"/>
    </row>
    <row r="11" spans="1:5" ht="12.75">
      <c r="A11" s="19" t="s">
        <v>293</v>
      </c>
      <c r="B11" s="127">
        <f>406290</f>
        <v>406290</v>
      </c>
      <c r="C11" s="127">
        <v>0</v>
      </c>
      <c r="D11" s="127">
        <f>SUM(B11:C11)</f>
        <v>406290</v>
      </c>
      <c r="E11" s="127"/>
    </row>
    <row r="12" spans="1:5" ht="12.75">
      <c r="A12" s="19" t="s">
        <v>294</v>
      </c>
      <c r="B12" s="74">
        <v>0</v>
      </c>
      <c r="C12" s="74">
        <f>147002</f>
        <v>147002</v>
      </c>
      <c r="D12" s="74">
        <f>SUM(B12:C12)</f>
        <v>147002</v>
      </c>
      <c r="E12" s="74"/>
    </row>
    <row r="13" spans="1:5" ht="12.75">
      <c r="A13" s="69" t="s">
        <v>295</v>
      </c>
      <c r="B13" s="73">
        <f>SUM(B11:B12)</f>
        <v>406290</v>
      </c>
      <c r="C13" s="73">
        <f>SUM(C11:C12)</f>
        <v>147002</v>
      </c>
      <c r="D13" s="73">
        <f>SUM(D11:D12)</f>
        <v>553292</v>
      </c>
      <c r="E13" s="74"/>
    </row>
    <row r="14" spans="1:5" ht="12.75">
      <c r="A14" s="69"/>
      <c r="B14" s="74"/>
      <c r="C14" s="74"/>
      <c r="D14" s="74"/>
      <c r="E14" s="74"/>
    </row>
    <row r="15" spans="1:5" ht="12.75">
      <c r="A15" s="23" t="s">
        <v>296</v>
      </c>
      <c r="B15" s="68"/>
      <c r="C15" s="68"/>
      <c r="D15" s="68"/>
      <c r="E15" s="74"/>
    </row>
    <row r="16" spans="1:5" ht="12.75">
      <c r="A16" s="19" t="s">
        <v>297</v>
      </c>
      <c r="B16" s="68"/>
      <c r="C16" s="68"/>
      <c r="D16" s="68"/>
      <c r="E16" s="74"/>
    </row>
    <row r="17" spans="1:5" ht="12.75">
      <c r="A17" s="69" t="s">
        <v>298</v>
      </c>
      <c r="B17" s="68">
        <v>840290</v>
      </c>
      <c r="C17" s="68">
        <v>0</v>
      </c>
      <c r="D17" s="68">
        <f>SUM(B17:C17)</f>
        <v>840290</v>
      </c>
      <c r="E17" s="74"/>
    </row>
    <row r="18" spans="1:5" ht="12.75">
      <c r="A18" s="69" t="s">
        <v>299</v>
      </c>
      <c r="B18" s="68">
        <v>19641</v>
      </c>
      <c r="C18" s="68">
        <v>0</v>
      </c>
      <c r="D18" s="68">
        <f aca="true" t="shared" si="0" ref="D18:D25">SUM(B18:C18)</f>
        <v>19641</v>
      </c>
      <c r="E18" s="74"/>
    </row>
    <row r="19" spans="1:6" ht="12.75">
      <c r="A19" s="19" t="s">
        <v>300</v>
      </c>
      <c r="B19" s="68">
        <f>78000+(75513)*0.2*0.7+(58537*0.2*0.7)+(1043*0.2*0.7*0.5)+(94314*0.2*0.7)-(12699*0.2*0.7)+(547*0.2*0.7*0.5)+14</f>
        <v>108318.4</v>
      </c>
      <c r="C19" s="68">
        <f>129070+(75513)*0.3*0.2+(58537*0.3*0.2)+(1043*0.3*0.2*0.5)+(94314*0.3*0.2)-(12699*0.3*0.2)+(547*0.5*0.3*0.2)+6</f>
        <v>142063.6</v>
      </c>
      <c r="D19" s="68">
        <f t="shared" si="0"/>
        <v>250382</v>
      </c>
      <c r="E19" s="74"/>
      <c r="F19" s="75"/>
    </row>
    <row r="20" spans="1:6" ht="12.75">
      <c r="A20" s="19" t="s">
        <v>301</v>
      </c>
      <c r="B20" s="68">
        <v>58000</v>
      </c>
      <c r="C20" s="68">
        <v>0</v>
      </c>
      <c r="D20" s="68">
        <f t="shared" si="0"/>
        <v>58000</v>
      </c>
      <c r="E20" s="74"/>
      <c r="F20" s="75"/>
    </row>
    <row r="21" spans="1:5" ht="12.75">
      <c r="A21" s="19" t="s">
        <v>302</v>
      </c>
      <c r="B21" s="68">
        <v>6557</v>
      </c>
      <c r="C21" s="68">
        <v>12408</v>
      </c>
      <c r="D21" s="68">
        <f t="shared" si="0"/>
        <v>18965</v>
      </c>
      <c r="E21" s="74"/>
    </row>
    <row r="22" spans="1:7" ht="12.75">
      <c r="A22" s="19" t="s">
        <v>303</v>
      </c>
      <c r="B22" s="68">
        <v>1886</v>
      </c>
      <c r="C22" s="68">
        <v>0</v>
      </c>
      <c r="D22" s="68">
        <f t="shared" si="0"/>
        <v>1886</v>
      </c>
      <c r="E22" s="74"/>
      <c r="G22" s="76"/>
    </row>
    <row r="23" spans="1:5" ht="12.75">
      <c r="A23" s="19" t="s">
        <v>39</v>
      </c>
      <c r="B23" s="74">
        <v>7765</v>
      </c>
      <c r="C23" s="74">
        <v>300</v>
      </c>
      <c r="D23" s="68">
        <f t="shared" si="0"/>
        <v>8065</v>
      </c>
      <c r="E23" s="74"/>
    </row>
    <row r="24" spans="1:8" ht="12.75">
      <c r="A24" s="19" t="s">
        <v>304</v>
      </c>
      <c r="B24" s="74">
        <f>7600-321</f>
        <v>7279</v>
      </c>
      <c r="C24" s="74">
        <f>2186+325</f>
        <v>2511</v>
      </c>
      <c r="D24" s="68">
        <f t="shared" si="0"/>
        <v>9790</v>
      </c>
      <c r="E24" s="74"/>
      <c r="H24" s="75"/>
    </row>
    <row r="25" spans="1:9" ht="12.75">
      <c r="A25" s="19" t="s">
        <v>204</v>
      </c>
      <c r="B25" s="70">
        <v>7000</v>
      </c>
      <c r="C25" s="70">
        <v>0</v>
      </c>
      <c r="D25" s="68">
        <f t="shared" si="0"/>
        <v>7000</v>
      </c>
      <c r="E25" s="74"/>
      <c r="H25" s="75"/>
      <c r="I25" s="75"/>
    </row>
    <row r="26" spans="1:7" ht="12.75">
      <c r="A26" s="19" t="s">
        <v>305</v>
      </c>
      <c r="B26" s="70">
        <f>SUM(B17:B25)</f>
        <v>1056736.4</v>
      </c>
      <c r="C26" s="70">
        <f>SUM(C17:C25)</f>
        <v>157282.6</v>
      </c>
      <c r="D26" s="73">
        <f>SUM(D17:D25)-1</f>
        <v>1214018</v>
      </c>
      <c r="E26" s="74"/>
      <c r="F26" s="87"/>
      <c r="G26" s="75"/>
    </row>
    <row r="27" spans="1:5" ht="12.75">
      <c r="A27" s="71" t="s">
        <v>306</v>
      </c>
      <c r="B27" s="73">
        <f>B13-B26</f>
        <v>-650446.3999999999</v>
      </c>
      <c r="C27" s="73">
        <f>C13-C26</f>
        <v>-10280.600000000006</v>
      </c>
      <c r="D27" s="73">
        <f>D13-D26</f>
        <v>-660726</v>
      </c>
      <c r="E27" s="74"/>
    </row>
    <row r="28" spans="2:5" ht="12.75">
      <c r="B28" s="68"/>
      <c r="C28" s="68"/>
      <c r="D28" s="68"/>
      <c r="E28" s="74"/>
    </row>
    <row r="29" spans="1:5" ht="12.75">
      <c r="A29" s="23" t="s">
        <v>307</v>
      </c>
      <c r="B29" s="68"/>
      <c r="C29" s="68"/>
      <c r="D29" s="68"/>
      <c r="E29" s="74"/>
    </row>
    <row r="30" spans="1:5" ht="12.75">
      <c r="A30" s="32" t="s">
        <v>28</v>
      </c>
      <c r="B30" s="68">
        <v>552367</v>
      </c>
      <c r="C30" s="68">
        <v>0</v>
      </c>
      <c r="D30" s="68">
        <v>552367</v>
      </c>
      <c r="E30" s="74"/>
    </row>
    <row r="31" spans="1:5" ht="12.75">
      <c r="A31" s="32" t="s">
        <v>308</v>
      </c>
      <c r="B31" s="68">
        <v>20641</v>
      </c>
      <c r="C31" s="68">
        <v>0</v>
      </c>
      <c r="D31" s="68">
        <v>20641</v>
      </c>
      <c r="E31" s="74"/>
    </row>
    <row r="32" spans="1:5" ht="12.75">
      <c r="A32" s="32" t="s">
        <v>309</v>
      </c>
      <c r="B32" s="68">
        <v>120978</v>
      </c>
      <c r="C32" s="68">
        <v>1024</v>
      </c>
      <c r="D32" s="68">
        <v>122002</v>
      </c>
      <c r="E32" s="74"/>
    </row>
    <row r="33" spans="1:5" ht="12.75">
      <c r="A33" s="32" t="s">
        <v>42</v>
      </c>
      <c r="B33" s="68">
        <v>4000</v>
      </c>
      <c r="C33" s="68">
        <v>0</v>
      </c>
      <c r="D33" s="68">
        <v>4000</v>
      </c>
      <c r="E33" s="74"/>
    </row>
    <row r="34" spans="1:5" ht="25.5">
      <c r="A34" s="38" t="s">
        <v>310</v>
      </c>
      <c r="B34" s="73">
        <v>697986</v>
      </c>
      <c r="C34" s="73">
        <v>1024</v>
      </c>
      <c r="D34" s="73">
        <v>699010</v>
      </c>
      <c r="E34" s="74"/>
    </row>
    <row r="35" spans="1:5" ht="25.5">
      <c r="A35" s="40" t="s">
        <v>311</v>
      </c>
      <c r="B35" s="68">
        <f>B27+B34</f>
        <v>47539.60000000009</v>
      </c>
      <c r="C35" s="68">
        <f>C27+C34</f>
        <v>-9256.600000000006</v>
      </c>
      <c r="D35" s="68">
        <f>SUM(B35:C35)</f>
        <v>38283.00000000009</v>
      </c>
      <c r="E35" s="74"/>
    </row>
    <row r="36" spans="1:5" ht="12.75">
      <c r="A36" s="32" t="s">
        <v>270</v>
      </c>
      <c r="B36" s="70">
        <v>14000</v>
      </c>
      <c r="C36" s="70">
        <v>0</v>
      </c>
      <c r="D36" s="70">
        <v>14000</v>
      </c>
      <c r="E36" s="74"/>
    </row>
    <row r="37" spans="1:5" ht="12.75">
      <c r="A37" s="40" t="s">
        <v>156</v>
      </c>
      <c r="B37" s="68">
        <f>SUM(B35:B36)</f>
        <v>61539.60000000009</v>
      </c>
      <c r="C37" s="68">
        <f>SUM(C35:C36)</f>
        <v>-9256.600000000006</v>
      </c>
      <c r="D37" s="68">
        <f>SUM(D35:D36)</f>
        <v>52283.00000000009</v>
      </c>
      <c r="E37" s="74"/>
    </row>
    <row r="38" spans="1:6" ht="12.75">
      <c r="A38" s="32" t="s">
        <v>312</v>
      </c>
      <c r="B38" s="74">
        <f>208479</f>
        <v>208479</v>
      </c>
      <c r="C38" s="74">
        <f>-82911</f>
        <v>-82911</v>
      </c>
      <c r="D38" s="74">
        <f>SUM(B38:C38)</f>
        <v>125568</v>
      </c>
      <c r="E38" s="74"/>
      <c r="F38" s="45"/>
    </row>
    <row r="39" spans="1:5" ht="13.5" thickBot="1">
      <c r="A39" s="19" t="s">
        <v>313</v>
      </c>
      <c r="B39" s="78">
        <f>B37+B38</f>
        <v>270018.6000000001</v>
      </c>
      <c r="C39" s="78">
        <f>C37+C38</f>
        <v>-92167.6</v>
      </c>
      <c r="D39" s="78">
        <f>D37+D38</f>
        <v>177851.0000000001</v>
      </c>
      <c r="E39" s="127"/>
    </row>
    <row r="40" ht="13.5" thickTop="1">
      <c r="F40" s="76"/>
    </row>
    <row r="41" spans="2:4" ht="12.75">
      <c r="B41" s="76"/>
      <c r="C41" s="76"/>
      <c r="D41" s="76"/>
    </row>
    <row r="42" ht="12.75">
      <c r="A42" s="19" t="str">
        <f>'[3]GWStmtAct'!A61</f>
        <v>The notes to the financial statements are an integral part of this statement.</v>
      </c>
    </row>
    <row r="43" ht="12.75">
      <c r="D43" s="76"/>
    </row>
    <row r="45" ht="12.75">
      <c r="D45" s="84"/>
    </row>
  </sheetData>
  <sheetProtection/>
  <mergeCells count="5">
    <mergeCell ref="A2:E2"/>
    <mergeCell ref="A3:E3"/>
    <mergeCell ref="A4:E4"/>
    <mergeCell ref="A5:E5"/>
    <mergeCell ref="B7:D7"/>
  </mergeCells>
  <printOptions/>
  <pageMargins left="0.7" right="0.7" top="0.75" bottom="0.75" header="0.3" footer="0.3"/>
  <pageSetup horizontalDpi="600" verticalDpi="600" orientation="portrait" scale="97" r:id="rId1"/>
</worksheet>
</file>

<file path=xl/worksheets/sheet9.xml><?xml version="1.0" encoding="utf-8"?>
<worksheet xmlns="http://schemas.openxmlformats.org/spreadsheetml/2006/main" xmlns:r="http://schemas.openxmlformats.org/officeDocument/2006/relationships">
  <sheetPr>
    <pageSetUpPr fitToPage="1"/>
  </sheetPr>
  <dimension ref="A1:P101"/>
  <sheetViews>
    <sheetView showGridLines="0" zoomScalePageLayoutView="0" workbookViewId="0" topLeftCell="A43">
      <selection activeCell="C66" sqref="C66"/>
    </sheetView>
  </sheetViews>
  <sheetFormatPr defaultColWidth="9.140625" defaultRowHeight="12.75"/>
  <cols>
    <col min="1" max="1" width="45.421875" style="19" customWidth="1"/>
    <col min="2" max="2" width="14.421875" style="19" customWidth="1"/>
    <col min="3" max="3" width="16.140625" style="19" customWidth="1"/>
    <col min="4" max="4" width="12.7109375" style="19" customWidth="1"/>
    <col min="5" max="6" width="9.140625" style="19" customWidth="1"/>
    <col min="7" max="7" width="49.7109375" style="19" customWidth="1"/>
    <col min="8" max="8" width="16.28125" style="21" customWidth="1"/>
    <col min="9" max="10" width="15.28125" style="21" customWidth="1"/>
    <col min="11" max="11" width="10.7109375" style="21" customWidth="1"/>
    <col min="12" max="12" width="11.7109375" style="21" bestFit="1" customWidth="1"/>
    <col min="13" max="13" width="8.7109375" style="21" bestFit="1" customWidth="1"/>
    <col min="14" max="14" width="11.8515625" style="21" bestFit="1" customWidth="1"/>
    <col min="15" max="16" width="9.140625" style="21" customWidth="1"/>
    <col min="17" max="16384" width="9.140625" style="19" customWidth="1"/>
  </cols>
  <sheetData>
    <row r="1" spans="1:5" ht="12.75">
      <c r="A1" s="51"/>
      <c r="B1" s="51"/>
      <c r="C1" s="51"/>
      <c r="D1" s="288" t="s">
        <v>12</v>
      </c>
      <c r="E1" s="20"/>
    </row>
    <row r="2" spans="1:5" ht="12.75">
      <c r="A2" s="344" t="str">
        <f>'[4]GWNetPos'!A2</f>
        <v>Carolina County Board of Education, North Carolina</v>
      </c>
      <c r="B2" s="344"/>
      <c r="C2" s="344"/>
      <c r="D2" s="344"/>
      <c r="E2" s="48"/>
    </row>
    <row r="3" spans="1:5" ht="12.75">
      <c r="A3" s="344" t="s">
        <v>13</v>
      </c>
      <c r="B3" s="344"/>
      <c r="C3" s="344"/>
      <c r="D3" s="344"/>
      <c r="E3" s="48"/>
    </row>
    <row r="4" spans="1:5" ht="12.75">
      <c r="A4" s="344" t="s">
        <v>14</v>
      </c>
      <c r="B4" s="344"/>
      <c r="C4" s="344"/>
      <c r="D4" s="344"/>
      <c r="E4" s="48"/>
    </row>
    <row r="5" spans="1:5" ht="12.75">
      <c r="A5" s="344" t="s">
        <v>556</v>
      </c>
      <c r="B5" s="344"/>
      <c r="C5" s="344"/>
      <c r="D5" s="344"/>
      <c r="E5" s="48"/>
    </row>
    <row r="6" spans="1:5" ht="12.75">
      <c r="A6" s="194"/>
      <c r="B6" s="194"/>
      <c r="C6" s="194"/>
      <c r="D6" s="194"/>
      <c r="E6" s="23"/>
    </row>
    <row r="7" spans="1:5" ht="12.75">
      <c r="A7" s="51"/>
      <c r="B7" s="343" t="s">
        <v>15</v>
      </c>
      <c r="C7" s="343"/>
      <c r="D7" s="343"/>
      <c r="E7" s="23"/>
    </row>
    <row r="8" spans="1:5" ht="12.75">
      <c r="A8" s="51"/>
      <c r="B8" s="289" t="s">
        <v>16</v>
      </c>
      <c r="C8" s="290" t="s">
        <v>17</v>
      </c>
      <c r="D8" s="291"/>
      <c r="E8" s="23"/>
    </row>
    <row r="9" spans="1:4" ht="24">
      <c r="A9" s="51"/>
      <c r="B9" s="292" t="s">
        <v>18</v>
      </c>
      <c r="C9" s="293" t="s">
        <v>19</v>
      </c>
      <c r="D9" s="294" t="s">
        <v>20</v>
      </c>
    </row>
    <row r="10" spans="1:4" ht="12.75">
      <c r="A10" s="295" t="s">
        <v>21</v>
      </c>
      <c r="B10" s="51"/>
      <c r="C10" s="51"/>
      <c r="D10" s="51"/>
    </row>
    <row r="11" spans="1:7" ht="12.75">
      <c r="A11" s="296" t="s">
        <v>22</v>
      </c>
      <c r="B11" s="297">
        <f>406290</f>
        <v>406290</v>
      </c>
      <c r="C11" s="297">
        <v>148390</v>
      </c>
      <c r="D11" s="297">
        <f>SUM(B11:C11)</f>
        <v>554680</v>
      </c>
      <c r="G11" s="33"/>
    </row>
    <row r="12" spans="1:5" ht="12.75">
      <c r="A12" s="296" t="s">
        <v>23</v>
      </c>
      <c r="B12" s="298">
        <f>-962925</f>
        <v>-962925</v>
      </c>
      <c r="C12" s="298">
        <f>-17360</f>
        <v>-17360</v>
      </c>
      <c r="D12" s="298">
        <f>SUM(B12:C12)</f>
        <v>-980285</v>
      </c>
      <c r="E12" s="35"/>
    </row>
    <row r="13" spans="1:4" ht="12.75">
      <c r="A13" s="296" t="s">
        <v>24</v>
      </c>
      <c r="B13" s="298">
        <f>-71000-48500*0.7*0.2-(27219*0.7*0.2)-(0.7*0.2*1260*0.5)-(50000*0.7*0.2)-(30000*0.7*0.2)-(0.7*0.2*1400*0.5)</f>
        <v>-92986.86</v>
      </c>
      <c r="C13" s="298">
        <f>-131840-48500*0.3*0.2-(27219*0.3*0.2)-(0.3*0.2*1260*0.5)-(50000*0.3*0.2)-(30000*0.3*0.2)-(0.3*0.2*1400*0.5)</f>
        <v>-141262.94</v>
      </c>
      <c r="D13" s="298">
        <f>SUM(B13:C13)</f>
        <v>-234249.8</v>
      </c>
    </row>
    <row r="14" spans="1:4" ht="12.75">
      <c r="A14" s="296" t="s">
        <v>25</v>
      </c>
      <c r="B14" s="299">
        <v>0</v>
      </c>
      <c r="C14" s="299">
        <v>120</v>
      </c>
      <c r="D14" s="298">
        <f>SUM(B14:C14)</f>
        <v>120</v>
      </c>
    </row>
    <row r="15" spans="1:7" ht="12.75">
      <c r="A15" s="300" t="s">
        <v>26</v>
      </c>
      <c r="B15" s="301">
        <f>SUM(B11:B14)</f>
        <v>-649621.86</v>
      </c>
      <c r="C15" s="301">
        <f>SUM(C11:C14)</f>
        <v>-10112.940000000002</v>
      </c>
      <c r="D15" s="301">
        <f>SUM(D11:D14)</f>
        <v>-659734.8</v>
      </c>
      <c r="F15" s="35"/>
      <c r="G15" s="35"/>
    </row>
    <row r="16" spans="1:4" ht="12" customHeight="1">
      <c r="A16" s="296"/>
      <c r="B16" s="298"/>
      <c r="C16" s="298"/>
      <c r="D16" s="298"/>
    </row>
    <row r="17" spans="1:4" ht="24">
      <c r="A17" s="295" t="s">
        <v>27</v>
      </c>
      <c r="B17" s="298"/>
      <c r="C17" s="298"/>
      <c r="D17" s="298"/>
    </row>
    <row r="18" spans="1:4" ht="12.75">
      <c r="A18" s="296" t="s">
        <v>28</v>
      </c>
      <c r="B18" s="299">
        <v>537885</v>
      </c>
      <c r="C18" s="299">
        <v>0</v>
      </c>
      <c r="D18" s="299">
        <v>537885</v>
      </c>
    </row>
    <row r="19" spans="1:4" ht="12" customHeight="1">
      <c r="A19" s="296"/>
      <c r="B19" s="302"/>
      <c r="C19" s="302"/>
      <c r="D19" s="302"/>
    </row>
    <row r="20" spans="1:4" ht="24">
      <c r="A20" s="295" t="s">
        <v>29</v>
      </c>
      <c r="B20" s="298"/>
      <c r="C20" s="298"/>
      <c r="D20" s="298"/>
    </row>
    <row r="21" spans="1:7" ht="12.75">
      <c r="A21" s="296" t="s">
        <v>30</v>
      </c>
      <c r="B21" s="299">
        <v>-9400</v>
      </c>
      <c r="C21" s="299">
        <v>-1130</v>
      </c>
      <c r="D21" s="299">
        <f>SUM(B21:C21)</f>
        <v>-10530</v>
      </c>
      <c r="G21" s="33"/>
    </row>
    <row r="22" spans="1:4" ht="12" customHeight="1">
      <c r="A22" s="296"/>
      <c r="B22" s="298"/>
      <c r="C22" s="298"/>
      <c r="D22" s="298"/>
    </row>
    <row r="23" spans="1:7" ht="12.75">
      <c r="A23" s="295" t="s">
        <v>31</v>
      </c>
      <c r="B23" s="298"/>
      <c r="C23" s="298"/>
      <c r="D23" s="298"/>
      <c r="G23" s="35"/>
    </row>
    <row r="24" spans="1:4" ht="12.75">
      <c r="A24" s="296" t="s">
        <v>32</v>
      </c>
      <c r="B24" s="299">
        <v>120978</v>
      </c>
      <c r="C24" s="299">
        <v>1024</v>
      </c>
      <c r="D24" s="299">
        <f>SUM(B24:C24)</f>
        <v>122002</v>
      </c>
    </row>
    <row r="25" spans="1:4" ht="12.75">
      <c r="A25" s="303" t="s">
        <v>33</v>
      </c>
      <c r="B25" s="298">
        <f>SUM(B15:B24)</f>
        <v>-158.85999999998603</v>
      </c>
      <c r="C25" s="298">
        <f>SUM(C15:C24)</f>
        <v>-10218.940000000002</v>
      </c>
      <c r="D25" s="298">
        <f>SUM(D15:D24)</f>
        <v>-10377.800000000047</v>
      </c>
    </row>
    <row r="26" spans="1:7" ht="12.75">
      <c r="A26" s="296" t="s">
        <v>34</v>
      </c>
      <c r="B26" s="299">
        <f>299572-600</f>
        <v>298972</v>
      </c>
      <c r="C26" s="299">
        <v>28440</v>
      </c>
      <c r="D26" s="299">
        <f>SUM(B26:C26)</f>
        <v>327412</v>
      </c>
      <c r="G26" s="35"/>
    </row>
    <row r="27" spans="1:4" ht="13.5" thickBot="1">
      <c r="A27" s="296" t="s">
        <v>35</v>
      </c>
      <c r="B27" s="304">
        <f>SUM(B25:B26)</f>
        <v>298813.14</v>
      </c>
      <c r="C27" s="304">
        <f>SUM(C25:C26)</f>
        <v>18221.059999999998</v>
      </c>
      <c r="D27" s="304">
        <f>SUM(D25:D26)</f>
        <v>317034.19999999995</v>
      </c>
    </row>
    <row r="28" spans="1:7" ht="13.5" thickTop="1">
      <c r="A28" s="296"/>
      <c r="B28" s="298"/>
      <c r="C28" s="298"/>
      <c r="D28" s="298"/>
      <c r="F28" s="33"/>
      <c r="G28" s="33"/>
    </row>
    <row r="29" spans="1:4" ht="24">
      <c r="A29" s="296" t="s">
        <v>36</v>
      </c>
      <c r="B29" s="298"/>
      <c r="C29" s="298"/>
      <c r="D29" s="298"/>
    </row>
    <row r="30" spans="1:14" ht="12.75">
      <c r="A30" s="300" t="s">
        <v>37</v>
      </c>
      <c r="B30" s="305">
        <f>'Rev, exp-Prop'!B27</f>
        <v>-650446.3999999999</v>
      </c>
      <c r="C30" s="305">
        <f>'Rev, exp-Prop'!C27</f>
        <v>-10280.600000000006</v>
      </c>
      <c r="D30" s="305">
        <f>'Rev, exp-Prop'!D27</f>
        <v>-660726</v>
      </c>
      <c r="G30" s="36"/>
      <c r="H30" s="41"/>
      <c r="I30" s="41"/>
      <c r="J30" s="41"/>
      <c r="K30" s="41"/>
      <c r="L30" s="41"/>
      <c r="M30" s="41"/>
      <c r="N30" s="41"/>
    </row>
    <row r="31" spans="1:14" ht="39" customHeight="1">
      <c r="A31" s="296" t="s">
        <v>38</v>
      </c>
      <c r="B31" s="298"/>
      <c r="C31" s="298"/>
      <c r="D31" s="298"/>
      <c r="G31" s="30"/>
      <c r="H31" s="41"/>
      <c r="I31" s="41"/>
      <c r="J31" s="41"/>
      <c r="K31" s="41"/>
      <c r="L31" s="41"/>
      <c r="M31" s="345"/>
      <c r="N31" s="345"/>
    </row>
    <row r="32" spans="1:16" ht="12.75">
      <c r="A32" s="300" t="s">
        <v>39</v>
      </c>
      <c r="B32" s="298">
        <v>7765</v>
      </c>
      <c r="C32" s="298">
        <v>300</v>
      </c>
      <c r="D32" s="298">
        <f aca="true" t="shared" si="0" ref="D32:D46">SUM(B32:C32)</f>
        <v>8065</v>
      </c>
      <c r="G32" s="30"/>
      <c r="H32" s="42"/>
      <c r="I32" s="42"/>
      <c r="J32" s="42"/>
      <c r="K32" s="42"/>
      <c r="L32" s="42"/>
      <c r="M32" s="345"/>
      <c r="N32" s="345"/>
      <c r="O32" s="43"/>
      <c r="P32" s="43"/>
    </row>
    <row r="33" spans="1:14" s="21" customFormat="1" ht="12.75">
      <c r="A33" s="300" t="s">
        <v>40</v>
      </c>
      <c r="B33" s="298">
        <v>19641</v>
      </c>
      <c r="C33" s="298">
        <v>0</v>
      </c>
      <c r="D33" s="298">
        <f t="shared" si="0"/>
        <v>19641</v>
      </c>
      <c r="E33" s="19"/>
      <c r="F33" s="19"/>
      <c r="G33" s="44"/>
      <c r="H33" s="41"/>
      <c r="I33" s="41"/>
      <c r="J33" s="41"/>
      <c r="K33" s="41"/>
      <c r="L33" s="41"/>
      <c r="M33" s="41"/>
      <c r="N33" s="41"/>
    </row>
    <row r="34" spans="1:14" s="21" customFormat="1" ht="12.75">
      <c r="A34" s="300" t="s">
        <v>41</v>
      </c>
      <c r="B34" s="298">
        <v>14000</v>
      </c>
      <c r="C34" s="298">
        <v>0</v>
      </c>
      <c r="D34" s="298">
        <f t="shared" si="0"/>
        <v>14000</v>
      </c>
      <c r="E34" s="19"/>
      <c r="F34" s="19"/>
      <c r="G34" s="44"/>
      <c r="H34" s="41"/>
      <c r="I34" s="41"/>
      <c r="J34" s="41"/>
      <c r="K34" s="41"/>
      <c r="L34" s="41"/>
      <c r="M34" s="41"/>
      <c r="N34" s="41"/>
    </row>
    <row r="35" spans="1:14" s="21" customFormat="1" ht="12.75">
      <c r="A35" s="300" t="s">
        <v>42</v>
      </c>
      <c r="B35" s="298">
        <v>4000</v>
      </c>
      <c r="C35" s="298">
        <v>0</v>
      </c>
      <c r="D35" s="298">
        <f t="shared" si="0"/>
        <v>4000</v>
      </c>
      <c r="E35" s="19"/>
      <c r="F35" s="19"/>
      <c r="G35" s="44"/>
      <c r="H35" s="41"/>
      <c r="I35" s="41"/>
      <c r="J35" s="41"/>
      <c r="K35" s="41"/>
      <c r="L35" s="41"/>
      <c r="M35" s="41"/>
      <c r="N35" s="41"/>
    </row>
    <row r="36" spans="1:14" s="21" customFormat="1" ht="24">
      <c r="A36" s="296" t="s">
        <v>43</v>
      </c>
      <c r="B36" s="298"/>
      <c r="C36" s="298"/>
      <c r="D36" s="298">
        <f t="shared" si="0"/>
        <v>0</v>
      </c>
      <c r="E36" s="19"/>
      <c r="F36" s="19"/>
      <c r="G36" s="30"/>
      <c r="H36" s="41"/>
      <c r="I36" s="41"/>
      <c r="J36" s="41"/>
      <c r="K36" s="41"/>
      <c r="L36" s="41"/>
      <c r="M36" s="41"/>
      <c r="N36" s="41"/>
    </row>
    <row r="37" spans="1:14" s="21" customFormat="1" ht="12.75">
      <c r="A37" s="300" t="s">
        <v>44</v>
      </c>
      <c r="B37" s="298">
        <v>-50000</v>
      </c>
      <c r="C37" s="298">
        <v>-744</v>
      </c>
      <c r="D37" s="298">
        <f t="shared" si="0"/>
        <v>-50744</v>
      </c>
      <c r="E37" s="19"/>
      <c r="F37" s="36"/>
      <c r="G37" s="44"/>
      <c r="H37" s="41"/>
      <c r="I37" s="41"/>
      <c r="J37" s="41"/>
      <c r="K37" s="41"/>
      <c r="L37" s="41"/>
      <c r="M37" s="41"/>
      <c r="N37" s="41"/>
    </row>
    <row r="38" spans="1:14" s="21" customFormat="1" ht="12.75">
      <c r="A38" s="300" t="s">
        <v>45</v>
      </c>
      <c r="B38" s="298">
        <v>0</v>
      </c>
      <c r="C38" s="298">
        <v>1508</v>
      </c>
      <c r="D38" s="298">
        <f t="shared" si="0"/>
        <v>1508</v>
      </c>
      <c r="E38" s="19"/>
      <c r="F38" s="45"/>
      <c r="G38" s="46"/>
      <c r="H38" s="41"/>
      <c r="I38" s="41"/>
      <c r="J38" s="41"/>
      <c r="K38" s="41"/>
      <c r="L38" s="41"/>
      <c r="M38" s="41"/>
      <c r="N38" s="41"/>
    </row>
    <row r="39" spans="1:14" s="21" customFormat="1" ht="12.75">
      <c r="A39" s="300" t="s">
        <v>46</v>
      </c>
      <c r="B39" s="298">
        <f>(2670-1821)*0.2*0.7*0.5-(1132*0.2*0.7*0.5)</f>
        <v>-19.809999999999995</v>
      </c>
      <c r="C39" s="298">
        <f>(2670-1821)*0.2*0.3*0.5-(1132*0.2*0.3*0.5)</f>
        <v>-8.489999999999998</v>
      </c>
      <c r="D39" s="298">
        <f>SUM(B39:C39)</f>
        <v>-28.299999999999994</v>
      </c>
      <c r="E39" s="19"/>
      <c r="F39" s="45"/>
      <c r="G39" s="46"/>
      <c r="H39" s="41"/>
      <c r="I39" s="41"/>
      <c r="J39" s="41"/>
      <c r="K39" s="41"/>
      <c r="L39" s="41"/>
      <c r="M39" s="41"/>
      <c r="N39" s="41"/>
    </row>
    <row r="40" spans="1:14" s="21" customFormat="1" ht="12.75">
      <c r="A40" s="300" t="s">
        <v>47</v>
      </c>
      <c r="B40" s="298">
        <v>-9290</v>
      </c>
      <c r="C40" s="298">
        <v>0</v>
      </c>
      <c r="D40" s="298">
        <f t="shared" si="0"/>
        <v>-9290</v>
      </c>
      <c r="E40" s="19"/>
      <c r="F40" s="19"/>
      <c r="G40" s="44"/>
      <c r="H40" s="41"/>
      <c r="I40" s="41"/>
      <c r="J40" s="41"/>
      <c r="K40" s="41"/>
      <c r="L40" s="41"/>
      <c r="M40" s="41"/>
      <c r="N40" s="41"/>
    </row>
    <row r="41" spans="1:14" s="21" customFormat="1" ht="12.75">
      <c r="A41" s="300" t="s">
        <v>48</v>
      </c>
      <c r="B41" s="298">
        <f>(276911-379590)*0.2*0.7+(18241)</f>
        <v>3865.9399999999987</v>
      </c>
      <c r="C41" s="298">
        <f>(276911-379590)*0.2*0.3+7817</f>
        <v>1656.2599999999993</v>
      </c>
      <c r="D41" s="298">
        <f t="shared" si="0"/>
        <v>5522.199999999998</v>
      </c>
      <c r="E41" s="19"/>
      <c r="F41" s="19"/>
      <c r="G41" s="44"/>
      <c r="H41" s="41"/>
      <c r="I41" s="41"/>
      <c r="J41" s="41"/>
      <c r="K41" s="41"/>
      <c r="L41" s="41"/>
      <c r="M41" s="41"/>
      <c r="N41" s="41"/>
    </row>
    <row r="42" spans="1:14" s="21" customFormat="1" ht="12.75">
      <c r="A42" s="300" t="s">
        <v>49</v>
      </c>
      <c r="B42" s="298">
        <f>(1204359-1598454)*0.7*0.2-15536</f>
        <v>-70709.3</v>
      </c>
      <c r="C42" s="298">
        <f>(1204359-1598454)*0.2*0.3-6658</f>
        <v>-30303.7</v>
      </c>
      <c r="D42" s="298">
        <f t="shared" si="0"/>
        <v>-101013</v>
      </c>
      <c r="E42" s="19"/>
      <c r="F42" s="19"/>
      <c r="G42" s="46"/>
      <c r="H42" s="41"/>
      <c r="I42" s="41"/>
      <c r="J42" s="41"/>
      <c r="K42" s="41"/>
      <c r="L42" s="41"/>
      <c r="M42" s="41"/>
      <c r="N42" s="41"/>
    </row>
    <row r="43" spans="1:14" s="21" customFormat="1" ht="12.75">
      <c r="A43" s="300" t="s">
        <v>50</v>
      </c>
      <c r="B43" s="298">
        <f>-(148691-260973)*0.2*0.7+B44+B45-(7000+3320+186+5315+959-6790)</f>
        <v>-2544.2</v>
      </c>
      <c r="C43" s="298">
        <f>-(148691-260973)*0.2*0.3+C44+C45-(3000+1423+80+2278+411-2910)</f>
        <v>-1089.7999999999997</v>
      </c>
      <c r="D43" s="298">
        <f t="shared" si="0"/>
        <v>-3633.9999999999995</v>
      </c>
      <c r="E43" s="19"/>
      <c r="F43" s="19"/>
      <c r="G43" s="46"/>
      <c r="H43" s="41"/>
      <c r="I43" s="41"/>
      <c r="J43" s="41"/>
      <c r="K43" s="41"/>
      <c r="L43" s="41"/>
      <c r="M43" s="41"/>
      <c r="N43" s="41"/>
    </row>
    <row r="44" spans="1:14" s="21" customFormat="1" ht="12.75">
      <c r="A44" s="300" t="s">
        <v>51</v>
      </c>
      <c r="B44" s="298">
        <f>(28290-27219)*0.7*0.2-(4200-3811+17+8068)</f>
        <v>-8324.06</v>
      </c>
      <c r="C44" s="298">
        <f>(28290-27219)*0.3*0.2-(1800-1633+7+3458)</f>
        <v>-3567.74</v>
      </c>
      <c r="D44" s="298">
        <f t="shared" si="0"/>
        <v>-11891.8</v>
      </c>
      <c r="E44" s="19"/>
      <c r="F44" s="19"/>
      <c r="G44" s="46"/>
      <c r="H44" s="41"/>
      <c r="I44" s="41"/>
      <c r="J44" s="41"/>
      <c r="K44" s="41"/>
      <c r="L44" s="41"/>
      <c r="M44" s="41"/>
      <c r="N44" s="41"/>
    </row>
    <row r="45" spans="1:14" s="21" customFormat="1" ht="12.75">
      <c r="A45" s="300" t="s">
        <v>52</v>
      </c>
      <c r="B45" s="298">
        <f>-(2386-1320)*0.7*0.2*0.5+(66+11+16+22+98-88)</f>
        <v>50.38000000000001</v>
      </c>
      <c r="C45" s="298">
        <f>-(2386-1320)*0.2*0.3*0.5+(29+5+7+10+42-38)</f>
        <v>23.02</v>
      </c>
      <c r="D45" s="298">
        <f t="shared" si="0"/>
        <v>73.4</v>
      </c>
      <c r="E45" s="19"/>
      <c r="F45" s="19"/>
      <c r="G45" s="46"/>
      <c r="H45" s="41"/>
      <c r="I45" s="41"/>
      <c r="J45" s="41"/>
      <c r="K45" s="41"/>
      <c r="L45" s="41"/>
      <c r="M45" s="41"/>
      <c r="N45" s="41"/>
    </row>
    <row r="46" spans="1:14" s="21" customFormat="1" ht="12.75">
      <c r="A46" s="300" t="s">
        <v>53</v>
      </c>
      <c r="B46" s="306">
        <f>(37656-20245)*0.2*0.7+B47-(1350+696)</f>
        <v>77831.55999999998</v>
      </c>
      <c r="C46" s="306">
        <f>(37656-20245)*0.2*0.3+C47-(578+298)</f>
        <v>33357.240000000005</v>
      </c>
      <c r="D46" s="298">
        <f t="shared" si="0"/>
        <v>111188.79999999999</v>
      </c>
      <c r="E46" s="19"/>
      <c r="F46" s="19"/>
      <c r="G46" s="44"/>
      <c r="H46" s="41"/>
      <c r="I46" s="41"/>
      <c r="J46" s="41"/>
      <c r="K46" s="41"/>
      <c r="L46" s="41"/>
      <c r="M46" s="41"/>
      <c r="N46" s="41"/>
    </row>
    <row r="47" spans="1:14" s="21" customFormat="1" ht="12.75">
      <c r="A47" s="300" t="s">
        <v>54</v>
      </c>
      <c r="B47" s="298">
        <f>424343*0.7*0.2-(1622+63+165-19881)+1</f>
        <v>77440.01999999999</v>
      </c>
      <c r="C47" s="298">
        <f>424343*0.2*0.3-(695+27+71-8520)+1</f>
        <v>33188.58</v>
      </c>
      <c r="D47" s="298">
        <f>SUM(B47:C47)</f>
        <v>110628.59999999999</v>
      </c>
      <c r="E47" s="19"/>
      <c r="F47" s="19"/>
      <c r="G47" s="44"/>
      <c r="H47" s="41"/>
      <c r="I47" s="41"/>
      <c r="J47" s="41"/>
      <c r="K47" s="41"/>
      <c r="L47" s="41"/>
      <c r="M47" s="41"/>
      <c r="N47" s="41"/>
    </row>
    <row r="48" spans="1:14" s="21" customFormat="1" ht="24">
      <c r="A48" s="300" t="s">
        <v>55</v>
      </c>
      <c r="B48" s="298">
        <f>1698-322-92</f>
        <v>1284</v>
      </c>
      <c r="C48" s="298">
        <f>-2022+325-41</f>
        <v>-1738</v>
      </c>
      <c r="D48" s="298">
        <f>-324</f>
        <v>-324</v>
      </c>
      <c r="E48" s="19"/>
      <c r="F48" s="19"/>
      <c r="G48" s="47"/>
      <c r="H48" s="41"/>
      <c r="I48" s="41"/>
      <c r="J48" s="41"/>
      <c r="K48" s="41"/>
      <c r="L48" s="41"/>
      <c r="M48" s="41"/>
      <c r="N48" s="41"/>
    </row>
    <row r="49" spans="1:14" s="21" customFormat="1" ht="12.75">
      <c r="A49" s="300" t="s">
        <v>56</v>
      </c>
      <c r="B49" s="299">
        <v>5000</v>
      </c>
      <c r="C49" s="299">
        <v>-2770</v>
      </c>
      <c r="D49" s="299">
        <v>2230</v>
      </c>
      <c r="E49" s="19"/>
      <c r="F49" s="19"/>
      <c r="G49" s="47"/>
      <c r="H49" s="41"/>
      <c r="I49" s="41"/>
      <c r="J49" s="41"/>
      <c r="K49" s="41"/>
      <c r="L49" s="41"/>
      <c r="M49" s="41"/>
      <c r="N49" s="41"/>
    </row>
    <row r="50" spans="1:14" s="21" customFormat="1" ht="12.75">
      <c r="A50" s="303" t="s">
        <v>57</v>
      </c>
      <c r="B50" s="301">
        <f>SUM(B32:B49)-B44-B45-B47</f>
        <v>824.1899999999732</v>
      </c>
      <c r="C50" s="301">
        <f>SUM(C32:C49)-C44-C45-C47</f>
        <v>167.5100000000093</v>
      </c>
      <c r="D50" s="301">
        <f>SUM(B50:C50)</f>
        <v>991.6999999999825</v>
      </c>
      <c r="E50" s="19"/>
      <c r="F50" s="19"/>
      <c r="G50" s="47"/>
      <c r="H50" s="41"/>
      <c r="I50" s="41"/>
      <c r="J50" s="41"/>
      <c r="K50" s="41"/>
      <c r="L50" s="41"/>
      <c r="M50" s="41"/>
      <c r="N50" s="41"/>
    </row>
    <row r="51" spans="1:14" s="21" customFormat="1" ht="13.5" thickBot="1">
      <c r="A51" s="296" t="s">
        <v>58</v>
      </c>
      <c r="B51" s="304">
        <f>B30+B50</f>
        <v>-649622.21</v>
      </c>
      <c r="C51" s="304">
        <f>C30+C50</f>
        <v>-10113.089999999997</v>
      </c>
      <c r="D51" s="304">
        <f>D30+D50-1</f>
        <v>-659735.3</v>
      </c>
      <c r="E51" s="19"/>
      <c r="F51" s="19"/>
      <c r="G51" s="47"/>
      <c r="H51" s="41"/>
      <c r="I51" s="41"/>
      <c r="J51" s="41"/>
      <c r="K51" s="41"/>
      <c r="L51" s="41"/>
      <c r="M51" s="41"/>
      <c r="N51" s="41"/>
    </row>
    <row r="52" spans="1:14" s="21" customFormat="1" ht="13.5" thickTop="1">
      <c r="A52" s="51"/>
      <c r="B52" s="298"/>
      <c r="C52" s="298"/>
      <c r="D52" s="298"/>
      <c r="E52" s="48"/>
      <c r="F52" s="19"/>
      <c r="G52" s="30"/>
      <c r="H52" s="41"/>
      <c r="I52" s="41"/>
      <c r="J52" s="41"/>
      <c r="K52" s="41"/>
      <c r="L52" s="41"/>
      <c r="M52" s="41"/>
      <c r="N52" s="41"/>
    </row>
    <row r="53" spans="1:14" s="21" customFormat="1" ht="12.75">
      <c r="A53" s="51" t="str">
        <f>'[4]GWStmtAct'!A61</f>
        <v>The notes to the financial statements are an integral part of this statement.</v>
      </c>
      <c r="E53" s="48"/>
      <c r="F53" s="19"/>
      <c r="G53" s="47"/>
      <c r="H53" s="41"/>
      <c r="I53" s="41"/>
      <c r="J53" s="41"/>
      <c r="K53" s="41"/>
      <c r="L53" s="41"/>
      <c r="M53" s="41"/>
      <c r="N53" s="41"/>
    </row>
    <row r="54" spans="1:14" s="21" customFormat="1" ht="12.75">
      <c r="A54" s="19"/>
      <c r="B54" s="19"/>
      <c r="C54" s="19"/>
      <c r="D54" s="19"/>
      <c r="E54" s="20" t="s">
        <v>12</v>
      </c>
      <c r="F54" s="19"/>
      <c r="G54" s="47"/>
      <c r="H54" s="41"/>
      <c r="I54" s="41"/>
      <c r="J54" s="41"/>
      <c r="K54" s="41"/>
      <c r="L54" s="41"/>
      <c r="M54" s="41"/>
      <c r="N54" s="41"/>
    </row>
    <row r="55" spans="1:14" s="21" customFormat="1" ht="12.75">
      <c r="A55" s="19"/>
      <c r="B55" s="19"/>
      <c r="C55" s="19"/>
      <c r="D55" s="19"/>
      <c r="E55" s="19"/>
      <c r="F55" s="19"/>
      <c r="G55" s="30"/>
      <c r="H55" s="41"/>
      <c r="I55" s="41"/>
      <c r="J55" s="41"/>
      <c r="K55" s="41"/>
      <c r="L55" s="41"/>
      <c r="M55" s="41"/>
      <c r="N55" s="41"/>
    </row>
    <row r="56" spans="1:14" s="21" customFormat="1" ht="12.75">
      <c r="A56" s="311" t="str">
        <f>+A2</f>
        <v>Carolina County Board of Education, North Carolina</v>
      </c>
      <c r="B56" s="311"/>
      <c r="C56" s="311"/>
      <c r="D56" s="311"/>
      <c r="E56" s="311"/>
      <c r="F56" s="19"/>
      <c r="G56" s="30"/>
      <c r="H56" s="41"/>
      <c r="I56" s="41"/>
      <c r="J56" s="41"/>
      <c r="K56" s="41"/>
      <c r="L56" s="41"/>
      <c r="M56" s="41"/>
      <c r="N56" s="41"/>
    </row>
    <row r="57" spans="1:14" s="21" customFormat="1" ht="12.75">
      <c r="A57" s="311" t="s">
        <v>13</v>
      </c>
      <c r="B57" s="311"/>
      <c r="C57" s="311"/>
      <c r="D57" s="311"/>
      <c r="E57" s="311"/>
      <c r="F57" s="19"/>
      <c r="G57" s="30"/>
      <c r="H57" s="41"/>
      <c r="I57" s="41"/>
      <c r="J57" s="41"/>
      <c r="K57" s="41"/>
      <c r="L57" s="41"/>
      <c r="M57" s="41"/>
      <c r="N57" s="41"/>
    </row>
    <row r="58" spans="1:14" s="21" customFormat="1" ht="12.75">
      <c r="A58" s="311" t="s">
        <v>14</v>
      </c>
      <c r="B58" s="311"/>
      <c r="C58" s="311"/>
      <c r="D58" s="311"/>
      <c r="E58" s="311"/>
      <c r="F58" s="19"/>
      <c r="G58" s="30"/>
      <c r="H58" s="41"/>
      <c r="I58" s="41"/>
      <c r="J58" s="41"/>
      <c r="K58" s="41"/>
      <c r="L58" s="41"/>
      <c r="M58" s="41"/>
      <c r="N58" s="41"/>
    </row>
    <row r="59" spans="1:14" s="21" customFormat="1" ht="12.75">
      <c r="A59" s="311" t="str">
        <f>A5</f>
        <v>For the Year Ended June 30, 2019</v>
      </c>
      <c r="B59" s="311"/>
      <c r="C59" s="311"/>
      <c r="D59" s="311"/>
      <c r="E59" s="311"/>
      <c r="F59" s="19"/>
      <c r="G59" s="49"/>
      <c r="H59" s="41"/>
      <c r="I59" s="41"/>
      <c r="J59" s="41"/>
      <c r="K59" s="41"/>
      <c r="L59" s="41"/>
      <c r="M59" s="41"/>
      <c r="N59" s="41"/>
    </row>
    <row r="60" spans="1:14" s="21" customFormat="1" ht="12.75">
      <c r="A60" s="19"/>
      <c r="B60" s="19"/>
      <c r="C60" s="19"/>
      <c r="D60" s="19"/>
      <c r="E60" s="19"/>
      <c r="F60" s="19"/>
      <c r="G60" s="30"/>
      <c r="H60" s="41"/>
      <c r="I60" s="41"/>
      <c r="J60" s="41"/>
      <c r="K60" s="41"/>
      <c r="L60" s="41"/>
      <c r="M60" s="41"/>
      <c r="N60" s="41"/>
    </row>
    <row r="61" spans="1:14" s="21" customFormat="1" ht="12.75">
      <c r="A61" s="50" t="s">
        <v>60</v>
      </c>
      <c r="B61" s="51"/>
      <c r="C61" s="51"/>
      <c r="D61" s="51"/>
      <c r="E61" s="51"/>
      <c r="F61" s="19"/>
      <c r="G61" s="52"/>
      <c r="H61" s="41"/>
      <c r="I61" s="41"/>
      <c r="J61" s="41"/>
      <c r="K61" s="41"/>
      <c r="L61" s="41"/>
      <c r="M61" s="41"/>
      <c r="N61" s="41"/>
    </row>
    <row r="62" spans="1:14" s="21" customFormat="1" ht="12.75">
      <c r="A62" s="51"/>
      <c r="B62" s="51"/>
      <c r="C62" s="51"/>
      <c r="D62" s="51"/>
      <c r="E62" s="51"/>
      <c r="F62" s="19"/>
      <c r="G62" s="30"/>
      <c r="H62" s="41"/>
      <c r="I62" s="41"/>
      <c r="J62" s="41"/>
      <c r="K62" s="41"/>
      <c r="L62" s="41"/>
      <c r="M62" s="41"/>
      <c r="N62" s="41"/>
    </row>
    <row r="63" spans="1:14" s="21" customFormat="1" ht="15.75">
      <c r="A63" s="326" t="s">
        <v>61</v>
      </c>
      <c r="B63" s="326"/>
      <c r="C63" s="326"/>
      <c r="D63" s="326"/>
      <c r="E63" s="19"/>
      <c r="F63" s="19"/>
      <c r="G63" s="53"/>
      <c r="H63" s="54"/>
      <c r="I63" s="54"/>
      <c r="J63" s="54"/>
      <c r="K63" s="41"/>
      <c r="L63" s="41"/>
      <c r="M63" s="41"/>
      <c r="N63" s="41"/>
    </row>
    <row r="64" spans="1:14" s="21" customFormat="1" ht="15.75">
      <c r="A64" s="326"/>
      <c r="B64" s="326"/>
      <c r="C64" s="326"/>
      <c r="D64" s="326"/>
      <c r="E64" s="19"/>
      <c r="F64" s="19"/>
      <c r="G64" s="53"/>
      <c r="H64" s="55"/>
      <c r="I64" s="54"/>
      <c r="J64" s="54"/>
      <c r="K64" s="41"/>
      <c r="L64" s="41"/>
      <c r="M64" s="41"/>
      <c r="N64" s="41"/>
    </row>
    <row r="65" spans="1:14" s="21" customFormat="1" ht="15">
      <c r="A65" s="326"/>
      <c r="B65" s="326"/>
      <c r="C65" s="326"/>
      <c r="D65" s="326"/>
      <c r="E65" s="19"/>
      <c r="F65" s="19"/>
      <c r="G65" s="56"/>
      <c r="H65" s="54"/>
      <c r="I65" s="54"/>
      <c r="J65" s="54"/>
      <c r="K65" s="41"/>
      <c r="L65" s="41"/>
      <c r="M65" s="41"/>
      <c r="N65" s="41"/>
    </row>
    <row r="66" spans="1:14" s="21" customFormat="1" ht="15">
      <c r="A66" s="19"/>
      <c r="B66" s="19"/>
      <c r="C66" s="19"/>
      <c r="D66" s="19"/>
      <c r="E66" s="19"/>
      <c r="F66" s="19"/>
      <c r="G66" s="56"/>
      <c r="H66" s="54"/>
      <c r="I66" s="54"/>
      <c r="J66" s="54"/>
      <c r="K66" s="41"/>
      <c r="L66" s="41"/>
      <c r="M66" s="41"/>
      <c r="N66" s="41"/>
    </row>
    <row r="67" spans="1:14" s="21" customFormat="1" ht="15.75">
      <c r="A67" s="326" t="s">
        <v>62</v>
      </c>
      <c r="B67" s="326"/>
      <c r="C67" s="326"/>
      <c r="D67" s="326"/>
      <c r="E67" s="19"/>
      <c r="F67" s="19"/>
      <c r="G67" s="57"/>
      <c r="H67" s="54"/>
      <c r="I67" s="54"/>
      <c r="J67" s="54"/>
      <c r="K67" s="41"/>
      <c r="L67" s="41"/>
      <c r="M67" s="41"/>
      <c r="N67" s="41"/>
    </row>
    <row r="68" spans="1:14" s="21" customFormat="1" ht="15">
      <c r="A68" s="326"/>
      <c r="B68" s="326"/>
      <c r="C68" s="326"/>
      <c r="D68" s="326"/>
      <c r="E68" s="19"/>
      <c r="F68" s="19"/>
      <c r="G68" s="56"/>
      <c r="H68" s="54"/>
      <c r="I68" s="54"/>
      <c r="J68" s="54"/>
      <c r="K68" s="41"/>
      <c r="L68" s="41"/>
      <c r="M68" s="41"/>
      <c r="N68" s="41"/>
    </row>
    <row r="69" spans="1:14" s="21" customFormat="1" ht="15">
      <c r="A69" s="58"/>
      <c r="B69" s="58"/>
      <c r="C69" s="58"/>
      <c r="D69" s="58"/>
      <c r="E69" s="19"/>
      <c r="F69" s="19"/>
      <c r="G69" s="56"/>
      <c r="H69" s="54"/>
      <c r="I69" s="54"/>
      <c r="J69" s="54"/>
      <c r="K69" s="41"/>
      <c r="L69" s="41"/>
      <c r="M69" s="41"/>
      <c r="N69" s="41"/>
    </row>
    <row r="70" spans="1:14" s="21" customFormat="1" ht="15">
      <c r="A70" s="326" t="s">
        <v>63</v>
      </c>
      <c r="B70" s="326"/>
      <c r="C70" s="326"/>
      <c r="D70" s="326"/>
      <c r="E70" s="19"/>
      <c r="F70" s="19"/>
      <c r="G70" s="56"/>
      <c r="H70" s="59"/>
      <c r="I70" s="59"/>
      <c r="J70" s="54"/>
      <c r="K70" s="41"/>
      <c r="L70" s="41"/>
      <c r="M70" s="41"/>
      <c r="N70" s="41"/>
    </row>
    <row r="71" spans="1:14" s="21" customFormat="1" ht="15">
      <c r="A71" s="326"/>
      <c r="B71" s="326"/>
      <c r="C71" s="326"/>
      <c r="D71" s="326"/>
      <c r="E71" s="19"/>
      <c r="F71" s="19"/>
      <c r="G71" s="56"/>
      <c r="H71" s="54"/>
      <c r="I71" s="54"/>
      <c r="J71" s="54"/>
      <c r="K71" s="41"/>
      <c r="L71" s="41"/>
      <c r="M71" s="41"/>
      <c r="N71" s="41"/>
    </row>
    <row r="72" spans="1:14" s="21" customFormat="1" ht="15">
      <c r="A72" s="326"/>
      <c r="B72" s="326"/>
      <c r="C72" s="326"/>
      <c r="D72" s="326"/>
      <c r="E72" s="19"/>
      <c r="F72" s="19"/>
      <c r="G72" s="56"/>
      <c r="H72" s="54"/>
      <c r="I72" s="54"/>
      <c r="J72" s="54"/>
      <c r="K72" s="41"/>
      <c r="L72" s="41"/>
      <c r="M72" s="41"/>
      <c r="N72" s="41"/>
    </row>
    <row r="73" spans="1:14" s="21" customFormat="1" ht="15">
      <c r="A73" s="326"/>
      <c r="B73" s="326"/>
      <c r="C73" s="326"/>
      <c r="D73" s="326"/>
      <c r="E73" s="19"/>
      <c r="F73" s="19"/>
      <c r="G73" s="56"/>
      <c r="H73" s="54"/>
      <c r="I73" s="54"/>
      <c r="J73" s="54"/>
      <c r="K73" s="41"/>
      <c r="L73" s="41"/>
      <c r="M73" s="41"/>
      <c r="N73" s="41"/>
    </row>
    <row r="74" spans="1:14" s="21" customFormat="1" ht="17.25">
      <c r="A74" s="19"/>
      <c r="B74" s="19"/>
      <c r="C74" s="19"/>
      <c r="D74" s="19"/>
      <c r="E74" s="19"/>
      <c r="F74" s="19"/>
      <c r="G74" s="56"/>
      <c r="H74" s="60"/>
      <c r="I74" s="60"/>
      <c r="J74" s="54"/>
      <c r="K74" s="41"/>
      <c r="L74" s="41"/>
      <c r="M74" s="41"/>
      <c r="N74" s="41"/>
    </row>
    <row r="75" spans="1:14" s="21" customFormat="1" ht="15">
      <c r="A75" s="19"/>
      <c r="B75" s="19"/>
      <c r="C75" s="298"/>
      <c r="D75" s="297"/>
      <c r="E75" s="298"/>
      <c r="F75" s="19"/>
      <c r="G75" s="56"/>
      <c r="H75" s="54"/>
      <c r="I75" s="54"/>
      <c r="J75" s="54"/>
      <c r="K75" s="41"/>
      <c r="L75" s="41"/>
      <c r="M75" s="41"/>
      <c r="N75" s="41"/>
    </row>
    <row r="76" spans="1:14" s="21" customFormat="1" ht="15">
      <c r="A76" s="19"/>
      <c r="B76" s="19"/>
      <c r="C76" s="19"/>
      <c r="D76" s="19"/>
      <c r="E76" s="19"/>
      <c r="F76" s="19"/>
      <c r="G76" s="56"/>
      <c r="H76" s="54"/>
      <c r="I76" s="54"/>
      <c r="J76" s="54"/>
      <c r="K76" s="41"/>
      <c r="L76" s="41"/>
      <c r="M76" s="41"/>
      <c r="N76" s="41"/>
    </row>
    <row r="77" spans="1:14" s="21" customFormat="1" ht="15">
      <c r="A77" s="19"/>
      <c r="B77" s="19"/>
      <c r="C77" s="19"/>
      <c r="D77" s="19"/>
      <c r="E77" s="19"/>
      <c r="F77" s="19"/>
      <c r="G77" s="56"/>
      <c r="H77" s="54"/>
      <c r="I77" s="54"/>
      <c r="J77" s="54"/>
      <c r="K77" s="41"/>
      <c r="L77" s="41"/>
      <c r="M77" s="41"/>
      <c r="N77" s="41"/>
    </row>
    <row r="78" spans="1:14" s="21" customFormat="1" ht="15">
      <c r="A78" s="19"/>
      <c r="B78" s="19"/>
      <c r="C78" s="19"/>
      <c r="D78" s="19"/>
      <c r="E78" s="19"/>
      <c r="F78" s="19"/>
      <c r="G78" s="56"/>
      <c r="H78" s="54"/>
      <c r="I78" s="54"/>
      <c r="J78" s="54"/>
      <c r="K78" s="41"/>
      <c r="L78" s="41"/>
      <c r="M78" s="41"/>
      <c r="N78" s="41"/>
    </row>
    <row r="79" spans="1:14" s="21" customFormat="1" ht="15">
      <c r="A79" s="19"/>
      <c r="B79" s="19"/>
      <c r="C79" s="19"/>
      <c r="D79" s="19"/>
      <c r="E79" s="19"/>
      <c r="F79" s="19"/>
      <c r="G79" s="56"/>
      <c r="H79" s="54"/>
      <c r="I79" s="54"/>
      <c r="J79" s="54"/>
      <c r="K79" s="41"/>
      <c r="L79" s="41"/>
      <c r="M79" s="41"/>
      <c r="N79" s="41"/>
    </row>
    <row r="80" spans="1:14" s="21" customFormat="1" ht="15">
      <c r="A80" s="19"/>
      <c r="B80" s="19"/>
      <c r="C80" s="19"/>
      <c r="D80" s="19"/>
      <c r="E80" s="19"/>
      <c r="F80" s="19"/>
      <c r="G80" s="56"/>
      <c r="H80" s="54"/>
      <c r="I80" s="54"/>
      <c r="J80" s="54"/>
      <c r="K80" s="41"/>
      <c r="L80" s="41"/>
      <c r="M80" s="41"/>
      <c r="N80" s="41"/>
    </row>
    <row r="81" spans="1:14" s="21" customFormat="1" ht="15.75">
      <c r="A81" s="19"/>
      <c r="B81" s="19"/>
      <c r="C81" s="19"/>
      <c r="D81" s="19"/>
      <c r="E81" s="19"/>
      <c r="F81" s="19"/>
      <c r="G81" s="53"/>
      <c r="H81" s="61"/>
      <c r="I81" s="61"/>
      <c r="J81" s="54"/>
      <c r="K81" s="41"/>
      <c r="L81" s="41"/>
      <c r="M81" s="41"/>
      <c r="N81" s="41"/>
    </row>
    <row r="82" spans="1:14" s="21" customFormat="1" ht="15.75">
      <c r="A82" s="19"/>
      <c r="B82" s="19"/>
      <c r="C82" s="19"/>
      <c r="D82" s="19"/>
      <c r="E82" s="19"/>
      <c r="F82" s="19"/>
      <c r="G82" s="53"/>
      <c r="H82" s="61"/>
      <c r="I82" s="61"/>
      <c r="J82" s="54"/>
      <c r="K82" s="41"/>
      <c r="L82" s="41"/>
      <c r="M82" s="41"/>
      <c r="N82" s="41"/>
    </row>
    <row r="83" spans="1:14" s="21" customFormat="1" ht="15">
      <c r="A83" s="19"/>
      <c r="B83" s="19"/>
      <c r="C83" s="19"/>
      <c r="D83" s="19"/>
      <c r="E83" s="19"/>
      <c r="F83" s="19"/>
      <c r="G83" s="56"/>
      <c r="H83" s="54"/>
      <c r="I83" s="54"/>
      <c r="J83" s="54"/>
      <c r="K83" s="41"/>
      <c r="L83" s="41"/>
      <c r="M83" s="41"/>
      <c r="N83" s="41"/>
    </row>
    <row r="84" spans="1:14" s="21" customFormat="1" ht="15">
      <c r="A84" s="19"/>
      <c r="B84" s="19"/>
      <c r="C84" s="19"/>
      <c r="D84" s="19"/>
      <c r="E84" s="19"/>
      <c r="F84" s="19"/>
      <c r="G84" s="56"/>
      <c r="H84" s="54"/>
      <c r="I84" s="54"/>
      <c r="J84" s="54"/>
      <c r="K84" s="41"/>
      <c r="L84" s="41"/>
      <c r="M84" s="41"/>
      <c r="N84" s="41"/>
    </row>
    <row r="85" spans="1:14" s="21" customFormat="1" ht="15">
      <c r="A85" s="19"/>
      <c r="B85" s="19"/>
      <c r="C85" s="19"/>
      <c r="D85" s="19"/>
      <c r="E85" s="19"/>
      <c r="F85" s="19"/>
      <c r="G85" s="56"/>
      <c r="H85" s="54"/>
      <c r="I85" s="54"/>
      <c r="J85" s="54"/>
      <c r="K85" s="41"/>
      <c r="L85" s="41"/>
      <c r="M85" s="41"/>
      <c r="N85" s="41"/>
    </row>
    <row r="86" spans="1:14" s="21" customFormat="1" ht="15">
      <c r="A86" s="19"/>
      <c r="B86" s="19"/>
      <c r="C86" s="19"/>
      <c r="D86" s="19"/>
      <c r="E86" s="19"/>
      <c r="F86" s="19"/>
      <c r="G86" s="56"/>
      <c r="H86" s="54"/>
      <c r="I86" s="54"/>
      <c r="J86" s="54"/>
      <c r="K86" s="41"/>
      <c r="L86" s="41"/>
      <c r="M86" s="41"/>
      <c r="N86" s="41"/>
    </row>
    <row r="87" spans="1:14" s="21" customFormat="1" ht="15">
      <c r="A87" s="19"/>
      <c r="B87" s="19"/>
      <c r="C87" s="19"/>
      <c r="D87" s="19"/>
      <c r="E87" s="19"/>
      <c r="F87" s="19"/>
      <c r="G87" s="56"/>
      <c r="H87" s="54"/>
      <c r="I87" s="54"/>
      <c r="J87" s="54"/>
      <c r="K87" s="41"/>
      <c r="L87" s="41"/>
      <c r="M87" s="41"/>
      <c r="N87" s="41"/>
    </row>
    <row r="88" spans="1:14" s="21" customFormat="1" ht="15">
      <c r="A88" s="19"/>
      <c r="B88" s="19"/>
      <c r="C88" s="19"/>
      <c r="D88" s="19"/>
      <c r="E88" s="19"/>
      <c r="F88" s="19"/>
      <c r="G88" s="56"/>
      <c r="H88" s="54"/>
      <c r="I88" s="54"/>
      <c r="J88" s="54"/>
      <c r="K88" s="41"/>
      <c r="L88" s="41"/>
      <c r="M88" s="41"/>
      <c r="N88" s="41"/>
    </row>
    <row r="89" spans="1:14" s="21" customFormat="1" ht="15">
      <c r="A89" s="19"/>
      <c r="B89" s="19"/>
      <c r="C89" s="19"/>
      <c r="D89" s="19"/>
      <c r="E89" s="19"/>
      <c r="F89" s="19"/>
      <c r="G89" s="56"/>
      <c r="H89" s="54"/>
      <c r="I89" s="62"/>
      <c r="J89" s="54"/>
      <c r="K89" s="41"/>
      <c r="L89" s="41"/>
      <c r="M89" s="41"/>
      <c r="N89" s="41"/>
    </row>
    <row r="90" spans="1:14" s="21" customFormat="1" ht="15">
      <c r="A90" s="19"/>
      <c r="B90" s="19"/>
      <c r="C90" s="19"/>
      <c r="D90" s="19"/>
      <c r="E90" s="19"/>
      <c r="F90" s="19"/>
      <c r="G90" s="56"/>
      <c r="H90" s="54"/>
      <c r="I90" s="62"/>
      <c r="J90" s="54"/>
      <c r="K90" s="41"/>
      <c r="L90" s="41"/>
      <c r="M90" s="41"/>
      <c r="N90" s="41"/>
    </row>
    <row r="91" spans="1:14" s="21" customFormat="1" ht="15">
      <c r="A91" s="19"/>
      <c r="B91" s="19"/>
      <c r="C91" s="19"/>
      <c r="D91" s="19"/>
      <c r="E91" s="19"/>
      <c r="F91" s="19"/>
      <c r="G91" s="56"/>
      <c r="H91" s="54"/>
      <c r="I91" s="54"/>
      <c r="J91" s="54"/>
      <c r="K91" s="41"/>
      <c r="L91" s="41"/>
      <c r="M91" s="41"/>
      <c r="N91" s="41"/>
    </row>
    <row r="92" spans="1:14" s="21" customFormat="1" ht="15">
      <c r="A92" s="19"/>
      <c r="B92" s="19"/>
      <c r="C92" s="19"/>
      <c r="D92" s="19"/>
      <c r="E92" s="19"/>
      <c r="F92" s="19"/>
      <c r="G92" s="56"/>
      <c r="H92" s="54"/>
      <c r="I92" s="54"/>
      <c r="J92" s="54"/>
      <c r="K92" s="41"/>
      <c r="L92" s="41"/>
      <c r="M92" s="41"/>
      <c r="N92" s="41"/>
    </row>
    <row r="93" spans="1:14" s="21" customFormat="1" ht="15">
      <c r="A93" s="19"/>
      <c r="B93" s="19"/>
      <c r="C93" s="19"/>
      <c r="D93" s="19"/>
      <c r="E93" s="19"/>
      <c r="F93" s="19"/>
      <c r="G93" s="56"/>
      <c r="H93" s="54"/>
      <c r="I93" s="54"/>
      <c r="J93" s="54"/>
      <c r="K93" s="41"/>
      <c r="L93" s="41"/>
      <c r="M93" s="41"/>
      <c r="N93" s="41"/>
    </row>
    <row r="94" spans="1:14" s="21" customFormat="1" ht="15">
      <c r="A94" s="19"/>
      <c r="B94" s="19"/>
      <c r="C94" s="19"/>
      <c r="D94" s="19"/>
      <c r="E94" s="19"/>
      <c r="F94" s="19"/>
      <c r="G94" s="56"/>
      <c r="H94" s="54"/>
      <c r="I94" s="62"/>
      <c r="J94" s="54"/>
      <c r="K94" s="41"/>
      <c r="L94" s="41"/>
      <c r="M94" s="41"/>
      <c r="N94" s="41"/>
    </row>
    <row r="95" spans="1:14" s="21" customFormat="1" ht="15">
      <c r="A95" s="19"/>
      <c r="B95" s="19"/>
      <c r="C95" s="19"/>
      <c r="D95" s="19"/>
      <c r="E95" s="19"/>
      <c r="F95" s="19"/>
      <c r="G95" s="56"/>
      <c r="H95" s="54"/>
      <c r="I95" s="54"/>
      <c r="J95" s="54"/>
      <c r="K95" s="41"/>
      <c r="L95" s="41"/>
      <c r="M95" s="41"/>
      <c r="N95" s="41"/>
    </row>
    <row r="96" spans="1:14" s="21" customFormat="1" ht="15">
      <c r="A96" s="19"/>
      <c r="B96" s="19"/>
      <c r="C96" s="19"/>
      <c r="D96" s="19"/>
      <c r="E96" s="19"/>
      <c r="F96" s="19"/>
      <c r="G96" s="56"/>
      <c r="H96" s="63"/>
      <c r="I96" s="63"/>
      <c r="J96" s="54"/>
      <c r="K96" s="41"/>
      <c r="L96" s="41"/>
      <c r="M96" s="41"/>
      <c r="N96" s="41"/>
    </row>
    <row r="97" spans="1:14" s="21" customFormat="1" ht="15">
      <c r="A97" s="19"/>
      <c r="B97" s="19"/>
      <c r="C97" s="19"/>
      <c r="D97" s="19"/>
      <c r="E97" s="19"/>
      <c r="F97" s="19"/>
      <c r="G97" s="64"/>
      <c r="H97" s="54"/>
      <c r="I97" s="54"/>
      <c r="J97" s="54"/>
      <c r="K97" s="41"/>
      <c r="L97" s="41"/>
      <c r="M97" s="41"/>
      <c r="N97" s="41"/>
    </row>
    <row r="98" spans="1:14" s="21" customFormat="1" ht="12.75">
      <c r="A98" s="19"/>
      <c r="B98" s="19"/>
      <c r="C98" s="19"/>
      <c r="D98" s="19"/>
      <c r="E98" s="19"/>
      <c r="F98" s="19"/>
      <c r="G98" s="30"/>
      <c r="H98" s="41"/>
      <c r="I98" s="41"/>
      <c r="J98" s="41"/>
      <c r="K98" s="41"/>
      <c r="L98" s="41"/>
      <c r="M98" s="41"/>
      <c r="N98" s="41"/>
    </row>
    <row r="99" spans="1:14" s="21" customFormat="1" ht="12.75">
      <c r="A99" s="19"/>
      <c r="B99" s="19"/>
      <c r="C99" s="19"/>
      <c r="D99" s="19"/>
      <c r="E99" s="19"/>
      <c r="F99" s="19"/>
      <c r="G99" s="30"/>
      <c r="H99" s="41"/>
      <c r="I99" s="41"/>
      <c r="J99" s="41"/>
      <c r="K99" s="41"/>
      <c r="L99" s="41"/>
      <c r="M99" s="41"/>
      <c r="N99" s="41"/>
    </row>
    <row r="100" spans="1:14" s="21" customFormat="1" ht="12.75">
      <c r="A100" s="19"/>
      <c r="B100" s="19"/>
      <c r="C100" s="19"/>
      <c r="D100" s="19"/>
      <c r="E100" s="19"/>
      <c r="F100" s="19"/>
      <c r="G100" s="47"/>
      <c r="H100" s="41"/>
      <c r="I100" s="41"/>
      <c r="J100" s="41"/>
      <c r="K100" s="41"/>
      <c r="L100" s="41"/>
      <c r="M100" s="41"/>
      <c r="N100" s="41"/>
    </row>
    <row r="101" spans="1:14" s="21" customFormat="1" ht="12.75">
      <c r="A101" s="19"/>
      <c r="B101" s="19"/>
      <c r="C101" s="19"/>
      <c r="D101" s="19"/>
      <c r="E101" s="19"/>
      <c r="F101" s="19"/>
      <c r="G101" s="30"/>
      <c r="H101" s="41"/>
      <c r="I101" s="41"/>
      <c r="J101" s="41"/>
      <c r="K101" s="41"/>
      <c r="L101" s="41"/>
      <c r="M101" s="41"/>
      <c r="N101" s="41"/>
    </row>
  </sheetData>
  <sheetProtection/>
  <mergeCells count="14">
    <mergeCell ref="A67:D68"/>
    <mergeCell ref="A70:D73"/>
    <mergeCell ref="N31:N32"/>
    <mergeCell ref="A56:E56"/>
    <mergeCell ref="A57:E57"/>
    <mergeCell ref="A58:E58"/>
    <mergeCell ref="A59:E59"/>
    <mergeCell ref="A63:D65"/>
    <mergeCell ref="M31:M32"/>
    <mergeCell ref="B7:D7"/>
    <mergeCell ref="A2:D2"/>
    <mergeCell ref="A3:D3"/>
    <mergeCell ref="A4:D4"/>
    <mergeCell ref="A5:D5"/>
  </mergeCells>
  <printOptions/>
  <pageMargins left="0.7" right="0.7" top="0.75" bottom="0.75" header="0.3" footer="0.3"/>
  <pageSetup fitToHeight="2" fitToWidth="1" horizontalDpi="600" verticalDpi="600" orientation="portrait" scale="94" r:id="rId1"/>
  <rowBreaks count="5" manualBreakCount="5">
    <brk id="49" max="255" man="1"/>
    <brk id="54" max="5" man="1"/>
    <brk id="56" max="5" man="1"/>
    <brk id="57" max="5" man="1"/>
    <brk id="58" max="5"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NCDST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Preeta Nayak</dc:creator>
  <cp:keywords/>
  <dc:description/>
  <cp:lastModifiedBy>Robert Jansen</cp:lastModifiedBy>
  <cp:lastPrinted>2019-10-21T18:04:26Z</cp:lastPrinted>
  <dcterms:created xsi:type="dcterms:W3CDTF">2018-07-12T12:21:39Z</dcterms:created>
  <dcterms:modified xsi:type="dcterms:W3CDTF">2019-11-18T19:50:01Z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
  </property>
  <property fmtid="{D5CDD505-2E9C-101B-9397-08002B2CF9AE}" pid="3" name="Publication Date">
    <vt:lpwstr/>
  </property>
  <property fmtid="{D5CDD505-2E9C-101B-9397-08002B2CF9AE}" pid="4" name="Sort Order">
    <vt:lpwstr/>
  </property>
  <property fmtid="{D5CDD505-2E9C-101B-9397-08002B2CF9AE}" pid="5" name="Category">
    <vt:lpwstr/>
  </property>
  <property fmtid="{D5CDD505-2E9C-101B-9397-08002B2CF9AE}" pid="6" name="Resource Category">
    <vt:lpwstr/>
  </property>
  <property fmtid="{D5CDD505-2E9C-101B-9397-08002B2CF9AE}" pid="7" name="Resource Group">
    <vt:lpwstr/>
  </property>
</Properties>
</file>