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Pfx Engagement\WM\WorkPapers\{A34AC44B-D9B7-4037-828D-4BECEB300FA9}\{8AD589E5-FC1B-4C7B-9432-4759D81E13DE}\"/>
    </mc:Choice>
  </mc:AlternateContent>
  <xr:revisionPtr revIDLastSave="0" documentId="13_ncr:1_{73BEBF0E-6810-46F8-B294-34A156FA8CE7}" xr6:coauthVersionLast="41" xr6:coauthVersionMax="41" xr10:uidLastSave="{00000000-0000-0000-0000-000000000000}"/>
  <bookViews>
    <workbookView xWindow="28680" yWindow="-120" windowWidth="29040" windowHeight="17640" activeTab="1" xr2:uid="{00000000-000D-0000-FFFF-FFFF00000000}"/>
  </bookViews>
  <sheets>
    <sheet name="Instructions " sheetId="8" r:id="rId1"/>
    <sheet name="Collection Worksheet" sheetId="1" r:id="rId2"/>
    <sheet name="IMPORT" sheetId="28" state="hidden" r:id="rId3"/>
    <sheet name="RSS" sheetId="30" r:id="rId4"/>
    <sheet name="Unit Names" sheetId="29" state="hidden" r:id="rId5"/>
    <sheet name="2018 Data" sheetId="35" state="hidden" r:id="rId6"/>
  </sheets>
  <externalReferences>
    <externalReference r:id="rId7"/>
  </externalReferences>
  <definedNames>
    <definedName name="Audit_Dtl">[1]Database!$AC$3:$AP$413</definedName>
    <definedName name="_xlnm.Print_Titles" localSheetId="1">'Collection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9" i="28" l="1"/>
  <c r="L78" i="28"/>
  <c r="G29" i="1" l="1"/>
  <c r="E83" i="28"/>
  <c r="C83" i="28"/>
  <c r="A83" i="28"/>
  <c r="H59" i="28"/>
  <c r="E58" i="28"/>
  <c r="L58" i="28" s="1"/>
  <c r="C58" i="28"/>
  <c r="B58" i="28"/>
  <c r="A58" i="28"/>
  <c r="U58" i="28" s="1"/>
  <c r="E154" i="35"/>
  <c r="F154" i="35"/>
  <c r="G154" i="35"/>
  <c r="H154" i="35"/>
  <c r="I154" i="35"/>
  <c r="J154" i="35"/>
  <c r="K154" i="35"/>
  <c r="L154" i="35"/>
  <c r="M154" i="35"/>
  <c r="N154" i="35"/>
  <c r="O154" i="35"/>
  <c r="P154" i="35"/>
  <c r="Q154" i="35"/>
  <c r="R154" i="35"/>
  <c r="S154" i="35"/>
  <c r="T154" i="35"/>
  <c r="U154" i="35"/>
  <c r="V154" i="35"/>
  <c r="W154" i="35"/>
  <c r="X154" i="35"/>
  <c r="Y154" i="35"/>
  <c r="Z154" i="35"/>
  <c r="AA154" i="35"/>
  <c r="AB154" i="35"/>
  <c r="AC154" i="35"/>
  <c r="AD154" i="35"/>
  <c r="AE154" i="35"/>
  <c r="AF154" i="35"/>
  <c r="D154" i="35"/>
  <c r="E89" i="1"/>
  <c r="E84" i="1"/>
  <c r="E83" i="1"/>
  <c r="E82" i="1"/>
  <c r="E81" i="1"/>
  <c r="E80" i="1"/>
  <c r="E79" i="1"/>
  <c r="E78" i="1"/>
  <c r="E77" i="1"/>
  <c r="E76" i="1"/>
  <c r="E75" i="1"/>
  <c r="E74" i="1"/>
  <c r="E73" i="1"/>
  <c r="E87" i="1"/>
  <c r="E66" i="1"/>
  <c r="E64" i="1"/>
  <c r="E63" i="1"/>
  <c r="E62" i="1"/>
  <c r="E61" i="1"/>
  <c r="E60" i="1"/>
  <c r="E59" i="1"/>
  <c r="E58" i="1"/>
  <c r="E56" i="1"/>
  <c r="E55" i="1"/>
  <c r="E54" i="1"/>
  <c r="E53" i="1"/>
  <c r="E52" i="1"/>
  <c r="E51" i="1"/>
  <c r="E50" i="1"/>
  <c r="E49" i="1"/>
  <c r="E48" i="1"/>
  <c r="E47" i="1"/>
  <c r="E45" i="1"/>
  <c r="E44" i="1"/>
  <c r="E43" i="1"/>
  <c r="E42" i="1"/>
  <c r="E41" i="1"/>
  <c r="E40" i="1"/>
  <c r="E39" i="1"/>
  <c r="E38" i="1"/>
  <c r="E37" i="1"/>
  <c r="E36" i="1"/>
  <c r="E34" i="1"/>
  <c r="E33" i="1"/>
  <c r="E31" i="1"/>
  <c r="E30" i="1"/>
  <c r="E29" i="1"/>
  <c r="E28" i="1"/>
  <c r="E27" i="1"/>
  <c r="E26" i="1"/>
  <c r="E25" i="1"/>
  <c r="E24" i="1"/>
  <c r="E23" i="1"/>
  <c r="E22" i="1"/>
  <c r="E20" i="1"/>
  <c r="E19" i="1"/>
  <c r="E17" i="1"/>
  <c r="E16" i="1"/>
  <c r="E15" i="1"/>
  <c r="E14" i="1"/>
  <c r="E13" i="1"/>
  <c r="E12" i="1"/>
  <c r="E11" i="1"/>
  <c r="E10" i="1"/>
  <c r="E9" i="1"/>
  <c r="E8" i="1"/>
  <c r="E7" i="1"/>
  <c r="AG169" i="35"/>
  <c r="E153" i="35"/>
  <c r="E169" i="35" s="1"/>
  <c r="F153" i="35"/>
  <c r="F169" i="35" s="1"/>
  <c r="G153" i="35"/>
  <c r="G169" i="35" s="1"/>
  <c r="H153" i="35"/>
  <c r="H169" i="35" s="1"/>
  <c r="I153" i="35"/>
  <c r="I169" i="35" s="1"/>
  <c r="J153" i="35"/>
  <c r="J169" i="35" s="1"/>
  <c r="K153" i="35"/>
  <c r="K169" i="35" s="1"/>
  <c r="L153" i="35"/>
  <c r="L169" i="35" s="1"/>
  <c r="M153" i="35"/>
  <c r="M169" i="35" s="1"/>
  <c r="N153" i="35"/>
  <c r="N169" i="35" s="1"/>
  <c r="O153" i="35"/>
  <c r="O169" i="35" s="1"/>
  <c r="P153" i="35"/>
  <c r="P169" i="35" s="1"/>
  <c r="Q153" i="35"/>
  <c r="Q155" i="35" s="1"/>
  <c r="R153" i="35"/>
  <c r="R169" i="35" s="1"/>
  <c r="S153" i="35"/>
  <c r="S169" i="35" s="1"/>
  <c r="T153" i="35"/>
  <c r="T169" i="35" s="1"/>
  <c r="U153" i="35"/>
  <c r="U169" i="35" s="1"/>
  <c r="V153" i="35"/>
  <c r="V169" i="35" s="1"/>
  <c r="W153" i="35"/>
  <c r="W169" i="35" s="1"/>
  <c r="X153" i="35"/>
  <c r="X169" i="35" s="1"/>
  <c r="Y153" i="35"/>
  <c r="Y155" i="35" s="1"/>
  <c r="Z153" i="35"/>
  <c r="Z169" i="35" s="1"/>
  <c r="AA153" i="35"/>
  <c r="AA169" i="35" s="1"/>
  <c r="AB153" i="35"/>
  <c r="AB169" i="35" s="1"/>
  <c r="AC153" i="35"/>
  <c r="AC169" i="35" s="1"/>
  <c r="AD153" i="35"/>
  <c r="AD169" i="35" s="1"/>
  <c r="AE153" i="35"/>
  <c r="AE169" i="35" s="1"/>
  <c r="AF153" i="35"/>
  <c r="AF169" i="35" s="1"/>
  <c r="D153" i="35"/>
  <c r="D169" i="35" s="1"/>
  <c r="I155" i="35" l="1"/>
  <c r="Y169" i="35"/>
  <c r="Q169" i="35"/>
  <c r="P155" i="35"/>
  <c r="G155" i="35"/>
  <c r="D155" i="35"/>
  <c r="X155" i="35"/>
  <c r="O155" i="35"/>
  <c r="F155" i="35"/>
  <c r="AF155" i="35"/>
  <c r="W155" i="35"/>
  <c r="N155" i="35"/>
  <c r="E155" i="35"/>
  <c r="AE155" i="35"/>
  <c r="V155" i="35"/>
  <c r="M155" i="35"/>
  <c r="AD155" i="35"/>
  <c r="U155" i="35"/>
  <c r="K155" i="35"/>
  <c r="AC155" i="35"/>
  <c r="S155" i="35"/>
  <c r="J155" i="35"/>
  <c r="AA155" i="35"/>
  <c r="R155" i="35"/>
  <c r="Z155" i="35"/>
  <c r="H155" i="35"/>
  <c r="AB155" i="35"/>
  <c r="T155" i="35"/>
  <c r="L155" i="35"/>
  <c r="E5" i="28"/>
  <c r="L5" i="28" s="1"/>
  <c r="C5" i="28"/>
  <c r="B5" i="28"/>
  <c r="A5" i="28"/>
  <c r="I2" i="29"/>
  <c r="J2" i="29"/>
  <c r="I3" i="29"/>
  <c r="J3" i="29"/>
  <c r="I4" i="29"/>
  <c r="J4" i="29"/>
  <c r="I5" i="29"/>
  <c r="J5" i="29"/>
  <c r="I6" i="29"/>
  <c r="J6" i="29"/>
  <c r="I7" i="29"/>
  <c r="J7" i="29"/>
  <c r="I8" i="29"/>
  <c r="J8" i="29"/>
  <c r="I9" i="29"/>
  <c r="J9" i="29"/>
  <c r="I10" i="29"/>
  <c r="J10" i="29"/>
  <c r="I11" i="29"/>
  <c r="J11" i="29"/>
  <c r="I12" i="29"/>
  <c r="J12" i="29"/>
  <c r="I13" i="29"/>
  <c r="J13" i="29"/>
  <c r="I14" i="29"/>
  <c r="J14" i="29"/>
  <c r="I15" i="29"/>
  <c r="J15" i="29"/>
  <c r="I16" i="29"/>
  <c r="J16" i="29"/>
  <c r="I17" i="29"/>
  <c r="J17" i="29"/>
  <c r="I18" i="29"/>
  <c r="J18" i="29"/>
  <c r="I19" i="29"/>
  <c r="J19" i="29"/>
  <c r="I20" i="29"/>
  <c r="J20" i="29"/>
  <c r="I21" i="29"/>
  <c r="J21" i="29"/>
  <c r="I22" i="29"/>
  <c r="J22" i="29"/>
  <c r="I23" i="29"/>
  <c r="J23" i="29"/>
  <c r="I24" i="29"/>
  <c r="J24" i="29"/>
  <c r="I25" i="29"/>
  <c r="J25" i="29"/>
  <c r="I26" i="29"/>
  <c r="J26" i="29"/>
  <c r="I27" i="29"/>
  <c r="J27" i="29"/>
  <c r="I28" i="29"/>
  <c r="J28" i="29"/>
  <c r="I29" i="29"/>
  <c r="J29" i="29"/>
  <c r="J1" i="29"/>
  <c r="I1" i="29"/>
  <c r="H71" i="28"/>
  <c r="H70" i="28"/>
  <c r="H68" i="28"/>
  <c r="H67" i="28"/>
  <c r="H65" i="28"/>
  <c r="H64" i="28"/>
  <c r="H84" i="1"/>
  <c r="G84" i="1"/>
  <c r="H83" i="1"/>
  <c r="G83" i="1"/>
  <c r="H82" i="1"/>
  <c r="G82" i="1"/>
  <c r="H81" i="1"/>
  <c r="G81" i="1"/>
  <c r="H80" i="1"/>
  <c r="G80" i="1"/>
  <c r="H79" i="1"/>
  <c r="G79" i="1"/>
  <c r="H78" i="1"/>
  <c r="G78" i="1"/>
  <c r="H77" i="1"/>
  <c r="G77" i="1"/>
  <c r="H76" i="1"/>
  <c r="G76" i="1"/>
  <c r="H75" i="1"/>
  <c r="G75" i="1"/>
  <c r="H74" i="1"/>
  <c r="H73" i="1"/>
  <c r="G74" i="1"/>
  <c r="G73" i="1"/>
  <c r="H74" i="28"/>
  <c r="E74" i="28"/>
  <c r="L74" i="28" s="1"/>
  <c r="C74" i="28"/>
  <c r="B73" i="28"/>
  <c r="A74" i="28"/>
  <c r="G89" i="1"/>
  <c r="E72" i="1"/>
  <c r="G56" i="1"/>
  <c r="O27" i="28"/>
  <c r="O26" i="28"/>
  <c r="O15" i="28"/>
  <c r="O14" i="28"/>
  <c r="D3" i="1"/>
  <c r="U31" i="28"/>
  <c r="U32" i="28"/>
  <c r="H61" i="28"/>
  <c r="H62" i="28"/>
  <c r="E61" i="28"/>
  <c r="L61" i="28" s="1"/>
  <c r="F61" i="28" s="1"/>
  <c r="E62" i="28"/>
  <c r="L62" i="28" s="1"/>
  <c r="E63" i="28"/>
  <c r="L63" i="28" s="1"/>
  <c r="E64" i="28"/>
  <c r="L64" i="28" s="1"/>
  <c r="E65" i="28"/>
  <c r="L65" i="28" s="1"/>
  <c r="F65" i="28" s="1"/>
  <c r="E66" i="28"/>
  <c r="L66" i="28" s="1"/>
  <c r="E67" i="28"/>
  <c r="L67" i="28" s="1"/>
  <c r="F67" i="28" s="1"/>
  <c r="E68" i="28"/>
  <c r="L68" i="28" s="1"/>
  <c r="E69" i="28"/>
  <c r="L69" i="28" s="1"/>
  <c r="E70" i="28"/>
  <c r="L70" i="28" s="1"/>
  <c r="F70" i="28" s="1"/>
  <c r="E71" i="28"/>
  <c r="L71" i="28" s="1"/>
  <c r="E72" i="28"/>
  <c r="L72" i="28" s="1"/>
  <c r="A61" i="28"/>
  <c r="U61" i="28" s="1"/>
  <c r="A62" i="28"/>
  <c r="U62" i="28" s="1"/>
  <c r="A63" i="28"/>
  <c r="U63" i="28" s="1"/>
  <c r="A64" i="28"/>
  <c r="U64" i="28" s="1"/>
  <c r="A65" i="28"/>
  <c r="U65" i="28" s="1"/>
  <c r="A66" i="28"/>
  <c r="U66" i="28" s="1"/>
  <c r="A67" i="28"/>
  <c r="U67" i="28" s="1"/>
  <c r="A68" i="28"/>
  <c r="U68" i="28" s="1"/>
  <c r="A69" i="28"/>
  <c r="U69" i="28" s="1"/>
  <c r="A70" i="28"/>
  <c r="U70" i="28" s="1"/>
  <c r="A71" i="28"/>
  <c r="U71" i="28" s="1"/>
  <c r="A72" i="28"/>
  <c r="U72" i="28" s="1"/>
  <c r="C61" i="28"/>
  <c r="C62" i="28"/>
  <c r="C63" i="28"/>
  <c r="C64" i="28"/>
  <c r="C65" i="28"/>
  <c r="C66" i="28"/>
  <c r="C67" i="28"/>
  <c r="C68" i="28"/>
  <c r="C69" i="28"/>
  <c r="C70" i="28"/>
  <c r="C71" i="28"/>
  <c r="C72" i="28"/>
  <c r="B61" i="28"/>
  <c r="B62" i="28"/>
  <c r="B63" i="28"/>
  <c r="B64" i="28"/>
  <c r="B65" i="28"/>
  <c r="B66" i="28"/>
  <c r="B67" i="28"/>
  <c r="B68" i="28"/>
  <c r="B69" i="28"/>
  <c r="B70" i="28"/>
  <c r="B71" i="28"/>
  <c r="B72" i="28"/>
  <c r="E32" i="28"/>
  <c r="L32" i="28" s="1"/>
  <c r="E48" i="28"/>
  <c r="L48" i="28" s="1"/>
  <c r="E39" i="28"/>
  <c r="L39" i="28" s="1"/>
  <c r="E26" i="28"/>
  <c r="L26" i="28" s="1"/>
  <c r="E15" i="28"/>
  <c r="L15" i="28" s="1"/>
  <c r="E7" i="28"/>
  <c r="G37" i="28"/>
  <c r="C59" i="28"/>
  <c r="G55" i="1"/>
  <c r="G45" i="1"/>
  <c r="G70" i="1"/>
  <c r="F59" i="28" s="1"/>
  <c r="A29" i="28"/>
  <c r="U29" i="28" s="1"/>
  <c r="B29" i="28"/>
  <c r="C29" i="28"/>
  <c r="E29" i="28"/>
  <c r="L29" i="28" s="1"/>
  <c r="H29" i="28"/>
  <c r="H28" i="28"/>
  <c r="E28" i="28"/>
  <c r="L28" i="28" s="1"/>
  <c r="C28" i="28"/>
  <c r="B28" i="28"/>
  <c r="A28" i="28"/>
  <c r="U28" i="28" s="1"/>
  <c r="A52" i="28"/>
  <c r="U52" i="28" s="1"/>
  <c r="A56" i="28"/>
  <c r="U56" i="28" s="1"/>
  <c r="G50" i="28"/>
  <c r="E55" i="28"/>
  <c r="L55" i="28" s="1"/>
  <c r="E56" i="28"/>
  <c r="L56" i="28" s="1"/>
  <c r="B56" i="28"/>
  <c r="C56" i="28"/>
  <c r="E52" i="28"/>
  <c r="L52" i="28" s="1"/>
  <c r="B52" i="28"/>
  <c r="C52" i="28"/>
  <c r="B32" i="28"/>
  <c r="C32" i="28"/>
  <c r="G42" i="1"/>
  <c r="G30" i="1"/>
  <c r="G17" i="1"/>
  <c r="C2" i="28"/>
  <c r="H73" i="28"/>
  <c r="H60" i="28"/>
  <c r="H57" i="28"/>
  <c r="H51" i="28"/>
  <c r="H53" i="28"/>
  <c r="H54" i="28"/>
  <c r="H55" i="28"/>
  <c r="H50" i="28"/>
  <c r="H40" i="28"/>
  <c r="H41" i="28"/>
  <c r="H42" i="28"/>
  <c r="H43" i="28"/>
  <c r="H44" i="28"/>
  <c r="H45" i="28"/>
  <c r="H46" i="28"/>
  <c r="H47" i="28"/>
  <c r="H48" i="28"/>
  <c r="H49" i="28"/>
  <c r="H31" i="28"/>
  <c r="H33" i="28"/>
  <c r="H34" i="28"/>
  <c r="H35" i="28"/>
  <c r="H36" i="28"/>
  <c r="H37" i="28"/>
  <c r="H38" i="28"/>
  <c r="H39" i="28"/>
  <c r="H30" i="28"/>
  <c r="H18" i="28"/>
  <c r="H19" i="28"/>
  <c r="H20" i="28"/>
  <c r="H21" i="28"/>
  <c r="H22" i="28"/>
  <c r="H23" i="28"/>
  <c r="H24" i="28"/>
  <c r="H25" i="28"/>
  <c r="H26" i="28"/>
  <c r="H27" i="28"/>
  <c r="H17" i="28"/>
  <c r="H16" i="28"/>
  <c r="H6" i="28"/>
  <c r="H7" i="28"/>
  <c r="H8" i="28"/>
  <c r="H9" i="28"/>
  <c r="H10" i="28"/>
  <c r="H11" i="28"/>
  <c r="H12" i="28"/>
  <c r="H13" i="28"/>
  <c r="H14" i="28"/>
  <c r="H15" i="28"/>
  <c r="A59" i="28"/>
  <c r="B59" i="28"/>
  <c r="E59" i="28"/>
  <c r="L59" i="28" s="1"/>
  <c r="A8" i="28"/>
  <c r="U8" i="28" s="1"/>
  <c r="B8" i="28"/>
  <c r="C8" i="28"/>
  <c r="E8" i="28"/>
  <c r="L8" i="28" s="1"/>
  <c r="F8" i="28" s="1"/>
  <c r="A9" i="28"/>
  <c r="U9" i="28" s="1"/>
  <c r="B9" i="28"/>
  <c r="C9" i="28"/>
  <c r="E9" i="28"/>
  <c r="L9" i="28" s="1"/>
  <c r="F9" i="28" s="1"/>
  <c r="G10" i="1"/>
  <c r="G11" i="1"/>
  <c r="H4" i="30"/>
  <c r="F4" i="30"/>
  <c r="E47" i="28"/>
  <c r="L47" i="28" s="1"/>
  <c r="E43" i="28"/>
  <c r="L43" i="28" s="1"/>
  <c r="F28" i="30" s="1"/>
  <c r="H28" i="30" s="1"/>
  <c r="E38" i="28"/>
  <c r="L38" i="28" s="1"/>
  <c r="G41" i="1"/>
  <c r="E30" i="28"/>
  <c r="L30" i="28" s="1"/>
  <c r="F7" i="30" s="1"/>
  <c r="H7" i="30" s="1"/>
  <c r="E25" i="28"/>
  <c r="L25" i="28" s="1"/>
  <c r="G26" i="1"/>
  <c r="B4" i="30"/>
  <c r="B60" i="28"/>
  <c r="B57" i="28"/>
  <c r="B55" i="28"/>
  <c r="B54" i="28"/>
  <c r="B53" i="28"/>
  <c r="B51" i="28"/>
  <c r="B50" i="28"/>
  <c r="B49" i="28"/>
  <c r="B48" i="28"/>
  <c r="B47" i="28"/>
  <c r="B46" i="28"/>
  <c r="B45" i="28"/>
  <c r="B44" i="28"/>
  <c r="B43" i="28"/>
  <c r="B42" i="28"/>
  <c r="B41" i="28"/>
  <c r="B40" i="28"/>
  <c r="B39" i="28"/>
  <c r="B38" i="28"/>
  <c r="B37" i="28"/>
  <c r="B36" i="28"/>
  <c r="B35" i="28"/>
  <c r="B34" i="28"/>
  <c r="B33" i="28"/>
  <c r="B31" i="28"/>
  <c r="B30" i="28"/>
  <c r="B27" i="28"/>
  <c r="B26" i="28"/>
  <c r="B25" i="28"/>
  <c r="B24" i="28"/>
  <c r="B23" i="28"/>
  <c r="B22" i="28"/>
  <c r="B21" i="28"/>
  <c r="B20" i="28"/>
  <c r="B19" i="28"/>
  <c r="B18" i="28"/>
  <c r="B17" i="28"/>
  <c r="B16" i="28"/>
  <c r="B15" i="28"/>
  <c r="B14" i="28"/>
  <c r="B13" i="28"/>
  <c r="B12" i="28"/>
  <c r="B11" i="28"/>
  <c r="B10" i="28"/>
  <c r="B7" i="28"/>
  <c r="B6" i="28"/>
  <c r="C45" i="28"/>
  <c r="C46" i="28"/>
  <c r="C47" i="28"/>
  <c r="A45" i="28"/>
  <c r="U45" i="28" s="1"/>
  <c r="A46" i="28"/>
  <c r="U46" i="28" s="1"/>
  <c r="A47" i="28"/>
  <c r="U47" i="28" s="1"/>
  <c r="G53" i="1"/>
  <c r="E60" i="28"/>
  <c r="L60" i="28" s="1"/>
  <c r="F60" i="28" s="1"/>
  <c r="A60" i="28"/>
  <c r="U60" i="28" s="1"/>
  <c r="C60" i="28"/>
  <c r="G72" i="1"/>
  <c r="G37" i="1"/>
  <c r="G36" i="1"/>
  <c r="G20" i="1"/>
  <c r="G19" i="1"/>
  <c r="G12" i="1"/>
  <c r="G9" i="1"/>
  <c r="G8" i="1"/>
  <c r="G7" i="1"/>
  <c r="G66" i="1"/>
  <c r="E57" i="28"/>
  <c r="L57" i="28" s="1"/>
  <c r="F57" i="28" s="1"/>
  <c r="C57" i="28"/>
  <c r="A57" i="28"/>
  <c r="U57" i="28" s="1"/>
  <c r="C73" i="28"/>
  <c r="A73" i="28"/>
  <c r="U73" i="28" s="1"/>
  <c r="A51" i="28"/>
  <c r="U51" i="28" s="1"/>
  <c r="A53" i="28"/>
  <c r="U53" i="28" s="1"/>
  <c r="A54" i="28"/>
  <c r="U54" i="28" s="1"/>
  <c r="A55" i="28"/>
  <c r="U55" i="28" s="1"/>
  <c r="A50" i="28"/>
  <c r="U50" i="28" s="1"/>
  <c r="A40" i="28"/>
  <c r="U40" i="28" s="1"/>
  <c r="A41" i="28"/>
  <c r="U41" i="28" s="1"/>
  <c r="A42" i="28"/>
  <c r="U42" i="28" s="1"/>
  <c r="A43" i="28"/>
  <c r="U43" i="28" s="1"/>
  <c r="A44" i="28"/>
  <c r="U44" i="28" s="1"/>
  <c r="A48" i="28"/>
  <c r="U48" i="28" s="1"/>
  <c r="A49" i="28"/>
  <c r="U49" i="28" s="1"/>
  <c r="A33" i="28"/>
  <c r="U33" i="28" s="1"/>
  <c r="A34" i="28"/>
  <c r="U34" i="28" s="1"/>
  <c r="A35" i="28"/>
  <c r="U35" i="28" s="1"/>
  <c r="A36" i="28"/>
  <c r="U36" i="28" s="1"/>
  <c r="A37" i="28"/>
  <c r="U37" i="28" s="1"/>
  <c r="A38" i="28"/>
  <c r="U38" i="28" s="1"/>
  <c r="A39" i="28"/>
  <c r="U39" i="28" s="1"/>
  <c r="A30" i="28"/>
  <c r="U30" i="28" s="1"/>
  <c r="A22" i="28"/>
  <c r="U22" i="28" s="1"/>
  <c r="A23" i="28"/>
  <c r="U23" i="28" s="1"/>
  <c r="A24" i="28"/>
  <c r="U24" i="28" s="1"/>
  <c r="A25" i="28"/>
  <c r="U25" i="28" s="1"/>
  <c r="A26" i="28"/>
  <c r="U26" i="28" s="1"/>
  <c r="A27" i="28"/>
  <c r="U27" i="28" s="1"/>
  <c r="A18" i="28"/>
  <c r="U18" i="28" s="1"/>
  <c r="A19" i="28"/>
  <c r="U19" i="28" s="1"/>
  <c r="A20" i="28"/>
  <c r="U20" i="28" s="1"/>
  <c r="A21" i="28"/>
  <c r="U21" i="28" s="1"/>
  <c r="A17" i="28"/>
  <c r="U17" i="28" s="1"/>
  <c r="A16" i="28"/>
  <c r="U16" i="28" s="1"/>
  <c r="A6" i="28"/>
  <c r="U6" i="28" s="1"/>
  <c r="A7" i="28"/>
  <c r="U7" i="28" s="1"/>
  <c r="A10" i="28"/>
  <c r="U10" i="28" s="1"/>
  <c r="A11" i="28"/>
  <c r="U11" i="28" s="1"/>
  <c r="A12" i="28"/>
  <c r="U12" i="28" s="1"/>
  <c r="A13" i="28"/>
  <c r="U13" i="28" s="1"/>
  <c r="A14" i="28"/>
  <c r="U14" i="28" s="1"/>
  <c r="A15" i="28"/>
  <c r="U15" i="28" s="1"/>
  <c r="E49" i="28"/>
  <c r="L49" i="28" s="1"/>
  <c r="E46" i="28"/>
  <c r="L46" i="28" s="1"/>
  <c r="F46" i="28" s="1"/>
  <c r="E45" i="28"/>
  <c r="L45" i="28" s="1"/>
  <c r="F45" i="28" s="1"/>
  <c r="C48" i="28"/>
  <c r="C49" i="28"/>
  <c r="C44" i="28"/>
  <c r="C41" i="28"/>
  <c r="G87" i="1"/>
  <c r="G44" i="1"/>
  <c r="C6" i="28"/>
  <c r="C7" i="28"/>
  <c r="C10" i="28"/>
  <c r="C11" i="28"/>
  <c r="C12" i="28"/>
  <c r="C13" i="28"/>
  <c r="C14" i="28"/>
  <c r="C15" i="28"/>
  <c r="C16" i="28"/>
  <c r="C17" i="28"/>
  <c r="C18" i="28"/>
  <c r="C19" i="28"/>
  <c r="C20" i="28"/>
  <c r="C21" i="28"/>
  <c r="C22" i="28"/>
  <c r="C23" i="28"/>
  <c r="C24" i="28"/>
  <c r="C25" i="28"/>
  <c r="C26" i="28"/>
  <c r="C27" i="28"/>
  <c r="C30" i="28"/>
  <c r="C31" i="28"/>
  <c r="C33" i="28"/>
  <c r="C34" i="28"/>
  <c r="C35" i="28"/>
  <c r="C36" i="28"/>
  <c r="C37" i="28"/>
  <c r="C38" i="28"/>
  <c r="C39" i="28"/>
  <c r="C40" i="28"/>
  <c r="C42" i="28"/>
  <c r="C43" i="28"/>
  <c r="C50" i="28"/>
  <c r="C51" i="28"/>
  <c r="C53" i="28"/>
  <c r="C54" i="28"/>
  <c r="C55" i="28"/>
  <c r="G27" i="1"/>
  <c r="G23" i="1"/>
  <c r="G43" i="1"/>
  <c r="G24" i="1"/>
  <c r="E73" i="28"/>
  <c r="L73" i="28" s="1"/>
  <c r="E54" i="28"/>
  <c r="L54" i="28" s="1"/>
  <c r="E51" i="28"/>
  <c r="L51" i="28" s="1"/>
  <c r="F51" i="28" s="1"/>
  <c r="E50" i="28"/>
  <c r="L50" i="28" s="1"/>
  <c r="E44" i="28"/>
  <c r="L44" i="28" s="1"/>
  <c r="E42" i="28"/>
  <c r="L42" i="28" s="1"/>
  <c r="F42" i="28" s="1"/>
  <c r="E41" i="28"/>
  <c r="L41" i="28" s="1"/>
  <c r="E37" i="28"/>
  <c r="L37" i="28" s="1"/>
  <c r="F37" i="28" s="1"/>
  <c r="E35" i="28"/>
  <c r="L35" i="28" s="1"/>
  <c r="E33" i="28"/>
  <c r="L33" i="28" s="1"/>
  <c r="E31" i="28"/>
  <c r="L31" i="28" s="1"/>
  <c r="E27" i="28"/>
  <c r="L27" i="28" s="1"/>
  <c r="E23" i="28"/>
  <c r="L23" i="28" s="1"/>
  <c r="F23" i="28" s="1"/>
  <c r="E20" i="28"/>
  <c r="L20" i="28" s="1"/>
  <c r="F20" i="28" s="1"/>
  <c r="E19" i="28"/>
  <c r="L19" i="28" s="1"/>
  <c r="E18" i="28"/>
  <c r="L18" i="28" s="1"/>
  <c r="F18" i="28" s="1"/>
  <c r="E17" i="28"/>
  <c r="L17" i="28" s="1"/>
  <c r="F17" i="28" s="1"/>
  <c r="E16" i="28"/>
  <c r="L16" i="28" s="1"/>
  <c r="F16" i="28" s="1"/>
  <c r="E6" i="28"/>
  <c r="L6" i="28" s="1"/>
  <c r="E10" i="28"/>
  <c r="E11" i="28"/>
  <c r="E12" i="28"/>
  <c r="L12" i="28" s="1"/>
  <c r="F12" i="28" s="1"/>
  <c r="E14" i="28"/>
  <c r="L14" i="28" s="1"/>
  <c r="G48" i="1"/>
  <c r="G22" i="1"/>
  <c r="G14" i="1"/>
  <c r="G13" i="1"/>
  <c r="D2" i="28"/>
  <c r="E2" i="28" s="1"/>
  <c r="G50" i="1"/>
  <c r="E40" i="28"/>
  <c r="L40" i="28" s="1"/>
  <c r="E34" i="28"/>
  <c r="L34" i="28" s="1"/>
  <c r="G40" i="1"/>
  <c r="E22" i="28"/>
  <c r="L22" i="28" s="1"/>
  <c r="F22" i="28" s="1"/>
  <c r="G25" i="1"/>
  <c r="E21" i="28"/>
  <c r="L21" i="28" s="1"/>
  <c r="F21" i="28" s="1"/>
  <c r="H17" i="1"/>
  <c r="E53" i="28"/>
  <c r="L53" i="28" s="1"/>
  <c r="H30" i="1"/>
  <c r="G28" i="1"/>
  <c r="E13" i="28"/>
  <c r="L13" i="28" s="1"/>
  <c r="E24" i="28"/>
  <c r="L24" i="28" s="1"/>
  <c r="F24" i="28" s="1"/>
  <c r="H45" i="1"/>
  <c r="E36" i="28"/>
  <c r="L36" i="28" s="1"/>
  <c r="F36" i="28" s="1"/>
  <c r="H55" i="1"/>
  <c r="O13" i="28"/>
  <c r="L10" i="28" l="1"/>
  <c r="F10" i="28" s="1"/>
  <c r="F30" i="28"/>
  <c r="G31" i="1"/>
  <c r="F34" i="28"/>
  <c r="F9" i="30"/>
  <c r="H9" i="30" s="1"/>
  <c r="F11" i="30"/>
  <c r="H11" i="30" s="1"/>
  <c r="F35" i="28"/>
  <c r="H63" i="28"/>
  <c r="Q63" i="28" s="1"/>
  <c r="F62" i="28"/>
  <c r="F43" i="28"/>
  <c r="H56" i="1"/>
  <c r="L11" i="28"/>
  <c r="F11" i="28" s="1"/>
  <c r="H31" i="1"/>
  <c r="O39" i="28"/>
  <c r="F49" i="28" s="1"/>
  <c r="G39" i="28"/>
  <c r="Q39" i="28" s="1"/>
  <c r="F39" i="28"/>
  <c r="F10" i="30"/>
  <c r="H10" i="30" s="1"/>
  <c r="F73" i="28"/>
  <c r="H72" i="28"/>
  <c r="F71" i="28"/>
  <c r="G27" i="28"/>
  <c r="Q27" i="28" s="1"/>
  <c r="F26" i="28"/>
  <c r="G26" i="28"/>
  <c r="Q26" i="28" s="1"/>
  <c r="F19" i="28"/>
  <c r="F29" i="30"/>
  <c r="F44" i="28"/>
  <c r="F48" i="28"/>
  <c r="Q54" i="28"/>
  <c r="F50" i="28"/>
  <c r="F6" i="28"/>
  <c r="F33" i="28"/>
  <c r="F14" i="30"/>
  <c r="D1" i="28"/>
  <c r="H66" i="28"/>
  <c r="F64" i="28"/>
  <c r="H69" i="28"/>
  <c r="F68" i="28"/>
  <c r="G48" i="28"/>
  <c r="Q48" i="28" s="1"/>
  <c r="Q55" i="28"/>
  <c r="Q33" i="28"/>
  <c r="G33" i="28" s="1"/>
  <c r="F31" i="28"/>
  <c r="F8" i="30"/>
  <c r="F38" i="28"/>
  <c r="F17" i="30"/>
  <c r="F26" i="30"/>
  <c r="H26" i="30" s="1"/>
  <c r="F41" i="28"/>
  <c r="L7" i="28"/>
  <c r="F27" i="28"/>
  <c r="F20" i="30"/>
  <c r="F63" i="28" l="1"/>
  <c r="F12" i="30"/>
  <c r="F15" i="30" s="1"/>
  <c r="F18" i="30" s="1"/>
  <c r="H12" i="30"/>
  <c r="G49" i="28"/>
  <c r="Q49" i="28" s="1"/>
  <c r="Q66" i="28"/>
  <c r="F66" i="28"/>
  <c r="Q72" i="28"/>
  <c r="F72" i="28"/>
  <c r="F15" i="28"/>
  <c r="G15" i="28"/>
  <c r="F30" i="30"/>
  <c r="H29" i="30"/>
  <c r="H30" i="30" s="1"/>
  <c r="F69" i="28"/>
  <c r="Q69" i="28"/>
  <c r="F7" i="28"/>
  <c r="H32" i="30" l="1"/>
  <c r="F32" i="30"/>
  <c r="F21" i="30"/>
  <c r="C21" i="30"/>
  <c r="C22" i="30"/>
  <c r="Q15" i="28"/>
  <c r="J83" i="28" s="1"/>
  <c r="L83" i="28"/>
</calcChain>
</file>

<file path=xl/sharedStrings.xml><?xml version="1.0" encoding="utf-8"?>
<sst xmlns="http://schemas.openxmlformats.org/spreadsheetml/2006/main" count="635" uniqueCount="401">
  <si>
    <t xml:space="preserve">Unit Number:      </t>
  </si>
  <si>
    <t>Description of Requested Amount from Audited Financial Statements</t>
  </si>
  <si>
    <t>Error Messages</t>
  </si>
  <si>
    <t>Notes</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</si>
  <si>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</si>
  <si>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</si>
  <si>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Notes to the Financial Statements -Fund Balance Note</t>
  </si>
  <si>
    <t>Upload Amounts</t>
  </si>
  <si>
    <t xml:space="preserve"> </t>
  </si>
  <si>
    <t xml:space="preserve">Fiscal Year </t>
  </si>
  <si>
    <t>Unit Data Input Worksheet</t>
  </si>
  <si>
    <t>Purpose of Unit Data Input Worksheet</t>
  </si>
  <si>
    <t>Every year numbers are taken from City and County audited financial statements and used to produce various management tools for units of Government.  Links to these sites are listed at the end of these instructions.  In order for these tools to be updated timely, your audited statements and accompanying Unit Data Input worksheet must be received in this office by October 31st, of each year for local governments with a fiscal year ended June 30th.  Each year a unit of government will be asked to complete a Unit Data Input Worksheet that will be uploaded into a database that supports each of the websites listed below as well as provides information to the North Carolina legislature, North Carolina Budget and the Governor’s office.  The North Carolina League of Municipalities and North Carolina Association of County Commissioners also use this information to advocate before the executive, legislative and judicial branches of state government on behalf of local governments.</t>
  </si>
  <si>
    <t>Water Sewer Dashboard</t>
  </si>
  <si>
    <t>NC County and Municipal Financial Information</t>
  </si>
  <si>
    <t>Instructions</t>
  </si>
  <si>
    <r>
      <t xml:space="preserve">This worksheet must be completed using your audited financial statements and submitted with the audit report to the Local Government Commission.  This worksheet is designed so that each unit should be able to complete in less than an hour, if they have a completed audit report.  However, units can always choose to outsource this worksheet.  The worksheet must be </t>
    </r>
    <r>
      <rPr>
        <b/>
        <sz val="12"/>
        <color indexed="8"/>
        <rFont val="Century Schoolbook"/>
        <family val="1"/>
      </rPr>
      <t>submitted with the unit’s audit report</t>
    </r>
    <r>
      <rPr>
        <sz val="12"/>
        <color indexed="8"/>
        <rFont val="Century Schoolbook"/>
        <family val="1"/>
      </rPr>
      <t>.</t>
    </r>
  </si>
  <si>
    <t xml:space="preserve">The Worksheet does contain edits that will display error messages if these edit tests are not passed.  Please make sure that your worksheet is error free.  </t>
  </si>
  <si>
    <t>RSS</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</si>
  <si>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</si>
  <si>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</si>
  <si>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</si>
  <si>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</si>
  <si>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</si>
  <si>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</si>
  <si>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</si>
  <si>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</si>
  <si>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Errors</t>
  </si>
  <si>
    <t>Yes</t>
  </si>
  <si>
    <t>No</t>
  </si>
  <si>
    <t>Review Summary</t>
  </si>
  <si>
    <t>Error Detection</t>
  </si>
  <si>
    <t>Review Summary - FBA</t>
  </si>
  <si>
    <t>General Info used to evaluate health of unit</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</si>
  <si>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</si>
  <si>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</si>
  <si>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</si>
  <si>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</si>
  <si>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</si>
  <si>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</si>
  <si>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</si>
  <si>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</si>
  <si>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</si>
  <si>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</si>
  <si>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</si>
  <si>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</si>
  <si>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</si>
  <si>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</si>
  <si>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</si>
  <si>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</si>
  <si>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</si>
  <si>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</si>
  <si>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</si>
  <si>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</si>
  <si>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</si>
  <si>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</si>
  <si>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</si>
  <si>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</si>
  <si>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</si>
  <si>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 xml:space="preserve">    Issuance of Capital Leases &amp; Installment Purchases ……………...………….</t>
  </si>
  <si>
    <t>Total Expenditures (As Adjusted) ………………………………...…………………….</t>
  </si>
  <si>
    <t xml:space="preserve">    Fund Balance Available  as % of Expenditures …………………………..........</t>
  </si>
  <si>
    <t xml:space="preserve"> Restricted Cash</t>
  </si>
  <si>
    <t>Gov - Net Investment in Capital Assets</t>
  </si>
  <si>
    <t>Gov - Restricted Net Position</t>
  </si>
  <si>
    <t>Gov - Unrestricted Net Position</t>
  </si>
  <si>
    <t>Gov - Any Adj. to Beginning Net Position</t>
  </si>
  <si>
    <t>How Data is used</t>
  </si>
  <si>
    <t>Statutory Calculation of Fund Balance Available for Appropriation At June 30 for the General Fund
Restricted - Stabilization by State Statute</t>
  </si>
  <si>
    <t>Gov - Total Assets and deferred outflows</t>
  </si>
  <si>
    <t>Gov - Total Liabilities and total deferred inflows</t>
  </si>
  <si>
    <t>Gov - Unearned Revenues included in Select Current Liabilities</t>
  </si>
  <si>
    <t>Gen Fund - Total Assets and deferred outflows</t>
  </si>
  <si>
    <t>Gen  Fund - Current  Liabilities</t>
  </si>
  <si>
    <t>Gen Fund - deferred inflows derived from Cash Receipts</t>
  </si>
  <si>
    <t>Gen Fund - Deferred inflows Not from Cash Receipts</t>
  </si>
  <si>
    <t>New Questions  -  Please read and answer if applicable</t>
  </si>
  <si>
    <t>LGC USE</t>
  </si>
  <si>
    <t>Government Wide Statements - Net Position Statement - Governmental Activities Column</t>
  </si>
  <si>
    <t>Statement</t>
  </si>
  <si>
    <t>Net Position-Governmental Activities</t>
  </si>
  <si>
    <r>
      <t xml:space="preserve"> </t>
    </r>
    <r>
      <rPr>
        <u/>
        <sz val="11"/>
        <color indexed="8"/>
        <rFont val="Calibri"/>
        <family val="2"/>
      </rPr>
      <t>All restricted Cash and investments</t>
    </r>
  </si>
  <si>
    <t>Total Assets and deferred outflows</t>
  </si>
  <si>
    <t>Total Liabilities and total deferred inflows</t>
  </si>
  <si>
    <t xml:space="preserve"> Total Net investment in capital assets</t>
  </si>
  <si>
    <t xml:space="preserve"> Total Net Position, Restricted</t>
  </si>
  <si>
    <t>Total Net Position, Unrestricted</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</si>
  <si>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</si>
  <si>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</si>
  <si>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</si>
  <si>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</si>
  <si>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Government Wide Statements - Statement of Activities  - Governmental Activities Column</t>
  </si>
  <si>
    <t xml:space="preserve">Charges for services </t>
  </si>
  <si>
    <t>Operating grants and contributions</t>
  </si>
  <si>
    <t>Capital grants and contributions</t>
  </si>
  <si>
    <t>Statement of Activities - Governmental</t>
  </si>
  <si>
    <r>
      <t>Total Transfers in</t>
    </r>
    <r>
      <rPr>
        <sz val="11"/>
        <color theme="1"/>
        <rFont val="Calibri"/>
        <family val="2"/>
        <scheme val="minor"/>
      </rPr>
      <t xml:space="preserve">    </t>
    </r>
    <r>
      <rPr>
        <sz val="11"/>
        <color indexed="60"/>
        <rFont val="Calibri"/>
        <family val="2"/>
      </rPr>
      <t>(Preference is that transfers-in  are not netted against transfers-out)</t>
    </r>
  </si>
  <si>
    <r>
      <t>Total Transfers out</t>
    </r>
    <r>
      <rPr>
        <sz val="11"/>
        <color theme="1"/>
        <rFont val="Calibri"/>
        <family val="2"/>
        <scheme val="minor"/>
      </rPr>
      <t xml:space="preserve">    </t>
    </r>
    <r>
      <rPr>
        <sz val="11"/>
        <color indexed="60"/>
        <rFont val="Calibri"/>
        <family val="2"/>
      </rPr>
      <t>(Preference is that transfers-in  are not netted against transfers-out)</t>
    </r>
  </si>
  <si>
    <t>Fund Statements - General Fund Balance Sheet</t>
  </si>
  <si>
    <t>All restricted cash and investments</t>
  </si>
  <si>
    <t xml:space="preserve">Fund balance, Restricted for Stabilization by State Statute </t>
  </si>
  <si>
    <t>Fund balance, Nonspendable-  inventory/prepaids/etc.</t>
  </si>
  <si>
    <t>General Fund-Balance Sheet</t>
  </si>
  <si>
    <t>Total revenues</t>
  </si>
  <si>
    <r>
      <rPr>
        <u/>
        <sz val="11"/>
        <rFont val="Calibri"/>
        <family val="2"/>
      </rPr>
      <t>Total Proceeds from all long-term debt issuances</t>
    </r>
    <r>
      <rPr>
        <sz val="11"/>
        <rFont val="Calibri"/>
        <family val="2"/>
      </rPr>
      <t xml:space="preserve"> 
</t>
    </r>
    <r>
      <rPr>
        <b/>
        <sz val="11"/>
        <rFont val="Calibri"/>
        <family val="2"/>
      </rPr>
      <t xml:space="preserve">Exclude </t>
    </r>
    <r>
      <rPr>
        <sz val="11"/>
        <rFont val="Calibri"/>
        <family val="2"/>
      </rPr>
      <t>proceeds from refundings</t>
    </r>
  </si>
  <si>
    <r>
      <rPr>
        <u/>
        <sz val="11"/>
        <color indexed="8"/>
        <rFont val="Calibri"/>
        <family val="2"/>
      </rPr>
      <t>Change in fund balance</t>
    </r>
    <r>
      <rPr>
        <sz val="11"/>
        <color theme="1"/>
        <rFont val="Calibri"/>
        <family val="2"/>
        <scheme val="minor"/>
      </rPr>
      <t xml:space="preserve"> - </t>
    </r>
    <r>
      <rPr>
        <sz val="11"/>
        <color indexed="60"/>
        <rFont val="Calibri"/>
        <family val="2"/>
      </rPr>
      <t>(Increase in Fund balance is recorded as a positive and a decrease in fund balance is recorded as a negative)</t>
    </r>
  </si>
  <si>
    <t xml:space="preserve">    General Fund Only - Statement of Revenue, Expenditures and Changes in Fund Balance </t>
  </si>
  <si>
    <t>General Fund-Rev, Exp. Change in Fund Balance</t>
  </si>
  <si>
    <r>
      <rPr>
        <u/>
        <sz val="11"/>
        <color indexed="8"/>
        <rFont val="Calibri"/>
        <family val="2"/>
      </rPr>
      <t>General fund deferred inflows derived from cash receipts</t>
    </r>
    <r>
      <rPr>
        <sz val="11"/>
        <color indexed="8"/>
        <rFont val="Calibri"/>
        <family val="2"/>
      </rPr>
      <t xml:space="preserve">. 
</t>
    </r>
    <r>
      <rPr>
        <sz val="11"/>
        <color indexed="60"/>
        <rFont val="Calibri"/>
        <family val="2"/>
      </rPr>
      <t xml:space="preserve"> Prepaid taxes is a common item listed.  Deferred inflows on the face of the statements can include cash and non-cash.  You may have to refer to the note disclosure where the cash and non-cash is broken out.</t>
    </r>
  </si>
  <si>
    <r>
      <rPr>
        <u/>
        <sz val="11"/>
        <color indexed="8"/>
        <rFont val="Calibri"/>
        <family val="2"/>
      </rPr>
      <t>Total Deferred inflows not derived from cash receipts.</t>
    </r>
    <r>
      <rPr>
        <sz val="11"/>
        <color indexed="8"/>
        <rFont val="Calibri"/>
        <family val="2"/>
      </rPr>
      <t xml:space="preserve">  </t>
    </r>
    <r>
      <rPr>
        <sz val="11"/>
        <color indexed="60"/>
        <rFont val="Calibri"/>
        <family val="2"/>
      </rPr>
      <t>Deferred inflows on the face of the statements can include cash and non-cash.  You may have to refer to the note disclosure where the cash and non-cash is broken out.</t>
    </r>
  </si>
  <si>
    <r>
      <rPr>
        <u/>
        <sz val="11"/>
        <rFont val="Calibri"/>
        <family val="2"/>
      </rPr>
      <t>Total expenditures</t>
    </r>
    <r>
      <rPr>
        <sz val="11"/>
        <rFont val="Calibri"/>
        <family val="2"/>
      </rPr>
      <t xml:space="preserve">  
</t>
    </r>
    <r>
      <rPr>
        <b/>
        <sz val="11"/>
        <rFont val="Calibri"/>
        <family val="2"/>
      </rPr>
      <t>Exclude</t>
    </r>
    <r>
      <rPr>
        <sz val="11"/>
        <rFont val="Calibri"/>
        <family val="2"/>
      </rPr>
      <t xml:space="preserve"> expenditures in the "other financing sources (uses)" section.
</t>
    </r>
  </si>
  <si>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</si>
  <si>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</si>
  <si>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OPEB Note</t>
  </si>
  <si>
    <r>
      <rPr>
        <u/>
        <sz val="11"/>
        <color indexed="8"/>
        <rFont val="Calibri"/>
        <family val="2"/>
      </rPr>
      <t>General Fund -  Total Encumbrances.</t>
    </r>
    <r>
      <rPr>
        <sz val="11"/>
        <color theme="1"/>
        <rFont val="Calibri"/>
        <family val="2"/>
        <scheme val="minor"/>
      </rPr>
      <t xml:space="preserve">  </t>
    </r>
    <r>
      <rPr>
        <sz val="11"/>
        <color indexed="60"/>
        <rFont val="Calibri"/>
        <family val="2"/>
      </rPr>
      <t>You will probably have to refer to the note disclosure where the amount of encumbrances is listed.</t>
    </r>
  </si>
  <si>
    <t>Fund Balance Note</t>
  </si>
  <si>
    <t>Liabilities……………………………………………………………….………………………….</t>
  </si>
  <si>
    <r>
      <rPr>
        <u/>
        <sz val="11"/>
        <color indexed="8"/>
        <rFont val="Calibri"/>
        <family val="2"/>
      </rPr>
      <t>Total Special and Extraordinary items</t>
    </r>
    <r>
      <rPr>
        <sz val="11"/>
        <color theme="1"/>
        <rFont val="Calibri"/>
        <family val="2"/>
        <scheme val="minor"/>
      </rPr>
      <t xml:space="preserve">.   </t>
    </r>
    <r>
      <rPr>
        <sz val="11"/>
        <color indexed="60"/>
        <rFont val="Calibri"/>
        <family val="2"/>
      </rPr>
      <t xml:space="preserve"> (Amounts that increase net position are recorded as positive and amounts that decrease net position are recorded as negative)</t>
    </r>
  </si>
  <si>
    <r>
      <rPr>
        <u/>
        <sz val="11"/>
        <color indexed="8"/>
        <rFont val="Calibri"/>
        <family val="2"/>
      </rPr>
      <t>Total 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</si>
  <si>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t>Gov - Restricted Cash &amp; Investments</t>
  </si>
  <si>
    <t xml:space="preserve">Gov - Select Current Liabilities </t>
  </si>
  <si>
    <t>Gov - Internal Balance</t>
  </si>
  <si>
    <t>Bus - Unrestricted Cash &amp; Investments</t>
  </si>
  <si>
    <t>Bus - Restricted Cash &amp; Investments</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</si>
  <si>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</si>
  <si>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</si>
  <si>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</si>
  <si>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</si>
  <si>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</si>
  <si>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</si>
  <si>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</si>
  <si>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</si>
  <si>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</si>
  <si>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</si>
  <si>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</si>
  <si>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RSS</t>
  </si>
  <si>
    <t>Gen Fund - Nonspendable</t>
  </si>
  <si>
    <t>Gen Fund - Total Fund Balance per report</t>
  </si>
  <si>
    <t>Gen Fund - Total Revenue</t>
  </si>
  <si>
    <t>Gen Fund - Total Expenditures (w/o Neg Refund)</t>
  </si>
  <si>
    <t xml:space="preserve">Gen Fund - Total Expenditures </t>
  </si>
  <si>
    <t>Gen Fund - Transfers In</t>
  </si>
  <si>
    <t>Gen Fund - Transfers Out</t>
  </si>
  <si>
    <t xml:space="preserve">Gen Fund - Proceeds from LTD </t>
  </si>
  <si>
    <t>Gen Fund - Other items</t>
  </si>
  <si>
    <t>Gen Fund - Positive debt refund</t>
  </si>
  <si>
    <t>Gen fund - Negative debt refund</t>
  </si>
  <si>
    <t>Gen Fund - Change in Fund Balance</t>
  </si>
  <si>
    <t>Gen Fund - Any Adj. to Beginning Net Assets</t>
  </si>
  <si>
    <t>WS - Inventories &amp; Prepaids in Curr Assets</t>
  </si>
  <si>
    <t>Electric - Inventories &amp; Prepaids in Curr Assets</t>
  </si>
  <si>
    <t>Fiduciary - Cash and Investments</t>
  </si>
  <si>
    <t>OPEB- Actuarial Value of Assets</t>
  </si>
  <si>
    <t>Transfer from General Fund to Electric</t>
  </si>
  <si>
    <t>Transfer from Electric to General Fund</t>
  </si>
  <si>
    <t>Gen Fund - Encumbrances</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</si>
  <si>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</si>
  <si>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</si>
  <si>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</si>
  <si>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</si>
  <si>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</si>
  <si>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</si>
  <si>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</si>
  <si>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</si>
  <si>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</si>
  <si>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</si>
  <si>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</si>
  <si>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</si>
  <si>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</si>
  <si>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</si>
  <si>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</si>
  <si>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</si>
  <si>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</si>
  <si>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</si>
  <si>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CCH Unit Type</t>
  </si>
  <si>
    <t>CCH Unit Code</t>
  </si>
  <si>
    <t>Prior Year Amts.</t>
  </si>
  <si>
    <t>Combined Totals of all Proprietary Funds - Cash Flow from Operating</t>
  </si>
  <si>
    <t>Combined Totals of all Proprietary Funds - Capital Contributions</t>
  </si>
  <si>
    <t>GF- Restricted cash &amp; investments</t>
  </si>
  <si>
    <t>GF- Total Intergovernmental revenue (Rest &amp; Unrest)</t>
  </si>
  <si>
    <t>GA- Total accum. deprec. on all capital assets</t>
  </si>
  <si>
    <t>GA- Transfers In (SOA)</t>
  </si>
  <si>
    <t>GA- extraordinary &amp; special items (SOA)</t>
  </si>
  <si>
    <t>GF- Restricted for Stablization by State Statute</t>
  </si>
  <si>
    <t>Gen Fund - Proceeds from LTD (w/o Pos Refund)</t>
  </si>
  <si>
    <t>Select Your Unit's Name from the drop down box in cell D2</t>
  </si>
  <si>
    <r>
      <rPr>
        <u/>
        <sz val="11"/>
        <color indexed="8"/>
        <rFont val="Calibri"/>
        <family val="2"/>
      </rPr>
      <t xml:space="preserve"> 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cash held by a third party. </t>
    </r>
  </si>
  <si>
    <r>
      <t xml:space="preserve">All unrestricted cash and investments.  
</t>
    </r>
    <r>
      <rPr>
        <b/>
        <sz val="11"/>
        <color indexed="8"/>
        <rFont val="Calibri"/>
        <family val="2"/>
      </rPr>
      <t>Exclude</t>
    </r>
    <r>
      <rPr>
        <sz val="11"/>
        <color indexed="8"/>
        <rFont val="Calibri"/>
        <family val="2"/>
      </rPr>
      <t xml:space="preserve"> restricted cash and cash held by a third party. </t>
    </r>
  </si>
  <si>
    <r>
      <t xml:space="preserve">Total Transfers in   </t>
    </r>
    <r>
      <rPr>
        <sz val="11"/>
        <color indexed="60"/>
        <rFont val="Calibri"/>
        <family val="2"/>
      </rPr>
      <t xml:space="preserve"> (Preference is that transfers-in  are not netted against transfers-out)</t>
    </r>
  </si>
  <si>
    <r>
      <t xml:space="preserve">Total Transfers out   </t>
    </r>
    <r>
      <rPr>
        <sz val="11"/>
        <color theme="1"/>
        <rFont val="Calibri"/>
        <family val="2"/>
        <scheme val="minor"/>
      </rPr>
      <t xml:space="preserve"> </t>
    </r>
    <r>
      <rPr>
        <sz val="11"/>
        <color indexed="60"/>
        <rFont val="Calibri"/>
        <family val="2"/>
      </rPr>
      <t>(Preference is that transfers-in  are not netted against transfers-out)</t>
    </r>
  </si>
  <si>
    <t>998</t>
  </si>
  <si>
    <t>999</t>
  </si>
  <si>
    <r>
      <rPr>
        <u/>
        <sz val="11"/>
        <color indexed="8"/>
        <rFont val="Calibri"/>
        <family val="2"/>
      </rPr>
      <t xml:space="preserve">Total General revenues
</t>
    </r>
    <r>
      <rPr>
        <b/>
        <u/>
        <sz val="11"/>
        <color indexed="8"/>
        <rFont val="Calibri"/>
        <family val="2"/>
      </rPr>
      <t>E</t>
    </r>
    <r>
      <rPr>
        <b/>
        <sz val="11"/>
        <color indexed="8"/>
        <rFont val="Calibri"/>
        <family val="2"/>
      </rPr>
      <t>xclude:</t>
    </r>
    <r>
      <rPr>
        <sz val="11"/>
        <color indexed="8"/>
        <rFont val="Calibri"/>
        <family val="2"/>
      </rPr>
      <t xml:space="preserve"> transfers-in or out,
                 special items,
                 extraordinary amounts</t>
    </r>
  </si>
  <si>
    <r>
      <rPr>
        <u/>
        <sz val="11"/>
        <color indexed="8"/>
        <rFont val="Calibri"/>
        <family val="2"/>
      </rPr>
      <t>Any adjustment to beginning net position including rounding, prior period adjustments and restatements</t>
    </r>
    <r>
      <rPr>
        <sz val="11"/>
        <color theme="1"/>
        <rFont val="Calibri"/>
        <family val="2"/>
        <scheme val="minor"/>
      </rPr>
      <t xml:space="preserve">.  </t>
    </r>
    <r>
      <rPr>
        <sz val="11"/>
        <color indexed="60"/>
        <rFont val="Calibri"/>
        <family val="2"/>
      </rPr>
      <t xml:space="preserve"> (Increases to net position are positive; decreases to net position are negative)</t>
    </r>
  </si>
  <si>
    <r>
      <rPr>
        <u/>
        <sz val="11"/>
        <color indexed="8"/>
        <rFont val="Calibri"/>
        <family val="2"/>
      </rPr>
      <t>Total Fund balance</t>
    </r>
    <r>
      <rPr>
        <sz val="11"/>
        <color theme="1"/>
        <rFont val="Calibri"/>
        <family val="2"/>
        <scheme val="minor"/>
      </rPr>
      <t xml:space="preserve"> </t>
    </r>
    <r>
      <rPr>
        <sz val="11"/>
        <color indexed="60"/>
        <rFont val="Calibri"/>
        <family val="2"/>
      </rPr>
      <t>(enter fund deficits as negative)</t>
    </r>
  </si>
  <si>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</si>
  <si>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Debt Refunding - Net refunding proceeds against debt payoff and if negative place results on this line.</t>
  </si>
  <si>
    <t xml:space="preserve">All other items on this statement that were not included in total revenues, total expenditures, transfers in or out, or proceeds from long-term debt above.  </t>
  </si>
  <si>
    <t>Debt Refunding - Net refunding proceeds against debt payoff and if positive place results on this line.</t>
  </si>
  <si>
    <t>If your unit is not on the Drop Down list in cell D2 please select the blank space at the top of the drop down list in cell D2 and enter your units name here and complete the worksheet</t>
  </si>
  <si>
    <t xml:space="preserve">OPEB 
1-implicit rate only  
2-no benefit 
3-benfit 
4- state health plan  </t>
  </si>
  <si>
    <t>Pension Notes</t>
  </si>
  <si>
    <t>Note this number is adjusted for any negative internal balances</t>
  </si>
  <si>
    <t>Formula Results</t>
  </si>
  <si>
    <t>GW-positive internal balance</t>
  </si>
  <si>
    <t>GW-negative internal balance</t>
  </si>
  <si>
    <t>Error Amounts</t>
  </si>
  <si>
    <t>Error Count</t>
  </si>
  <si>
    <r>
      <rPr>
        <u/>
        <sz val="11"/>
        <color indexed="8"/>
        <rFont val="Calibri"/>
        <family val="2"/>
      </rPr>
      <t xml:space="preserve">Unearned revenues that were included in current liabilities in your audit report or entered in acct # 336 above. </t>
    </r>
    <r>
      <rPr>
        <sz val="11"/>
        <color theme="1"/>
        <rFont val="Calibri"/>
        <family val="2"/>
        <scheme val="minor"/>
      </rPr>
      <t xml:space="preserve">
</t>
    </r>
    <r>
      <rPr>
        <b/>
        <sz val="11"/>
        <color indexed="8"/>
        <rFont val="Calibri"/>
        <family val="2"/>
      </rPr>
      <t xml:space="preserve">Exclude - </t>
    </r>
    <r>
      <rPr>
        <sz val="11"/>
        <color theme="1"/>
        <rFont val="Calibri"/>
        <family val="2"/>
        <scheme val="minor"/>
      </rPr>
      <t>unearned revenues that are listed in deferred inflows.</t>
    </r>
  </si>
  <si>
    <t>Errors :  The cell to the left indicates the number of error messages on the data input tab</t>
  </si>
  <si>
    <t>Accounts used to calculate the RSS are shaded in Green</t>
  </si>
  <si>
    <t>Unit Data Input Worksheet - Airport</t>
  </si>
  <si>
    <t>Fund Statements - Enterprise</t>
  </si>
  <si>
    <t>Statement of Net Position - combined totals from all Proprietary Funds</t>
  </si>
  <si>
    <t>Combined Totals of all Proprietary Funds - Amount of Inventories and Prepaids in current assets</t>
  </si>
  <si>
    <r>
      <t xml:space="preserve">Comb-Proprietary Funds-Current Assets 
</t>
    </r>
    <r>
      <rPr>
        <b/>
        <sz val="11"/>
        <color indexed="8"/>
        <rFont val="Calibri"/>
        <family val="2"/>
      </rPr>
      <t>Exclude:</t>
    </r>
    <r>
      <rPr>
        <sz val="11"/>
        <color theme="1"/>
        <rFont val="Calibri"/>
        <family val="2"/>
        <scheme val="minor"/>
      </rPr>
      <t xml:space="preserve"> any restricted assets
                  deferred outflows.</t>
    </r>
  </si>
  <si>
    <t>Rev,, Exp. &amp; Changes in Net Position-combined totals from all proprietary funds</t>
  </si>
  <si>
    <t>Combined Totals of all Proprietary Funds - Depreciation &amp; Amortization Expense (Enter as a Positive)</t>
  </si>
  <si>
    <r>
      <t>Combined Totals of all Proprietary Funds - Change in net position -</t>
    </r>
    <r>
      <rPr>
        <sz val="11"/>
        <color indexed="60"/>
        <rFont val="Calibri"/>
        <family val="2"/>
      </rPr>
      <t xml:space="preserve"> (increase in net position is recorded as a positive and a decrease in net position is recorded as a negative)</t>
    </r>
  </si>
  <si>
    <t>Cash Flows- all proprietary funds</t>
  </si>
  <si>
    <r>
      <t xml:space="preserve">Current Liabilities 
</t>
    </r>
    <r>
      <rPr>
        <b/>
        <sz val="11"/>
        <color indexed="8"/>
        <rFont val="Calibri"/>
        <family val="2"/>
      </rPr>
      <t>Exclude</t>
    </r>
    <r>
      <rPr>
        <sz val="11"/>
        <color indexed="8"/>
        <rFont val="Calibri"/>
        <family val="2"/>
      </rPr>
      <t xml:space="preserve"> all deferred inflows. 
</t>
    </r>
    <r>
      <rPr>
        <b/>
        <sz val="11"/>
        <color indexed="8"/>
        <rFont val="Calibri"/>
        <family val="2"/>
      </rPr>
      <t>Include</t>
    </r>
    <r>
      <rPr>
        <sz val="11"/>
        <color indexed="8"/>
        <rFont val="Calibri"/>
        <family val="2"/>
      </rPr>
      <t xml:space="preserve"> advance from(long-term portion of interfund loans)</t>
    </r>
  </si>
  <si>
    <t>Advance To: Interfund loan receivable-portion of repayment plan longer than 12 months</t>
  </si>
  <si>
    <t>GF-Advance To - Asset</t>
  </si>
  <si>
    <t>Account</t>
  </si>
  <si>
    <t>GF- Reserved by state statute per report</t>
  </si>
  <si>
    <t>C-EF- Current Assets (unrestricted, excl. inventory and prepaids)</t>
  </si>
  <si>
    <t>C-EF Current Assets (unrestricted, incl. inventory and prepaids)</t>
  </si>
  <si>
    <t>C-EF- Current liabilities (Inc. Def Rev, Excl. BANs &amp; Comp Abs) Enter as positive.</t>
  </si>
  <si>
    <t>GF- Total revenues</t>
  </si>
  <si>
    <t>GF- Transfers In (incl. CU)</t>
  </si>
  <si>
    <t>GF- Total expenditures. Enter as positive.</t>
  </si>
  <si>
    <t>C-EF- Capital contributions. (only positive)</t>
  </si>
  <si>
    <t>GF- Transfers Out (incl. CU) ENTER AS A POSITIVE!</t>
  </si>
  <si>
    <t>GF- Proceeds from all LT debt issuance (COPs, IPs, Notes, CLs, etc.)</t>
  </si>
  <si>
    <t>GF- Other items. Should be only positive items. If negative, group with Total expenditures or Transfers out.</t>
  </si>
  <si>
    <t>GF-net change in fund balance</t>
  </si>
  <si>
    <t>GF- Total cash &amp; investments (restricted &amp; unrestricted)</t>
  </si>
  <si>
    <t>All cash and investments (unit-wide, w/ fiduciary fds, &amp; restricted cash)</t>
  </si>
  <si>
    <t>GA- net assets, ICAND</t>
  </si>
  <si>
    <t>GA-net assets, restricted</t>
  </si>
  <si>
    <t>GA-net assets -unrestricted</t>
  </si>
  <si>
    <t>GA-change in net assets</t>
  </si>
  <si>
    <t>GA-special items</t>
  </si>
  <si>
    <t>GA-extraordinary items</t>
  </si>
  <si>
    <t>BTA- net assets, ICAND</t>
  </si>
  <si>
    <t>BTA-net assets, restricted</t>
  </si>
  <si>
    <t>BTA-net assets, unrestricted</t>
  </si>
  <si>
    <t>BTA-change in net assets</t>
  </si>
  <si>
    <t>BTA-special items</t>
  </si>
  <si>
    <t>BTA-extraordinary items</t>
  </si>
  <si>
    <t>C-EF- Change in Net Assets - per exhibits</t>
  </si>
  <si>
    <t>Entity-Wide Buildings and Structures at Original Cost</t>
  </si>
  <si>
    <t>C-EF- Depreciation &amp; Amort Expense. Enter as positive.</t>
  </si>
  <si>
    <t>OPEB- Net OPEB obligation, ending</t>
  </si>
  <si>
    <t>OPEB- Annual OPEB cost(expense)</t>
  </si>
  <si>
    <t>OPEB- Total UAAL (unfunded actuarial accrued liability)</t>
  </si>
  <si>
    <t>OPEB- ARC (annual required contribution)</t>
  </si>
  <si>
    <t>OPEB- UAAL as % of covered payroll</t>
  </si>
  <si>
    <t>C-EF- Cash Flow from Operating Activities</t>
  </si>
  <si>
    <t>GA- Total Unrestricted Cash &amp; Investments (SNA)</t>
  </si>
  <si>
    <t>GA- Total Depreciable capital assets, gross (no non-depreciable CA)(Notes)</t>
  </si>
  <si>
    <t>GA- Unearned revenues- current portion only (SNA) Enter as positive.</t>
  </si>
  <si>
    <t>GA- Current liabilities (Inc. UR, LTD, ISF)(Ex. BANs, Comp Abs, Pension, OPEB, Payables from Rest. Assets)(SNA) Enter as positive.</t>
  </si>
  <si>
    <t>GA- Total LTD (ST &amp;LT, include BANs; No Comp Abs, Pension, OPEB)(Notes) Enter as positive.</t>
  </si>
  <si>
    <t>GA- Total liabilities (SNA). Enter as postive.</t>
  </si>
  <si>
    <t>GA- Total Charges for services (SOA)</t>
  </si>
  <si>
    <t>GA- Total Program revenues (positive only)(SOA)</t>
  </si>
  <si>
    <t>GA- Total General revenues (positive only; No transfers, special, extraordinary items)(SOA)</t>
  </si>
  <si>
    <t>GA- Total Net transfers in(out) (SOA)</t>
  </si>
  <si>
    <t>GA- Principal paid on LT Debt (Notes) Enter as positive.</t>
  </si>
  <si>
    <t>GA- Interest of LTD (SOA) Enter as positive.</t>
  </si>
  <si>
    <t>GF- Liabilities payable from restricted assets. Enter as positive.</t>
  </si>
  <si>
    <t>GF- Principal &amp; interest paid on LT debt (Exh. 4) Enter as positive.</t>
  </si>
  <si>
    <t>GF- Transfers out to Debt Service Fund (Enter as positive)</t>
  </si>
  <si>
    <t>Legal debt margin (amount cited in notes)</t>
  </si>
  <si>
    <t>GA- PPA &amp; restatements to Beg. Bal.</t>
  </si>
  <si>
    <t>GF- Total assets</t>
  </si>
  <si>
    <t>GF- Deferred rev NOT from cash. Enter as positive.</t>
  </si>
  <si>
    <t>GA- Total assets (SNA)</t>
  </si>
  <si>
    <t>GA- Transfers Out (SOA) Enter as positive.</t>
  </si>
  <si>
    <t>GA- Total Expenses (SOA) Enter as positive.</t>
  </si>
  <si>
    <t>BTA- extraordinary &amp; special items (SOA)</t>
  </si>
  <si>
    <t>GF- Liabilities (Excl deferred/unearned rev)(Inc Payables from restricted asets) Enter as positive.</t>
  </si>
  <si>
    <t>GF- Deferred/unearned rev from cash receipts (Notes) Enter as positive.</t>
  </si>
  <si>
    <t>Cash and Investment - Bond Proceeds - all Funds</t>
  </si>
  <si>
    <t>GF- Encumbrances in fund balance</t>
  </si>
  <si>
    <t>GF- Inventory/prepaids in fund balance</t>
  </si>
  <si>
    <t>GF- Total Fund Balance per report</t>
  </si>
  <si>
    <t xml:space="preserve">Retiree Premiums pd by unit
</t>
  </si>
  <si>
    <t xml:space="preserve">"OPEB 
1-implicit rate only  
2-no benefit 
3-benfit 
4- state health plan  "
</t>
  </si>
  <si>
    <t xml:space="preserve">The Unfunded actuarially accrued liability for the unit's LEO benefit.
</t>
  </si>
  <si>
    <t xml:space="preserve">Single Audit Only - total amount of federal awards and grants expended as found on SEFSA
</t>
  </si>
  <si>
    <t xml:space="preserve">Single Audit Only - Total amount of federal awards and grants that were audited as major as found on SEFSA
</t>
  </si>
  <si>
    <t xml:space="preserve">Single Audit Only - total amount of state awards and grants expended as found on SEFSA
</t>
  </si>
  <si>
    <t xml:space="preserve">Single Audit Only - Total amount of state awards and grants that were audited as major as found on SEFSA
</t>
  </si>
  <si>
    <t>Aeronautics Auth. of The City of Henderson</t>
  </si>
  <si>
    <t>Asheville Regional Airport</t>
  </si>
  <si>
    <t>Avery County Airport Authority</t>
  </si>
  <si>
    <t>Beaufort Morehead City Airport Authority</t>
  </si>
  <si>
    <t>Brunswick Co. Airport</t>
  </si>
  <si>
    <t>Burlington-Alamance Airport</t>
  </si>
  <si>
    <t>Dare Co. Airport</t>
  </si>
  <si>
    <t>Elizabeth City-Pasquotank Co. Airport</t>
  </si>
  <si>
    <t>Elizabethtown Airport Economic Development Comm.</t>
  </si>
  <si>
    <t>Foothills Regional Airport Authority</t>
  </si>
  <si>
    <t>Forsyth County Airport</t>
  </si>
  <si>
    <t>Halifax Northampton Regional Airport Authority</t>
  </si>
  <si>
    <t>Johnston County Airport</t>
  </si>
  <si>
    <t>Laurinburg-Maxton Airport Commission</t>
  </si>
  <si>
    <t>Lincoln County Airport Authority</t>
  </si>
  <si>
    <t>Lumberton Airport Commission</t>
  </si>
  <si>
    <t>Macon County Airport Authority</t>
  </si>
  <si>
    <t>Moore County Airport Authority</t>
  </si>
  <si>
    <t>Mount Airy-Surry Co. Airport Authority</t>
  </si>
  <si>
    <t>New Hanover County Airport Authority</t>
  </si>
  <si>
    <t>Piedmont Triad Airport Authority</t>
  </si>
  <si>
    <t>Pitt Co. Greenville Airport Authority</t>
  </si>
  <si>
    <t>Raleigh-Durham Airport Authority</t>
  </si>
  <si>
    <t>Rockingham County Airport Authority</t>
  </si>
  <si>
    <t>Rocky Mount-Wilson Airport Authority</t>
  </si>
  <si>
    <t>Sanford-Lee Co. Regional Airport Authority</t>
  </si>
  <si>
    <t>Tarboro-Edgecombe Airport</t>
  </si>
  <si>
    <t>Tri-County Airport Authority</t>
  </si>
  <si>
    <t>Combined Total of all Proprietary Funds - Change in Net Position</t>
  </si>
  <si>
    <t xml:space="preserve">Combined Totals of all Proprietary Funds - Depreciation &amp; Amortization Expense </t>
  </si>
  <si>
    <t>"Internal Control-
1) no IC issues 
2)Immaterial 
3) Unit letter for IC 
4) Unit visit for IC"</t>
  </si>
  <si>
    <t>Comb-Proprietary-Current Assets less restricted assets and deferred outflows</t>
  </si>
  <si>
    <t>Combined Totals of all Proprietary Funds - Total Current Liabilities  
Include:  current portions of long-term debt 
Exclude:  current portions of bond anticipation notes
                   pensions
                   other post-employment liabilities
                   payables from restricted assets
                   deferred inflows.</t>
  </si>
  <si>
    <r>
      <rPr>
        <u/>
        <sz val="11"/>
        <color indexed="8"/>
        <rFont val="Calibri"/>
        <family val="2"/>
      </rPr>
      <t xml:space="preserve">Record any </t>
    </r>
    <r>
      <rPr>
        <i/>
        <u/>
        <sz val="12"/>
        <color indexed="8"/>
        <rFont val="Calibri"/>
        <family val="2"/>
      </rPr>
      <t>negative</t>
    </r>
    <r>
      <rPr>
        <u/>
        <sz val="11"/>
        <color indexed="8"/>
        <rFont val="Calibri"/>
        <family val="2"/>
      </rPr>
      <t xml:space="preserve"> </t>
    </r>
    <r>
      <rPr>
        <u/>
        <sz val="11"/>
        <color indexed="8"/>
        <rFont val="Calibri"/>
        <family val="2"/>
      </rPr>
      <t>Internal balances on the net position statement</t>
    </r>
    <r>
      <rPr>
        <u/>
        <sz val="11"/>
        <color indexed="8"/>
        <rFont val="Calibri"/>
        <family val="2"/>
      </rPr>
      <t>s that appear in the Asset Section of the Net Position Statement.</t>
    </r>
    <r>
      <rPr>
        <sz val="11"/>
        <color theme="1"/>
        <rFont val="Calibri"/>
        <family val="2"/>
        <scheme val="minor"/>
      </rPr>
      <t xml:space="preserve">
</t>
    </r>
    <r>
      <rPr>
        <sz val="14"/>
        <color indexed="8"/>
        <rFont val="Calibri"/>
        <family val="2"/>
      </rPr>
      <t>enter as a positive</t>
    </r>
    <r>
      <rPr>
        <sz val="11"/>
        <color indexed="62"/>
        <rFont val="Calibri"/>
        <family val="2"/>
      </rPr>
      <t/>
    </r>
  </si>
  <si>
    <r>
      <rPr>
        <u/>
        <sz val="11"/>
        <color indexed="8"/>
        <rFont val="Calibri"/>
        <family val="2"/>
      </rPr>
      <t>Record any</t>
    </r>
    <r>
      <rPr>
        <i/>
        <u/>
        <sz val="12"/>
        <color indexed="8"/>
        <rFont val="Calibri"/>
        <family val="2"/>
      </rPr>
      <t xml:space="preserve"> </t>
    </r>
    <r>
      <rPr>
        <i/>
        <u/>
        <sz val="12"/>
        <color indexed="8"/>
        <rFont val="Calibri"/>
        <family val="2"/>
      </rPr>
      <t>positive</t>
    </r>
    <r>
      <rPr>
        <u/>
        <sz val="11"/>
        <color indexed="8"/>
        <rFont val="Calibri"/>
        <family val="2"/>
      </rPr>
      <t xml:space="preserve"> </t>
    </r>
    <r>
      <rPr>
        <u/>
        <sz val="11"/>
        <color indexed="8"/>
        <rFont val="Calibri"/>
        <family val="2"/>
      </rPr>
      <t>Internal balances on the net position statement</t>
    </r>
    <r>
      <rPr>
        <u/>
        <sz val="11"/>
        <color indexed="8"/>
        <rFont val="Calibri"/>
        <family val="2"/>
      </rPr>
      <t>s that appear in the Asset Section of the Net Position Statement</t>
    </r>
    <r>
      <rPr>
        <sz val="11"/>
        <color theme="1"/>
        <rFont val="Calibri"/>
        <family val="2"/>
        <scheme val="minor"/>
      </rPr>
      <t xml:space="preserve">
</t>
    </r>
    <r>
      <rPr>
        <sz val="14"/>
        <color indexed="8"/>
        <rFont val="Calibri"/>
        <family val="2"/>
      </rPr>
      <t>enter as a positive</t>
    </r>
    <r>
      <rPr>
        <sz val="11"/>
        <color indexed="62"/>
        <rFont val="Calibri"/>
        <family val="2"/>
      </rPr>
      <t/>
    </r>
  </si>
  <si>
    <t>Government Wide Statements - Statement of Activities  - Business-Type Activities Column</t>
  </si>
  <si>
    <t>Statement of activities - Business-Type</t>
  </si>
  <si>
    <t>Statement of Activities - Business Activities</t>
  </si>
  <si>
    <t>Reporting</t>
  </si>
  <si>
    <t>Total Expenses - Exclude Transfers</t>
  </si>
  <si>
    <t>Business Type - Change in Net Position</t>
  </si>
  <si>
    <t>Business Type - Total Expenses</t>
  </si>
  <si>
    <t xml:space="preserve">Reviewer if you need to change what the unit entered, do so directly in cell to the right.  Enter "1" to the right if the unit has defined benefit other than the ones adm.   Leave blank if the unit does not answer.
  </t>
  </si>
  <si>
    <t>If you have any questions please call 919-814-4299.</t>
  </si>
  <si>
    <t>County and Municipal Fiscal Analysis</t>
  </si>
  <si>
    <t>https://www.nctreasurer.com/slg/lfm/financial-analysis/Pages/Financial-Statistics-Tool.aspx</t>
  </si>
  <si>
    <t>https://www.nctreasurer.com/slg/lfm/financial-analysis/Pages/Analysis-by-Population.aspx</t>
  </si>
  <si>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Also, please note that all numbers on the financial statements will not be entered on this worksheet, as we are only requesting information used in the communications described above. </t>
  </si>
  <si>
    <r>
      <rPr>
        <u/>
        <sz val="11"/>
        <color indexed="8"/>
        <rFont val="Calibri"/>
        <family val="2"/>
      </rPr>
      <t>Current liabilities</t>
    </r>
    <r>
      <rPr>
        <sz val="11"/>
        <color theme="1"/>
        <rFont val="Calibri"/>
        <family val="2"/>
        <scheme val="minor"/>
      </rPr>
      <t xml:space="preserve">
</t>
    </r>
    <r>
      <rPr>
        <b/>
        <sz val="11"/>
        <color indexed="8"/>
        <rFont val="Calibri"/>
        <family val="2"/>
      </rPr>
      <t xml:space="preserve">Include:  </t>
    </r>
    <r>
      <rPr>
        <sz val="11"/>
        <color indexed="8"/>
        <rFont val="Calibri"/>
        <family val="2"/>
      </rPr>
      <t xml:space="preserve">Current liabilities and current portion of long-term debt. 
</t>
    </r>
    <r>
      <rPr>
        <b/>
        <sz val="11"/>
        <color indexed="8"/>
        <rFont val="Calibri"/>
        <family val="2"/>
      </rPr>
      <t xml:space="preserve">Exclude:   </t>
    </r>
    <r>
      <rPr>
        <sz val="11"/>
        <color indexed="8"/>
        <rFont val="Calibri"/>
        <family val="2"/>
      </rPr>
      <t>Bond Anticipation Notes
                  Compensated  Absences
                  Pension liabilities
                  Liabilities payable from restricted assets
                  Other post employment liabilities (OPEB)
                  Deferred inflows.</t>
    </r>
  </si>
  <si>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</si>
  <si>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r>
      <rPr>
        <u/>
        <sz val="11"/>
        <color indexed="8"/>
        <rFont val="Calibri"/>
        <family val="2"/>
      </rPr>
      <t>Combined Totals of all Proprietary Funds - Total Current Liabilities</t>
    </r>
    <r>
      <rPr>
        <sz val="11"/>
        <color theme="1"/>
        <rFont val="Calibri"/>
        <family val="2"/>
        <scheme val="minor"/>
      </rPr>
      <t xml:space="preserve">  
</t>
    </r>
    <r>
      <rPr>
        <b/>
        <sz val="11"/>
        <color indexed="8"/>
        <rFont val="Calibri"/>
        <family val="2"/>
      </rPr>
      <t>Include:</t>
    </r>
    <r>
      <rPr>
        <sz val="11"/>
        <color theme="1"/>
        <rFont val="Calibri"/>
        <family val="2"/>
        <scheme val="minor"/>
      </rPr>
      <t xml:space="preserve">  Current liabilities and current portion of long-term debt 
</t>
    </r>
    <r>
      <rPr>
        <b/>
        <sz val="11"/>
        <color indexed="8"/>
        <rFont val="Calibri"/>
        <family val="2"/>
      </rPr>
      <t>Exclude:</t>
    </r>
    <r>
      <rPr>
        <sz val="11"/>
        <color theme="1"/>
        <rFont val="Calibri"/>
        <family val="2"/>
        <scheme val="minor"/>
      </rPr>
      <t xml:space="preserve">   Bond anticipation notes
                   Compensated Absences
                   Pension liabilities
                   Liabilities payable from restricted assets
                   Other post employment liabilities (OPEB)
                   Deferred inflows</t>
    </r>
  </si>
  <si>
    <r>
      <rPr>
        <u/>
        <sz val="11"/>
        <color indexed="8"/>
        <rFont val="Calibri"/>
        <family val="2"/>
      </rPr>
      <t>Any adjustment to beginning fund balance including rounding, prior period adjustments and restatements.</t>
    </r>
    <r>
      <rPr>
        <sz val="11"/>
        <color theme="1"/>
        <rFont val="Calibri"/>
        <family val="2"/>
        <scheme val="minor"/>
      </rPr>
      <t xml:space="preserve">  </t>
    </r>
    <r>
      <rPr>
        <sz val="11"/>
        <color indexed="60"/>
        <rFont val="Calibri"/>
        <family val="2"/>
      </rPr>
      <t xml:space="preserve"> (Amounts that increase fund balance are recorded as positive and amounts that decrease fund balance are recorded as negative)</t>
    </r>
  </si>
  <si>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</si>
  <si>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</si>
  <si>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GF - Advance to</t>
  </si>
  <si>
    <t>Yes  or "1" indicates unit has defined benefit other than the ones adm. By the state</t>
  </si>
  <si>
    <t>reslib/item/north-carolina-water-and-wastewater-rates-dashboard#</t>
  </si>
  <si>
    <r>
      <t xml:space="preserve">Total change in Net Position - Business-Type
</t>
    </r>
    <r>
      <rPr>
        <sz val="11"/>
        <color indexed="60"/>
        <rFont val="Calibri"/>
        <family val="2"/>
      </rPr>
      <t>(Increases to net position are positive; decreases to net position are negative)</t>
    </r>
  </si>
  <si>
    <r>
      <t xml:space="preserve">The worksheet is organized based on how your audit report is laid out.  Titles on this worksheet appear in highlighted colors and correspond to various exhibits, statements, notes and schedules where the requested amounts should be found.  We have also provided the previous year of data in column E so that you can reference last years amounts to aid your completion of the worksheet. </t>
    </r>
    <r>
      <rPr>
        <b/>
        <sz val="12"/>
        <color indexed="8"/>
        <rFont val="Century Schoolbook"/>
        <family val="1"/>
      </rPr>
      <t xml:space="preserve"> Please enter All numbers as positive</t>
    </r>
    <r>
      <rPr>
        <sz val="12"/>
        <color indexed="8"/>
        <rFont val="Century Schoolbook"/>
        <family val="1"/>
      </rPr>
      <t xml:space="preserve"> unless specifically stated otherwise in the description of the amount requested.  </t>
    </r>
  </si>
  <si>
    <t>Davidson County Airport Authority</t>
  </si>
  <si>
    <t>OPEB
 Note or RSI</t>
  </si>
  <si>
    <t>Health benefits - total OPEB liability</t>
  </si>
  <si>
    <t>Health benefits- OPEB plan fiduciary net position</t>
  </si>
  <si>
    <t>OPEB
RSI</t>
  </si>
  <si>
    <t>Health benefits - What is the plan’s fiduciary net position as a percentage of the total OPEB liability?  Please enter as percentage value; for example, 83.5% should be entered as 83.5.  If assets have not been set aside in a trust, please enter 0.0</t>
  </si>
  <si>
    <t>Vision benefits - total OPEB liability</t>
  </si>
  <si>
    <t>Vision benefits - OPEB plan fiduciary net position</t>
  </si>
  <si>
    <t>Vision benefits - What is the plan’s fiduciary net position as a percentage of the total OPEB liability?  Please enter as percentage value; for example, 83.5% should be entered as 83.5.  If assets have not been set aside in a trust, please enter 0.0</t>
  </si>
  <si>
    <t>Dental benefits - total OPEB liability</t>
  </si>
  <si>
    <t>Dental benefits - OPEB plan fiduciary net position</t>
  </si>
  <si>
    <t>Dental benefits - What is the plan’s fiduciary net position as a percentage of the total OPEB liability?  Please enter as percentage value; for example, 83.5% should be entered as 83.5.  If assets have not been set aside in a trust, please enter 0.0</t>
  </si>
  <si>
    <t>Other benefits - total OPEB liability</t>
  </si>
  <si>
    <t>Other benefits - OPEB plan fiduciary net position</t>
  </si>
  <si>
    <t>Other benefits  - What is the plan’s fiduciary net position as a percentage of the total OPEB liability?  Please enter as percentage value; for example, 83.5% should be entered as 83.5.  If assets have not been set aside in a trust, please enter 0.0</t>
  </si>
  <si>
    <t>603</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</si>
  <si>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</si>
  <si>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</si>
  <si>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605</t>
  </si>
  <si>
    <t>Financial opinion - enter "1" for clean Opinion or "2" for other than clean opinion</t>
  </si>
  <si>
    <t>In your professional opinion do you believe the unit of government can best be served by:
100 - No UL
200 - UL with call
300 - UL call-investing
400 - UL visit
500 - SUL</t>
  </si>
  <si>
    <t>Debt Issued with next 12 months</t>
  </si>
  <si>
    <t>Do you expect to issue debt requiring LGC approval within 12 months from the date that the audit is submitted - select "1" for year and "2" for no</t>
  </si>
  <si>
    <t xml:space="preserve"> All unrestricted Cash and investments.  
Exclude: restricted cash 
                   cash held by a third party. </t>
  </si>
  <si>
    <t>Health benefits - plan's fiduciary net postion as a % of total OPEB liability</t>
  </si>
  <si>
    <t>Vision benefits - plan's fiduciary net postion as a % of total OPEB liability</t>
  </si>
  <si>
    <t>Dental benefits - plan's fiduciary net postion as a % of total OPEB liability</t>
  </si>
  <si>
    <t>Other benefits - plan's fiduciary net postion as a % of total OPEB liability</t>
  </si>
  <si>
    <t>Data Import 2018</t>
  </si>
  <si>
    <t>Compliance opinion - enter "1" for clean Opinion or "2" for other than clean opinion</t>
  </si>
  <si>
    <t>Health benefits - plan’s fiduciary net position as a percentage of the total OPEB liability </t>
  </si>
  <si>
    <t>Vision benefits -  plan’s fiduciary net position as a percentage of the total OPEB liability </t>
  </si>
  <si>
    <t>Dental benefits - plan’s fiduciary net position as a percentage of the total OPEB liability</t>
  </si>
  <si>
    <t>Other benefits  - plan’s fiduciary net position as a percentage of the total OPEB liability</t>
  </si>
  <si>
    <t xml:space="preserve">                -  </t>
  </si>
  <si>
    <t>Notes to the Financial Statements - Pension Note</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</si>
  <si>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</si>
  <si>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</si>
  <si>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See prior year's audited financial statements</t>
  </si>
  <si>
    <t>Review</t>
  </si>
  <si>
    <t>Please provide the name of any additional agencies included in the above net pension liability</t>
  </si>
  <si>
    <t>Not collected for Year 2018</t>
  </si>
  <si>
    <t>Net Pension Liability</t>
  </si>
  <si>
    <t>Unit was issued:
1) No UL
2) No UL but visit is needed
3) UL with response
4) SUL requiring written response
5) Communication to DPI</t>
  </si>
  <si>
    <t>Version Date 7/31/2019</t>
  </si>
  <si>
    <t>Financial opinion - enter "1" for Unmodified Opinion or "2" for other than unmodified opinion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</si>
</sst>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s>
  <fonts count="117"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u/>
      <sz val="11"/>
      <color indexed="8"/>
      <name val="Calibri"/>
      <family val="2"/>
    </font>
    <font>
      <sz val="11"/>
      <name val="Calibri"/>
      <family val="2"/>
    </font>
    <font>
      <b/>
      <sz val="11"/>
      <name val="Calibri"/>
      <family val="2"/>
    </font>
    <font>
      <sz val="11"/>
      <name val="Century Schoolbook"/>
      <family val="1"/>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name val="Century Schoolbook"/>
      <family val="1"/>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b/>
      <sz val="11"/>
      <color indexed="8"/>
      <name val="Century Schoolbook"/>
      <family val="1"/>
    </font>
    <font>
      <b/>
      <sz val="11"/>
      <name val="Century Schoolbook"/>
      <family val="1"/>
    </font>
    <font>
      <u/>
      <sz val="11"/>
      <name val="Calibri"/>
      <family val="2"/>
    </font>
    <font>
      <sz val="9"/>
      <name val="Century Schoolbook"/>
      <family val="1"/>
    </font>
    <font>
      <b/>
      <u/>
      <sz val="11"/>
      <color indexed="8"/>
      <name val="Calibri"/>
      <family val="2"/>
    </font>
    <font>
      <sz val="8"/>
      <name val="Arial"/>
    </font>
    <font>
      <sz val="10"/>
      <name val="Arial"/>
    </font>
    <font>
      <sz val="12"/>
      <name val="Garamond"/>
    </font>
    <font>
      <sz val="14"/>
      <color indexed="8"/>
      <name val="Calibri"/>
      <family val="2"/>
    </font>
    <font>
      <i/>
      <u/>
      <sz val="12"/>
      <color indexed="8"/>
      <name val="Calibri"/>
      <family val="2"/>
    </font>
    <font>
      <sz val="11"/>
      <color indexed="8"/>
      <name val="Century Schoolbook"/>
      <family val="2"/>
    </font>
    <font>
      <b/>
      <sz val="22"/>
      <color indexed="8"/>
      <name val="Calibri"/>
      <family val="2"/>
    </font>
    <font>
      <sz val="11"/>
      <color indexed="8"/>
      <name val="Calibri"/>
      <family val="2"/>
    </font>
    <font>
      <sz val="11"/>
      <color indexed="9"/>
      <name val="Calibri"/>
      <family val="2"/>
    </font>
    <font>
      <sz val="11"/>
      <color indexed="8"/>
      <name val="Century Schoolbook"/>
      <family val="2"/>
    </font>
    <font>
      <sz val="12"/>
      <color indexed="8"/>
      <name val="Calibri"/>
      <family val="2"/>
    </font>
    <font>
      <b/>
      <sz val="22"/>
      <color indexed="8"/>
      <name val="Calibri"/>
      <family val="2"/>
    </font>
    <font>
      <b/>
      <sz val="11"/>
      <color indexed="8"/>
      <name val="Calibri"/>
      <family val="2"/>
    </font>
    <font>
      <b/>
      <sz val="14"/>
      <color indexed="8"/>
      <name val="Calibri"/>
      <family val="2"/>
    </font>
    <font>
      <sz val="9"/>
      <color indexed="8"/>
      <name val="Calibri"/>
      <family val="2"/>
    </font>
    <font>
      <b/>
      <sz val="9"/>
      <color indexed="10"/>
      <name val="Calibri"/>
      <family val="2"/>
    </font>
    <font>
      <sz val="11"/>
      <color indexed="30"/>
      <name val="Calibri"/>
      <family val="2"/>
    </font>
    <font>
      <sz val="11"/>
      <color indexed="8"/>
      <name val="Century Schoolbook"/>
      <family val="1"/>
    </font>
    <font>
      <sz val="14"/>
      <color indexed="8"/>
      <name val="Calibri"/>
      <family val="2"/>
    </font>
    <font>
      <b/>
      <sz val="11"/>
      <color indexed="8"/>
      <name val="Century Schoolbook"/>
      <family val="1"/>
    </font>
    <font>
      <sz val="26"/>
      <color indexed="62"/>
      <name val="Cambria"/>
      <family val="1"/>
    </font>
    <font>
      <i/>
      <sz val="12"/>
      <color indexed="62"/>
      <name val="Cambria"/>
      <family val="1"/>
    </font>
    <font>
      <sz val="12"/>
      <color indexed="8"/>
      <name val="Century Schoolbook"/>
      <family val="1"/>
    </font>
    <font>
      <sz val="14"/>
      <name val="Calibri"/>
      <family val="2"/>
    </font>
    <font>
      <b/>
      <sz val="24"/>
      <color indexed="26"/>
      <name val="Century Schoolbook"/>
      <family val="1"/>
    </font>
    <font>
      <b/>
      <sz val="9"/>
      <color indexed="8"/>
      <name val="Calibri"/>
      <family val="2"/>
    </font>
    <font>
      <sz val="24"/>
      <color indexed="9"/>
      <name val="Century Schoolbook"/>
      <family val="1"/>
    </font>
    <font>
      <b/>
      <sz val="48"/>
      <color indexed="9"/>
      <name val="Century Schoolbook"/>
      <family val="1"/>
    </font>
    <font>
      <sz val="24"/>
      <color indexed="26"/>
      <name val="Century Schoolbook"/>
      <family val="1"/>
    </font>
    <font>
      <b/>
      <sz val="12"/>
      <color indexed="9"/>
      <name val="Calibri"/>
      <family val="2"/>
    </font>
    <font>
      <b/>
      <sz val="12"/>
      <color indexed="8"/>
      <name val="Calibri"/>
      <family val="2"/>
    </font>
    <font>
      <sz val="10"/>
      <color indexed="8"/>
      <name val="Calibri"/>
      <family val="2"/>
    </font>
    <font>
      <sz val="10"/>
      <color indexed="8"/>
      <name val="Century Schoolbook"/>
      <family val="1"/>
    </font>
    <font>
      <b/>
      <u/>
      <sz val="12"/>
      <color indexed="8"/>
      <name val="Times New Roman"/>
      <family val="1"/>
    </font>
    <font>
      <u/>
      <sz val="11"/>
      <color indexed="8"/>
      <name val="Calibri"/>
      <family val="2"/>
    </font>
    <font>
      <b/>
      <u/>
      <sz val="16"/>
      <color indexed="8"/>
      <name val="Times New Roman"/>
      <family val="1"/>
    </font>
    <font>
      <b/>
      <sz val="10"/>
      <color indexed="8"/>
      <name val="Times New Roman"/>
      <family val="1"/>
    </font>
    <font>
      <b/>
      <u/>
      <sz val="10"/>
      <color indexed="8"/>
      <name val="Times New Roman"/>
      <family val="1"/>
    </font>
    <font>
      <sz val="10"/>
      <color indexed="8"/>
      <name val="Times New Roman"/>
      <family val="1"/>
    </font>
    <font>
      <b/>
      <sz val="11"/>
      <color indexed="8"/>
      <name val="Wingdings"/>
      <charset val="2"/>
    </font>
    <font>
      <u/>
      <sz val="10"/>
      <color indexed="8"/>
      <name val="Times New Roman"/>
      <family val="1"/>
    </font>
    <font>
      <b/>
      <sz val="16"/>
      <color indexed="8"/>
      <name val="Calibri"/>
      <family val="2"/>
    </font>
    <font>
      <b/>
      <sz val="11"/>
      <color indexed="8"/>
      <name val="Garamond"/>
      <family val="1"/>
    </font>
    <font>
      <sz val="11"/>
      <color indexed="8"/>
      <name val="Calibri"/>
      <family val="2"/>
    </font>
    <font>
      <sz val="11"/>
      <name val="Calibri"/>
      <family val="2"/>
    </font>
    <font>
      <b/>
      <sz val="9"/>
      <color indexed="8"/>
      <name val="Century Schoolbook"/>
      <family val="1"/>
    </font>
    <font>
      <sz val="11"/>
      <color indexed="60"/>
      <name val="Calibri"/>
      <family val="2"/>
    </font>
    <font>
      <sz val="9"/>
      <color indexed="8"/>
      <name val="Century Schoolbook"/>
      <family val="1"/>
    </font>
    <font>
      <sz val="9"/>
      <name val="Calibri"/>
      <family val="2"/>
    </font>
    <font>
      <sz val="8"/>
      <color indexed="8"/>
      <name val="Calibri"/>
      <family val="2"/>
    </font>
    <font>
      <b/>
      <sz val="10"/>
      <color indexed="8"/>
      <name val="Calibri"/>
      <family val="2"/>
    </font>
    <font>
      <sz val="8"/>
      <color indexed="8"/>
      <name val="Century Schoolbook"/>
      <family val="1"/>
    </font>
    <font>
      <b/>
      <sz val="18"/>
      <color indexed="8"/>
      <name val="Calibri"/>
      <family val="2"/>
    </font>
    <font>
      <sz val="11"/>
      <color indexed="8"/>
      <name val="Calibri"/>
      <family val="2"/>
    </font>
    <font>
      <b/>
      <sz val="8"/>
      <color indexed="8"/>
      <name val="Calibri"/>
      <family val="2"/>
    </font>
    <font>
      <b/>
      <sz val="11"/>
      <name val="Calibri"/>
      <family val="2"/>
    </font>
    <font>
      <sz val="28"/>
      <color indexed="8"/>
      <name val="Calibri"/>
      <family val="2"/>
    </font>
    <font>
      <b/>
      <sz val="9"/>
      <name val="Calibri"/>
      <family val="2"/>
    </font>
    <font>
      <b/>
      <sz val="20"/>
      <color indexed="8"/>
      <name val="Calibri"/>
      <family val="2"/>
    </font>
    <font>
      <sz val="10"/>
      <color indexed="10"/>
      <name val="Calibri"/>
      <family val="2"/>
    </font>
    <font>
      <sz val="12"/>
      <color indexed="10"/>
      <name val="Calibri"/>
      <family val="2"/>
    </font>
    <font>
      <sz val="8"/>
      <name val="Calibri"/>
      <family val="2"/>
    </font>
    <font>
      <sz val="8"/>
      <color indexed="10"/>
      <name val="Calibri"/>
      <family val="2"/>
    </font>
    <font>
      <b/>
      <i/>
      <u/>
      <sz val="10"/>
      <color indexed="8"/>
      <name val="Times New Roman"/>
      <family val="1"/>
    </font>
    <font>
      <sz val="11"/>
      <color theme="1"/>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sz val="11"/>
      <color rgb="FFFF0000"/>
      <name val="Calibri"/>
      <family val="2"/>
      <scheme val="minor"/>
    </font>
    <font>
      <b/>
      <sz val="11"/>
      <color theme="1"/>
      <name val="Century Schoolbook"/>
      <family val="1"/>
    </font>
    <font>
      <sz val="10"/>
      <color theme="1"/>
      <name val="Century Schoolbook"/>
      <family val="1"/>
    </font>
    <font>
      <sz val="9"/>
      <color theme="1"/>
      <name val="Century Schoolbook"/>
      <family val="1"/>
    </font>
    <font>
      <sz val="9"/>
      <color theme="1"/>
      <name val="Calibri"/>
      <family val="2"/>
      <scheme val="minor"/>
    </font>
    <font>
      <sz val="11"/>
      <color theme="1"/>
      <name val="Century Schoolbook"/>
      <family val="1"/>
    </font>
    <font>
      <sz val="8"/>
      <color theme="1"/>
      <name val="Calibri"/>
      <family val="2"/>
      <scheme val="minor"/>
    </font>
  </fonts>
  <fills count="35">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bgColor indexed="64"/>
      </patternFill>
    </fill>
    <fill>
      <patternFill patternType="solid">
        <fgColor indexed="11"/>
        <bgColor indexed="64"/>
      </patternFill>
    </fill>
    <fill>
      <patternFill patternType="solid">
        <fgColor indexed="8"/>
        <bgColor indexed="64"/>
      </patternFill>
    </fill>
    <fill>
      <patternFill patternType="solid">
        <fgColor indexed="51"/>
        <bgColor indexed="64"/>
      </patternFill>
    </fill>
    <fill>
      <patternFill patternType="solid">
        <fgColor indexed="30"/>
        <bgColor indexed="64"/>
      </patternFill>
    </fill>
    <fill>
      <patternFill patternType="solid">
        <fgColor indexed="22"/>
        <bgColor indexed="64"/>
      </patternFill>
    </fill>
    <fill>
      <patternFill patternType="solid">
        <fgColor indexed="49"/>
        <bgColor indexed="64"/>
      </patternFill>
    </fill>
    <fill>
      <patternFill patternType="solid">
        <fgColor indexed="47"/>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31"/>
        <bgColor indexed="64"/>
      </patternFill>
    </fill>
    <fill>
      <patternFill patternType="solid">
        <fgColor theme="7" tint="0.79998168889431442"/>
        <bgColor indexed="64"/>
      </patternFill>
    </fill>
    <fill>
      <patternFill patternType="solid">
        <fgColor rgb="FFFFFFCC"/>
        <bgColor indexed="64"/>
      </patternFill>
    </fill>
    <fill>
      <patternFill patternType="solid">
        <fgColor rgb="FF33CCCC"/>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44"/>
      </left>
      <right style="thin">
        <color indexed="44"/>
      </right>
      <top style="thin">
        <color indexed="44"/>
      </top>
      <bottom style="thin">
        <color indexed="44"/>
      </bottom>
      <diagonal/>
    </border>
    <border>
      <left/>
      <right style="thin">
        <color indexed="44"/>
      </right>
      <top style="thin">
        <color indexed="44"/>
      </top>
      <bottom style="thin">
        <color indexed="44"/>
      </bottom>
      <diagonal/>
    </border>
    <border>
      <left/>
      <right style="thin">
        <color indexed="44"/>
      </right>
      <top/>
      <bottom style="thin">
        <color indexed="44"/>
      </bottom>
      <diagonal/>
    </border>
    <border>
      <left/>
      <right style="thin">
        <color indexed="64"/>
      </right>
      <top style="thin">
        <color indexed="64"/>
      </top>
      <bottom style="thin">
        <color indexed="64"/>
      </bottom>
      <diagonal/>
    </border>
    <border>
      <left style="thin">
        <color indexed="44"/>
      </left>
      <right/>
      <top style="thin">
        <color indexed="44"/>
      </top>
      <bottom/>
      <diagonal/>
    </border>
    <border>
      <left style="thin">
        <color indexed="44"/>
      </left>
      <right/>
      <top style="thin">
        <color indexed="44"/>
      </top>
      <bottom style="thin">
        <color indexed="44"/>
      </bottom>
      <diagonal/>
    </border>
    <border>
      <left style="thin">
        <color indexed="44"/>
      </left>
      <right/>
      <top/>
      <bottom style="thin">
        <color indexed="44"/>
      </bottom>
      <diagonal/>
    </border>
    <border>
      <left style="thin">
        <color indexed="44"/>
      </left>
      <right style="thin">
        <color indexed="44"/>
      </right>
      <top style="thin">
        <color indexed="44"/>
      </top>
      <bottom/>
      <diagonal/>
    </border>
    <border>
      <left style="thin">
        <color indexed="44"/>
      </left>
      <right style="thin">
        <color indexed="44"/>
      </right>
      <top/>
      <bottom style="thin">
        <color indexed="44"/>
      </bottom>
      <diagonal/>
    </border>
    <border>
      <left style="thin">
        <color indexed="64"/>
      </left>
      <right/>
      <top/>
      <bottom/>
      <diagonal/>
    </border>
    <border>
      <left style="thin">
        <color indexed="64"/>
      </left>
      <right style="thin">
        <color indexed="44"/>
      </right>
      <top style="thin">
        <color indexed="44"/>
      </top>
      <bottom style="thin">
        <color indexed="44"/>
      </bottom>
      <diagonal/>
    </border>
    <border>
      <left/>
      <right style="thin">
        <color indexed="44"/>
      </right>
      <top style="thin">
        <color indexed="44"/>
      </top>
      <bottom/>
      <diagonal/>
    </border>
    <border>
      <left/>
      <right/>
      <top style="thin">
        <color indexed="44"/>
      </top>
      <bottom style="thin">
        <color indexed="44"/>
      </bottom>
      <diagonal/>
    </border>
    <border>
      <left/>
      <right/>
      <top style="thin">
        <color indexed="44"/>
      </top>
      <bottom/>
      <diagonal/>
    </border>
    <border>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840">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15" borderId="1" applyNumberFormat="0" applyAlignment="0" applyProtection="0"/>
    <xf numFmtId="0" fontId="24" fillId="15" borderId="1" applyNumberFormat="0" applyAlignment="0" applyProtection="0"/>
    <xf numFmtId="0" fontId="15" fillId="7" borderId="2" applyNumberFormat="0" applyAlignment="0" applyProtection="0"/>
    <xf numFmtId="0" fontId="15" fillId="7" borderId="2" applyNumberFormat="0" applyAlignment="0" applyProtection="0"/>
    <xf numFmtId="43" fontId="46" fillId="0" borderId="0" applyFont="0" applyFill="0" applyBorder="0" applyAlignment="0" applyProtection="0"/>
    <xf numFmtId="43" fontId="48" fillId="0" borderId="0" applyFont="0" applyFill="0" applyBorder="0" applyAlignment="0" applyProtection="0"/>
    <xf numFmtId="43" fontId="104"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04" fillId="0" borderId="0" applyFont="0" applyFill="0" applyBorder="0" applyAlignment="0" applyProtection="0"/>
    <xf numFmtId="43" fontId="44" fillId="0" borderId="0" applyFont="0" applyFill="0" applyBorder="0" applyAlignment="0" applyProtection="0"/>
    <xf numFmtId="43" fontId="46" fillId="0" borderId="0" applyFont="0" applyFill="0" applyBorder="0" applyAlignment="0" applyProtection="0"/>
    <xf numFmtId="43" fontId="10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8" fillId="0" borderId="0" applyFont="0" applyFill="0" applyBorder="0" applyAlignment="0" applyProtection="0"/>
    <xf numFmtId="43" fontId="44" fillId="0" borderId="0" applyFont="0" applyFill="0" applyBorder="0" applyAlignment="0" applyProtection="0"/>
    <xf numFmtId="43" fontId="48" fillId="0" borderId="0" applyFont="0" applyFill="0" applyBorder="0" applyAlignment="0" applyProtection="0"/>
    <xf numFmtId="43" fontId="104"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104"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46" fillId="0" borderId="0" applyFont="0" applyFill="0" applyBorder="0" applyAlignment="0" applyProtection="0"/>
    <xf numFmtId="43" fontId="4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4" fontId="4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04" fillId="0" borderId="0" applyFont="0" applyFill="0" applyBorder="0" applyAlignment="0" applyProtection="0"/>
    <xf numFmtId="44" fontId="44" fillId="0" borderId="0" applyFont="0" applyFill="0" applyBorder="0" applyAlignment="0" applyProtection="0"/>
    <xf numFmtId="44" fontId="46" fillId="0" borderId="0" applyFont="0" applyFill="0" applyBorder="0" applyAlignment="0" applyProtection="0"/>
    <xf numFmtId="44" fontId="10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44" fontId="46" fillId="0" borderId="0" applyFont="0" applyFill="0" applyBorder="0" applyAlignment="0" applyProtection="0"/>
    <xf numFmtId="44" fontId="103" fillId="0" borderId="0" applyFont="0" applyFill="0" applyBorder="0" applyAlignment="0" applyProtection="0"/>
    <xf numFmtId="44" fontId="46" fillId="0" borderId="0" applyFont="0" applyFill="0" applyBorder="0" applyAlignment="0" applyProtection="0"/>
    <xf numFmtId="44" fontId="103" fillId="0" borderId="0" applyFont="0" applyFill="0" applyBorder="0" applyAlignment="0" applyProtection="0"/>
    <xf numFmtId="44" fontId="46" fillId="0" borderId="0" applyFont="0" applyFill="0" applyBorder="0" applyAlignment="0" applyProtection="0"/>
    <xf numFmtId="44" fontId="103" fillId="0" borderId="0" applyFont="0" applyFill="0" applyBorder="0" applyAlignment="0" applyProtection="0"/>
    <xf numFmtId="44" fontId="46" fillId="0" borderId="0" applyFont="0" applyFill="0" applyBorder="0" applyAlignment="0" applyProtection="0"/>
    <xf numFmtId="44" fontId="103" fillId="0" borderId="0" applyFont="0" applyFill="0" applyBorder="0" applyAlignment="0" applyProtection="0"/>
    <xf numFmtId="44" fontId="46" fillId="0" borderId="0" applyFont="0" applyFill="0" applyBorder="0" applyAlignment="0" applyProtection="0"/>
    <xf numFmtId="44" fontId="103" fillId="0" borderId="0" applyFont="0" applyFill="0" applyBorder="0" applyAlignment="0" applyProtection="0"/>
    <xf numFmtId="44" fontId="46"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 fillId="12" borderId="1" applyNumberFormat="0" applyAlignment="0" applyProtection="0"/>
    <xf numFmtId="0" fontId="8" fillId="12" borderId="1" applyNumberFormat="0" applyAlignment="0" applyProtection="0"/>
    <xf numFmtId="0" fontId="25" fillId="0" borderId="6" applyNumberFormat="0" applyFill="0" applyAlignment="0" applyProtection="0"/>
    <xf numFmtId="0" fontId="25" fillId="0" borderId="6" applyNumberFormat="0" applyFill="0" applyAlignment="0" applyProtection="0"/>
    <xf numFmtId="0" fontId="9" fillId="19" borderId="0" applyNumberFormat="0" applyBorder="0" applyAlignment="0" applyProtection="0"/>
    <xf numFmtId="0" fontId="9" fillId="19" borderId="0" applyNumberFormat="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4"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4" fillId="0" borderId="0"/>
    <xf numFmtId="0" fontId="104" fillId="0" borderId="0"/>
    <xf numFmtId="0" fontId="103" fillId="0" borderId="0"/>
    <xf numFmtId="0" fontId="18"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4" fillId="0" borderId="0"/>
    <xf numFmtId="0" fontId="107"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8" fillId="0" borderId="0"/>
    <xf numFmtId="0" fontId="26" fillId="0" borderId="0"/>
    <xf numFmtId="0" fontId="27" fillId="0" borderId="0"/>
    <xf numFmtId="0" fontId="26" fillId="0" borderId="0"/>
    <xf numFmtId="0" fontId="26" fillId="0" borderId="0"/>
    <xf numFmtId="0" fontId="39" fillId="0" borderId="0"/>
    <xf numFmtId="0" fontId="26" fillId="0" borderId="0"/>
    <xf numFmtId="0" fontId="39" fillId="0" borderId="0"/>
    <xf numFmtId="0" fontId="26" fillId="0" borderId="0"/>
    <xf numFmtId="0" fontId="26" fillId="0" borderId="0"/>
    <xf numFmtId="0" fontId="26" fillId="0" borderId="0"/>
    <xf numFmtId="0" fontId="26" fillId="0" borderId="0"/>
    <xf numFmtId="0" fontId="39" fillId="0" borderId="0"/>
    <xf numFmtId="0" fontId="26" fillId="0" borderId="0"/>
    <xf numFmtId="0" fontId="39" fillId="0" borderId="0"/>
    <xf numFmtId="0" fontId="26" fillId="0" borderId="0"/>
    <xf numFmtId="0" fontId="26" fillId="0" borderId="0"/>
    <xf numFmtId="0" fontId="39" fillId="0" borderId="0"/>
    <xf numFmtId="0" fontId="26" fillId="0" borderId="0"/>
    <xf numFmtId="0" fontId="26" fillId="0" borderId="0"/>
    <xf numFmtId="0" fontId="39" fillId="0" borderId="0"/>
    <xf numFmtId="0" fontId="26" fillId="0" borderId="0"/>
    <xf numFmtId="0" fontId="26" fillId="0" borderId="0"/>
    <xf numFmtId="0" fontId="39" fillId="0" borderId="0"/>
    <xf numFmtId="0" fontId="26" fillId="0" borderId="0"/>
    <xf numFmtId="0" fontId="39" fillId="0" borderId="0"/>
    <xf numFmtId="0" fontId="26" fillId="0" borderId="0"/>
    <xf numFmtId="0" fontId="26" fillId="0" borderId="0"/>
    <xf numFmtId="0" fontId="26" fillId="0" borderId="0"/>
    <xf numFmtId="0" fontId="39" fillId="0" borderId="0"/>
    <xf numFmtId="0" fontId="26" fillId="0" borderId="0"/>
    <xf numFmtId="0" fontId="39" fillId="0" borderId="0"/>
    <xf numFmtId="0" fontId="26" fillId="0" borderId="0"/>
    <xf numFmtId="0" fontId="10"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7" fillId="0" borderId="0"/>
    <xf numFmtId="0" fontId="26"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6" fillId="0" borderId="0"/>
    <xf numFmtId="0" fontId="27" fillId="0" borderId="0"/>
    <xf numFmtId="0" fontId="33" fillId="0" borderId="0"/>
    <xf numFmtId="0" fontId="18" fillId="0" borderId="0"/>
    <xf numFmtId="0" fontId="40" fillId="0" borderId="0"/>
    <xf numFmtId="0" fontId="18"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27" fillId="0" borderId="0"/>
    <xf numFmtId="0" fontId="26" fillId="0" borderId="0"/>
    <xf numFmtId="0" fontId="40" fillId="0" borderId="0"/>
    <xf numFmtId="0" fontId="18"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40" fillId="0" borderId="0"/>
    <xf numFmtId="0" fontId="18" fillId="0" borderId="0"/>
    <xf numFmtId="0" fontId="26" fillId="0" borderId="0"/>
    <xf numFmtId="0" fontId="18" fillId="0" borderId="0"/>
    <xf numFmtId="0" fontId="18" fillId="0" borderId="0"/>
    <xf numFmtId="0" fontId="40" fillId="0" borderId="0"/>
    <xf numFmtId="0" fontId="18" fillId="0" borderId="0"/>
    <xf numFmtId="0" fontId="40" fillId="0" borderId="0"/>
    <xf numFmtId="0" fontId="18" fillId="0" borderId="0"/>
    <xf numFmtId="0" fontId="39" fillId="0" borderId="0"/>
    <xf numFmtId="0" fontId="26" fillId="0" borderId="0"/>
    <xf numFmtId="0" fontId="39" fillId="0" borderId="0"/>
    <xf numFmtId="0" fontId="26" fillId="0" borderId="0"/>
    <xf numFmtId="0" fontId="26" fillId="0" borderId="0"/>
    <xf numFmtId="0" fontId="26" fillId="0" borderId="0"/>
    <xf numFmtId="0" fontId="26" fillId="0" borderId="0"/>
    <xf numFmtId="0" fontId="39" fillId="0" borderId="0"/>
    <xf numFmtId="0" fontId="26" fillId="0" borderId="0"/>
    <xf numFmtId="0" fontId="39" fillId="0" borderId="0"/>
    <xf numFmtId="0" fontId="26" fillId="0" borderId="0"/>
    <xf numFmtId="0" fontId="26" fillId="0" borderId="0"/>
    <xf numFmtId="0" fontId="39" fillId="0" borderId="0"/>
    <xf numFmtId="0" fontId="26" fillId="0" borderId="0"/>
    <xf numFmtId="0" fontId="26" fillId="0" borderId="0"/>
    <xf numFmtId="0" fontId="39" fillId="0" borderId="0"/>
    <xf numFmtId="0" fontId="26" fillId="0" borderId="0"/>
    <xf numFmtId="0" fontId="26" fillId="0" borderId="0"/>
    <xf numFmtId="0" fontId="39" fillId="0" borderId="0"/>
    <xf numFmtId="0" fontId="26" fillId="0" borderId="0"/>
    <xf numFmtId="0" fontId="39" fillId="0" borderId="0"/>
    <xf numFmtId="0" fontId="26" fillId="0" borderId="0"/>
    <xf numFmtId="0" fontId="26" fillId="0" borderId="0"/>
    <xf numFmtId="0" fontId="26" fillId="0" borderId="0"/>
    <xf numFmtId="0" fontId="26" fillId="0" borderId="0"/>
    <xf numFmtId="0" fontId="39" fillId="0" borderId="0"/>
    <xf numFmtId="0" fontId="26" fillId="0" borderId="0"/>
    <xf numFmtId="0" fontId="103" fillId="0" borderId="0"/>
    <xf numFmtId="0" fontId="39" fillId="0" borderId="0"/>
    <xf numFmtId="0" fontId="40" fillId="0" borderId="0"/>
    <xf numFmtId="0" fontId="18" fillId="0" borderId="0"/>
    <xf numFmtId="0" fontId="39" fillId="0" borderId="0"/>
    <xf numFmtId="0" fontId="26" fillId="0" borderId="0"/>
    <xf numFmtId="0" fontId="26" fillId="0" borderId="0"/>
    <xf numFmtId="0" fontId="103" fillId="0" borderId="0"/>
    <xf numFmtId="0" fontId="26" fillId="0" borderId="0"/>
    <xf numFmtId="0" fontId="103" fillId="0" borderId="0"/>
    <xf numFmtId="0" fontId="103" fillId="0" borderId="0"/>
    <xf numFmtId="0" fontId="103" fillId="0" borderId="0"/>
    <xf numFmtId="0" fontId="39" fillId="0" borderId="0"/>
    <xf numFmtId="0" fontId="26" fillId="0" borderId="0"/>
    <xf numFmtId="0" fontId="103" fillId="0" borderId="0"/>
    <xf numFmtId="0" fontId="103" fillId="0" borderId="0"/>
    <xf numFmtId="0" fontId="103" fillId="0" borderId="0"/>
    <xf numFmtId="0" fontId="103" fillId="0" borderId="0"/>
    <xf numFmtId="0" fontId="103" fillId="0" borderId="0"/>
    <xf numFmtId="0" fontId="26" fillId="0" borderId="0"/>
    <xf numFmtId="0" fontId="18" fillId="0" borderId="0"/>
    <xf numFmtId="0" fontId="31" fillId="0" borderId="0"/>
    <xf numFmtId="0" fontId="30" fillId="0" borderId="0"/>
    <xf numFmtId="0" fontId="30" fillId="0" borderId="0"/>
    <xf numFmtId="0" fontId="40" fillId="0" borderId="0"/>
    <xf numFmtId="0" fontId="18" fillId="0" borderId="0"/>
    <xf numFmtId="0" fontId="33" fillId="0" borderId="0"/>
    <xf numFmtId="0" fontId="18" fillId="0" borderId="0"/>
    <xf numFmtId="0" fontId="40" fillId="0" borderId="0"/>
    <xf numFmtId="0" fontId="18"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18" fillId="0" borderId="0"/>
    <xf numFmtId="0" fontId="40"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40" fillId="0" borderId="0"/>
    <xf numFmtId="0" fontId="40" fillId="0" borderId="0"/>
    <xf numFmtId="0" fontId="18" fillId="0" borderId="0"/>
    <xf numFmtId="0" fontId="26" fillId="0" borderId="0"/>
    <xf numFmtId="0" fontId="40" fillId="0" borderId="0"/>
    <xf numFmtId="0" fontId="18" fillId="0" borderId="0"/>
    <xf numFmtId="0" fontId="30" fillId="0" borderId="0"/>
    <xf numFmtId="0" fontId="103" fillId="0" borderId="0"/>
    <xf numFmtId="0" fontId="103" fillId="0" borderId="0"/>
    <xf numFmtId="0" fontId="103" fillId="0" borderId="0"/>
    <xf numFmtId="0" fontId="103" fillId="0" borderId="0"/>
    <xf numFmtId="0" fontId="31" fillId="0" borderId="0"/>
    <xf numFmtId="0" fontId="30" fillId="0" borderId="0"/>
    <xf numFmtId="0" fontId="41" fillId="0" borderId="0"/>
    <xf numFmtId="0" fontId="30" fillId="0" borderId="0"/>
    <xf numFmtId="0" fontId="30" fillId="0" borderId="0"/>
    <xf numFmtId="0" fontId="30" fillId="0" borderId="0"/>
    <xf numFmtId="0" fontId="30" fillId="0" borderId="0"/>
    <xf numFmtId="0" fontId="41" fillId="0" borderId="0"/>
    <xf numFmtId="0" fontId="30" fillId="0" borderId="0"/>
    <xf numFmtId="0" fontId="41" fillId="0" borderId="0"/>
    <xf numFmtId="0" fontId="30" fillId="0" borderId="0"/>
    <xf numFmtId="0" fontId="30" fillId="0" borderId="0"/>
    <xf numFmtId="0" fontId="41" fillId="0" borderId="0"/>
    <xf numFmtId="0" fontId="30" fillId="0" borderId="0"/>
    <xf numFmtId="0" fontId="30" fillId="0" borderId="0"/>
    <xf numFmtId="0" fontId="41" fillId="0" borderId="0"/>
    <xf numFmtId="0" fontId="30" fillId="0" borderId="0"/>
    <xf numFmtId="0" fontId="30" fillId="0" borderId="0"/>
    <xf numFmtId="0" fontId="41" fillId="0" borderId="0"/>
    <xf numFmtId="0" fontId="30" fillId="0" borderId="0"/>
    <xf numFmtId="0" fontId="41" fillId="0" borderId="0"/>
    <xf numFmtId="0" fontId="30"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30" fillId="0" borderId="0"/>
    <xf numFmtId="0" fontId="30" fillId="0" borderId="0"/>
    <xf numFmtId="0" fontId="41" fillId="0" borderId="0"/>
    <xf numFmtId="0" fontId="30" fillId="0" borderId="0"/>
    <xf numFmtId="0" fontId="103" fillId="0" borderId="0"/>
    <xf numFmtId="0" fontId="41" fillId="0" borderId="0"/>
    <xf numFmtId="0" fontId="30" fillId="0" borderId="0"/>
    <xf numFmtId="0" fontId="30" fillId="0" borderId="0"/>
    <xf numFmtId="0" fontId="30" fillId="0" borderId="0"/>
    <xf numFmtId="0" fontId="103" fillId="0" borderId="0"/>
    <xf numFmtId="0" fontId="103" fillId="0" borderId="0"/>
    <xf numFmtId="0" fontId="103" fillId="0" borderId="0"/>
    <xf numFmtId="0" fontId="41" fillId="0" borderId="0"/>
    <xf numFmtId="0" fontId="103" fillId="0" borderId="0"/>
    <xf numFmtId="0" fontId="103" fillId="0" borderId="0"/>
    <xf numFmtId="0" fontId="103" fillId="0" borderId="0"/>
    <xf numFmtId="0" fontId="103" fillId="0" borderId="0"/>
    <xf numFmtId="0" fontId="103" fillId="0" borderId="0"/>
    <xf numFmtId="0" fontId="30" fillId="0" borderId="0"/>
    <xf numFmtId="0" fontId="103" fillId="0" borderId="0"/>
    <xf numFmtId="0" fontId="103" fillId="0" borderId="0"/>
    <xf numFmtId="0" fontId="103" fillId="0" borderId="0"/>
    <xf numFmtId="0" fontId="104" fillId="0" borderId="0"/>
    <xf numFmtId="0" fontId="104" fillId="0" borderId="0"/>
    <xf numFmtId="0" fontId="104" fillId="0" borderId="0"/>
    <xf numFmtId="0" fontId="103" fillId="0" borderId="0"/>
    <xf numFmtId="3" fontId="10" fillId="0" borderId="0"/>
    <xf numFmtId="0" fontId="18" fillId="5" borderId="7" applyNumberFormat="0" applyFont="0" applyAlignment="0" applyProtection="0"/>
    <xf numFmtId="0" fontId="18" fillId="5" borderId="7" applyNumberFormat="0" applyFont="0" applyAlignment="0" applyProtection="0"/>
    <xf numFmtId="0" fontId="17" fillId="15" borderId="8" applyNumberFormat="0" applyAlignment="0" applyProtection="0"/>
    <xf numFmtId="0" fontId="17" fillId="15" borderId="8" applyNumberFormat="0" applyAlignment="0" applyProtection="0"/>
    <xf numFmtId="9" fontId="31" fillId="0" borderId="0" applyFont="0" applyFill="0" applyBorder="0" applyAlignment="0" applyProtection="0"/>
    <xf numFmtId="9" fontId="30" fillId="0" borderId="0" applyFont="0" applyFill="0" applyBorder="0" applyAlignment="0" applyProtection="0"/>
    <xf numFmtId="9" fontId="48" fillId="0" borderId="0" applyFont="0" applyFill="0" applyBorder="0" applyAlignment="0" applyProtection="0"/>
    <xf numFmtId="9" fontId="104" fillId="0" borderId="0" applyFont="0" applyFill="0" applyBorder="0" applyAlignment="0" applyProtection="0"/>
    <xf numFmtId="0" fontId="19" fillId="0" borderId="0" applyNumberFormat="0" applyFill="0" applyBorder="0" applyAlignment="0" applyProtection="0"/>
    <xf numFmtId="0" fontId="50" fillId="32" borderId="0" applyFont="0" applyBorder="0" applyAlignment="0">
      <alignment horizontal="center" wrapText="1"/>
    </xf>
    <xf numFmtId="0" fontId="50" fillId="32" borderId="0" applyFont="0" applyBorder="0" applyAlignment="0">
      <alignment horizontal="center" wrapText="1"/>
    </xf>
    <xf numFmtId="0" fontId="108" fillId="32" borderId="0" applyFont="0" applyBorder="0" applyAlignment="0">
      <alignment horizontal="center" wrapText="1"/>
    </xf>
    <xf numFmtId="0" fontId="45" fillId="32" borderId="0" applyFont="0" applyBorder="0" applyAlignment="0">
      <alignment horizontal="center" wrapText="1"/>
    </xf>
    <xf numFmtId="0" fontId="108" fillId="32"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400">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0" fillId="0" borderId="0" xfId="0" applyFill="1" applyAlignment="1" applyProtection="1">
      <alignment wrapText="1"/>
    </xf>
    <xf numFmtId="0" fontId="52" fillId="20" borderId="10" xfId="0" applyFont="1" applyFill="1" applyBorder="1" applyAlignment="1" applyProtection="1">
      <alignment horizontal="center" wrapText="1"/>
    </xf>
    <xf numFmtId="41" fontId="53" fillId="0" borderId="0" xfId="0" applyNumberFormat="1" applyFont="1" applyFill="1" applyAlignment="1" applyProtection="1">
      <alignment wrapText="1"/>
    </xf>
    <xf numFmtId="41" fontId="54" fillId="0" borderId="0" xfId="0" applyNumberFormat="1" applyFont="1" applyFill="1" applyAlignment="1" applyProtection="1">
      <alignment wrapText="1"/>
    </xf>
    <xf numFmtId="41" fontId="53" fillId="0" borderId="0" xfId="319" applyNumberFormat="1" applyFont="1" applyFill="1" applyAlignment="1" applyProtection="1">
      <alignment wrapText="1"/>
    </xf>
    <xf numFmtId="41" fontId="53" fillId="0" borderId="0" xfId="0" applyNumberFormat="1" applyFont="1" applyAlignment="1" applyProtection="1">
      <alignment wrapText="1"/>
    </xf>
    <xf numFmtId="41" fontId="53" fillId="20" borderId="11" xfId="0" applyNumberFormat="1" applyFont="1" applyFill="1" applyBorder="1" applyAlignment="1" applyProtection="1">
      <alignment wrapText="1"/>
    </xf>
    <xf numFmtId="41" fontId="53" fillId="20" borderId="12" xfId="0" applyNumberFormat="1" applyFont="1" applyFill="1" applyBorder="1" applyAlignment="1" applyProtection="1">
      <alignment wrapText="1"/>
    </xf>
    <xf numFmtId="164" fontId="52" fillId="20" borderId="12" xfId="319" applyNumberFormat="1" applyFont="1" applyFill="1" applyBorder="1" applyAlignment="1" applyProtection="1">
      <alignment horizontal="center" wrapText="1"/>
    </xf>
    <xf numFmtId="0" fontId="0" fillId="20" borderId="0" xfId="0" applyFill="1" applyAlignment="1" applyProtection="1">
      <alignment wrapText="1"/>
    </xf>
    <xf numFmtId="0" fontId="0" fillId="0" borderId="0" xfId="0" applyAlignment="1" applyProtection="1">
      <alignment wrapText="1"/>
      <protection locked="0"/>
    </xf>
    <xf numFmtId="0" fontId="55" fillId="0" borderId="0" xfId="0" applyFont="1" applyProtection="1"/>
    <xf numFmtId="0" fontId="50" fillId="0" borderId="0" xfId="0" applyFont="1" applyFill="1" applyBorder="1" applyAlignment="1" applyProtection="1">
      <alignment horizontal="center"/>
    </xf>
    <xf numFmtId="0" fontId="0" fillId="0" borderId="0" xfId="0" applyFill="1" applyAlignment="1" applyProtection="1">
      <alignment wrapText="1"/>
      <protection locked="0"/>
    </xf>
    <xf numFmtId="0" fontId="56" fillId="20" borderId="10" xfId="0" applyFont="1" applyFill="1" applyBorder="1" applyAlignment="1" applyProtection="1">
      <alignment horizontal="center" vertical="center" wrapText="1"/>
    </xf>
    <xf numFmtId="0" fontId="56" fillId="0" borderId="0" xfId="0" applyFont="1" applyFill="1" applyAlignment="1" applyProtection="1">
      <alignment horizontal="center" vertical="center"/>
    </xf>
    <xf numFmtId="0" fontId="56" fillId="0" borderId="0" xfId="0" applyFont="1" applyAlignment="1" applyProtection="1">
      <alignment horizontal="center" vertical="center"/>
    </xf>
    <xf numFmtId="0" fontId="56" fillId="20" borderId="13"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Alignment="1" applyProtection="1">
      <alignment vertical="center"/>
    </xf>
    <xf numFmtId="0" fontId="57" fillId="20" borderId="0" xfId="0" applyFont="1" applyFill="1" applyBorder="1" applyProtection="1"/>
    <xf numFmtId="0" fontId="56" fillId="20" borderId="14"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0" fillId="0" borderId="0" xfId="0" applyAlignment="1" applyProtection="1">
      <alignment vertical="center"/>
      <protection locked="0"/>
    </xf>
    <xf numFmtId="0" fontId="0" fillId="0" borderId="0" xfId="0" applyProtection="1">
      <protection locked="0"/>
    </xf>
    <xf numFmtId="0" fontId="56" fillId="20" borderId="0" xfId="0" applyFont="1" applyFill="1" applyBorder="1" applyAlignment="1" applyProtection="1">
      <alignment horizontal="center" vertical="center" wrapText="1"/>
    </xf>
    <xf numFmtId="0" fontId="52" fillId="20" borderId="0" xfId="0" applyFont="1" applyFill="1" applyBorder="1" applyAlignment="1" applyProtection="1">
      <alignment horizontal="center" wrapText="1"/>
    </xf>
    <xf numFmtId="0" fontId="59" fillId="0" borderId="0" xfId="0" applyFont="1" applyAlignment="1">
      <alignment vertical="center"/>
    </xf>
    <xf numFmtId="0" fontId="60" fillId="0" borderId="0" xfId="0" applyFont="1" applyAlignment="1">
      <alignment vertical="center"/>
    </xf>
    <xf numFmtId="0" fontId="61" fillId="0" borderId="0" xfId="0" applyFont="1" applyAlignment="1">
      <alignment horizontal="justify" vertical="center"/>
    </xf>
    <xf numFmtId="0" fontId="56" fillId="0" borderId="0" xfId="0" applyFont="1" applyAlignment="1">
      <alignment horizontal="justify" vertical="center"/>
    </xf>
    <xf numFmtId="0" fontId="56" fillId="0" borderId="0" xfId="0" applyFont="1" applyAlignment="1">
      <alignment vertical="center"/>
    </xf>
    <xf numFmtId="0" fontId="105" fillId="0" borderId="0" xfId="431" applyAlignment="1">
      <alignment vertical="center"/>
    </xf>
    <xf numFmtId="0" fontId="61" fillId="0" borderId="0" xfId="0" applyFont="1" applyAlignment="1">
      <alignment vertical="center"/>
    </xf>
    <xf numFmtId="0" fontId="0" fillId="21" borderId="0" xfId="0" applyFill="1" applyProtection="1"/>
    <xf numFmtId="40" fontId="62" fillId="20" borderId="15" xfId="0" applyNumberFormat="1" applyFont="1" applyFill="1" applyBorder="1" applyProtection="1"/>
    <xf numFmtId="0" fontId="58" fillId="0" borderId="0" xfId="0" applyFont="1" applyFill="1" applyAlignment="1" applyProtection="1">
      <alignment horizontal="center" vertical="center"/>
    </xf>
    <xf numFmtId="0" fontId="63" fillId="22" borderId="0" xfId="0" applyFont="1" applyFill="1" applyAlignment="1" applyProtection="1">
      <alignment horizontal="left" vertical="center"/>
    </xf>
    <xf numFmtId="0" fontId="64" fillId="23" borderId="10" xfId="0" applyFont="1" applyFill="1" applyBorder="1" applyAlignment="1" applyProtection="1">
      <alignment horizontal="center" wrapText="1"/>
    </xf>
    <xf numFmtId="0" fontId="53" fillId="21" borderId="0" xfId="0" applyFont="1" applyFill="1" applyAlignment="1" applyProtection="1">
      <alignment horizontal="left" wrapText="1"/>
    </xf>
    <xf numFmtId="0" fontId="53" fillId="0" borderId="0" xfId="0" applyFont="1" applyAlignment="1" applyProtection="1">
      <alignment horizontal="left" wrapText="1"/>
    </xf>
    <xf numFmtId="0" fontId="53" fillId="0" borderId="0" xfId="0" applyFont="1" applyAlignment="1" applyProtection="1">
      <alignment horizontal="left" vertical="center" wrapText="1"/>
    </xf>
    <xf numFmtId="0" fontId="53" fillId="23" borderId="0" xfId="0" applyFont="1" applyFill="1" applyBorder="1" applyAlignment="1" applyProtection="1">
      <alignment horizontal="left" wrapText="1"/>
    </xf>
    <xf numFmtId="0" fontId="51" fillId="0" borderId="0" xfId="0" applyFont="1" applyAlignment="1" applyProtection="1">
      <alignment horizontal="center"/>
    </xf>
    <xf numFmtId="0" fontId="65" fillId="22" borderId="0" xfId="0" applyFont="1" applyFill="1" applyAlignment="1" applyProtection="1">
      <alignment vertical="center"/>
    </xf>
    <xf numFmtId="0" fontId="66" fillId="22" borderId="0" xfId="0" applyFont="1" applyFill="1" applyAlignment="1" applyProtection="1">
      <alignment vertical="center"/>
    </xf>
    <xf numFmtId="167" fontId="51" fillId="21" borderId="0" xfId="385" applyNumberFormat="1" applyFont="1" applyFill="1" applyProtection="1"/>
    <xf numFmtId="0" fontId="67" fillId="22" borderId="0" xfId="0" applyFont="1" applyFill="1" applyAlignment="1" applyProtection="1">
      <alignment vertical="center"/>
      <protection locked="0"/>
    </xf>
    <xf numFmtId="0" fontId="0" fillId="20"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68" fillId="24" borderId="0" xfId="0" applyFont="1" applyFill="1" applyAlignment="1" applyProtection="1">
      <alignment horizontal="center" wrapText="1"/>
    </xf>
    <xf numFmtId="0" fontId="69" fillId="20" borderId="10" xfId="0" applyFont="1" applyFill="1" applyBorder="1" applyAlignment="1" applyProtection="1">
      <alignment horizontal="center" wrapText="1"/>
    </xf>
    <xf numFmtId="0" fontId="69" fillId="20" borderId="0" xfId="0" applyFont="1" applyFill="1" applyBorder="1" applyAlignment="1" applyProtection="1">
      <alignment horizontal="center" wrapText="1"/>
    </xf>
    <xf numFmtId="0" fontId="70" fillId="0" borderId="0" xfId="0" applyFont="1" applyBorder="1" applyAlignment="1" applyProtection="1">
      <alignment wrapText="1"/>
    </xf>
    <xf numFmtId="0" fontId="0" fillId="0" borderId="0" xfId="0" applyFont="1" applyFill="1" applyProtection="1"/>
    <xf numFmtId="0" fontId="71" fillId="0" borderId="0" xfId="0" applyFont="1" applyAlignment="1" applyProtection="1">
      <alignment horizontal="center" vertical="center" wrapText="1"/>
    </xf>
    <xf numFmtId="0" fontId="28" fillId="0" borderId="0" xfId="0" applyFont="1" applyFill="1" applyAlignment="1" applyProtection="1">
      <alignment horizontal="center" vertical="center" wrapText="1"/>
    </xf>
    <xf numFmtId="0" fontId="0" fillId="0" borderId="0" xfId="0" applyAlignment="1" applyProtection="1">
      <alignment wrapText="1"/>
      <protection locked="0"/>
    </xf>
    <xf numFmtId="0" fontId="0" fillId="0" borderId="0" xfId="0"/>
    <xf numFmtId="0" fontId="0" fillId="0" borderId="0" xfId="0" applyProtection="1"/>
    <xf numFmtId="0" fontId="104" fillId="0" borderId="0" xfId="455"/>
    <xf numFmtId="0" fontId="72" fillId="25" borderId="0" xfId="455" applyFont="1" applyFill="1"/>
    <xf numFmtId="0" fontId="104" fillId="25" borderId="0" xfId="455" applyFill="1"/>
    <xf numFmtId="0" fontId="73" fillId="25" borderId="0" xfId="455" applyFont="1" applyFill="1"/>
    <xf numFmtId="0" fontId="73" fillId="0" borderId="0" xfId="455" applyFont="1" applyFill="1"/>
    <xf numFmtId="0" fontId="74" fillId="0" borderId="0" xfId="455" applyFont="1"/>
    <xf numFmtId="0" fontId="74" fillId="0" borderId="0" xfId="455" applyFont="1" applyAlignment="1">
      <alignment vertical="center"/>
    </xf>
    <xf numFmtId="0" fontId="75" fillId="0" borderId="16" xfId="455" applyFont="1" applyBorder="1" applyAlignment="1">
      <alignment horizontal="center"/>
    </xf>
    <xf numFmtId="0" fontId="75" fillId="0" borderId="17" xfId="455" applyFont="1" applyBorder="1" applyAlignment="1">
      <alignment horizontal="center" vertical="center" wrapText="1"/>
    </xf>
    <xf numFmtId="0" fontId="76" fillId="0" borderId="0" xfId="455" applyFont="1"/>
    <xf numFmtId="0" fontId="77" fillId="0" borderId="0" xfId="455" applyFont="1"/>
    <xf numFmtId="167" fontId="29" fillId="25" borderId="0" xfId="386" applyNumberFormat="1" applyFont="1" applyFill="1"/>
    <xf numFmtId="167" fontId="77" fillId="0" borderId="0" xfId="386" applyNumberFormat="1" applyFont="1"/>
    <xf numFmtId="38" fontId="29" fillId="25" borderId="0" xfId="455" applyNumberFormat="1" applyFont="1" applyFill="1"/>
    <xf numFmtId="38" fontId="77" fillId="0" borderId="0" xfId="455" applyNumberFormat="1" applyFont="1"/>
    <xf numFmtId="38" fontId="77" fillId="25" borderId="0" xfId="455" applyNumberFormat="1" applyFont="1" applyFill="1"/>
    <xf numFmtId="38" fontId="77" fillId="25" borderId="16" xfId="329" applyNumberFormat="1" applyFont="1" applyFill="1" applyBorder="1"/>
    <xf numFmtId="38" fontId="77" fillId="0" borderId="0" xfId="329" applyNumberFormat="1" applyFont="1"/>
    <xf numFmtId="0" fontId="78" fillId="0" borderId="0" xfId="455" applyFont="1"/>
    <xf numFmtId="0" fontId="75" fillId="21" borderId="0" xfId="455" applyFont="1" applyFill="1"/>
    <xf numFmtId="0" fontId="104" fillId="21" borderId="0" xfId="455" applyFill="1"/>
    <xf numFmtId="0" fontId="77" fillId="21" borderId="0" xfId="455" applyFont="1" applyFill="1"/>
    <xf numFmtId="167" fontId="75" fillId="21" borderId="0" xfId="386" applyNumberFormat="1" applyFont="1" applyFill="1"/>
    <xf numFmtId="167" fontId="77" fillId="21" borderId="0" xfId="386" applyNumberFormat="1" applyFont="1" applyFill="1"/>
    <xf numFmtId="164" fontId="77" fillId="25" borderId="16" xfId="329" applyNumberFormat="1" applyFont="1" applyFill="1" applyBorder="1"/>
    <xf numFmtId="164" fontId="77" fillId="0" borderId="0" xfId="329" applyNumberFormat="1" applyFont="1"/>
    <xf numFmtId="0" fontId="76" fillId="0" borderId="0" xfId="455" applyFont="1" applyAlignment="1">
      <alignment vertical="center"/>
    </xf>
    <xf numFmtId="0" fontId="79" fillId="0" borderId="0" xfId="455" applyFont="1"/>
    <xf numFmtId="38" fontId="77" fillId="25" borderId="0" xfId="329" applyNumberFormat="1" applyFont="1" applyFill="1"/>
    <xf numFmtId="167" fontId="75" fillId="21" borderId="18" xfId="386" applyNumberFormat="1" applyFont="1" applyFill="1" applyBorder="1"/>
    <xf numFmtId="167" fontId="77" fillId="25" borderId="19" xfId="386" applyNumberFormat="1" applyFont="1" applyFill="1" applyBorder="1"/>
    <xf numFmtId="0" fontId="75" fillId="0" borderId="0" xfId="455" applyFont="1"/>
    <xf numFmtId="167" fontId="75" fillId="0" borderId="20" xfId="386" applyNumberFormat="1" applyFont="1" applyBorder="1"/>
    <xf numFmtId="0" fontId="75" fillId="0" borderId="0" xfId="455" applyFont="1" applyAlignment="1">
      <alignment horizontal="center"/>
    </xf>
    <xf numFmtId="167" fontId="29" fillId="0" borderId="0" xfId="386" applyNumberFormat="1" applyFont="1" applyFill="1"/>
    <xf numFmtId="38" fontId="29" fillId="0" borderId="0" xfId="329" applyNumberFormat="1" applyFont="1" applyFill="1"/>
    <xf numFmtId="38" fontId="29" fillId="0" borderId="16" xfId="329" applyNumberFormat="1" applyFont="1" applyFill="1" applyBorder="1"/>
    <xf numFmtId="167" fontId="77" fillId="0" borderId="19" xfId="386" applyNumberFormat="1" applyFont="1" applyBorder="1"/>
    <xf numFmtId="0" fontId="51" fillId="0" borderId="0" xfId="455" applyFont="1"/>
    <xf numFmtId="10" fontId="75" fillId="0" borderId="19" xfId="455" applyNumberFormat="1" applyFont="1" applyBorder="1"/>
    <xf numFmtId="38" fontId="29" fillId="25" borderId="0" xfId="0" applyNumberFormat="1" applyFont="1" applyFill="1"/>
    <xf numFmtId="38" fontId="29" fillId="25" borderId="16" xfId="0" applyNumberFormat="1" applyFont="1" applyFill="1" applyBorder="1"/>
    <xf numFmtId="0" fontId="80" fillId="20" borderId="0" xfId="0" applyFont="1" applyFill="1" applyBorder="1" applyAlignment="1" applyProtection="1">
      <alignment horizontal="center"/>
    </xf>
    <xf numFmtId="0" fontId="104" fillId="0" borderId="0" xfId="455"/>
    <xf numFmtId="0" fontId="81" fillId="0" borderId="0" xfId="455" applyFont="1" applyFill="1" applyAlignment="1">
      <alignment wrapText="1"/>
    </xf>
    <xf numFmtId="0" fontId="56" fillId="20" borderId="15" xfId="0" applyFont="1" applyFill="1" applyBorder="1" applyAlignment="1" applyProtection="1">
      <alignment horizontal="left" vertical="center"/>
    </xf>
    <xf numFmtId="0" fontId="56" fillId="20" borderId="0" xfId="0" applyFont="1" applyFill="1" applyBorder="1" applyAlignment="1" applyProtection="1">
      <alignment horizontal="left" vertical="center"/>
    </xf>
    <xf numFmtId="0" fontId="82" fillId="0" borderId="0" xfId="0" applyFont="1" applyFill="1" applyAlignment="1" applyProtection="1">
      <alignment horizontal="left" vertical="center" wrapText="1"/>
    </xf>
    <xf numFmtId="0" fontId="7" fillId="26" borderId="0" xfId="0" applyFont="1" applyFill="1" applyAlignment="1" applyProtection="1">
      <alignment horizontal="left" vertical="center"/>
    </xf>
    <xf numFmtId="0" fontId="0" fillId="26" borderId="0" xfId="0" applyNumberFormat="1" applyFill="1" applyAlignment="1" applyProtection="1">
      <alignment wrapText="1"/>
    </xf>
    <xf numFmtId="164" fontId="0" fillId="26" borderId="0" xfId="0" applyNumberFormat="1" applyFill="1" applyAlignment="1" applyProtection="1">
      <alignment vertical="center"/>
    </xf>
    <xf numFmtId="41" fontId="53" fillId="26" borderId="0" xfId="319" applyNumberFormat="1" applyFont="1" applyFill="1" applyAlignment="1" applyProtection="1">
      <alignment wrapText="1"/>
    </xf>
    <xf numFmtId="41" fontId="54" fillId="26" borderId="0" xfId="0" applyNumberFormat="1" applyFont="1" applyFill="1" applyAlignment="1" applyProtection="1">
      <alignment wrapText="1"/>
    </xf>
    <xf numFmtId="0" fontId="57" fillId="26" borderId="0" xfId="0" applyNumberFormat="1" applyFont="1" applyFill="1" applyAlignment="1" applyProtection="1">
      <alignment vertical="center" wrapText="1"/>
    </xf>
    <xf numFmtId="0" fontId="82" fillId="0" borderId="0" xfId="0" applyNumberFormat="1" applyFont="1" applyFill="1" applyAlignment="1" applyProtection="1">
      <alignment vertical="center" wrapText="1"/>
    </xf>
    <xf numFmtId="0" fontId="73" fillId="0" borderId="0" xfId="0" applyFont="1" applyFill="1" applyAlignment="1" applyProtection="1">
      <alignment vertical="center" wrapText="1"/>
    </xf>
    <xf numFmtId="0" fontId="35" fillId="26" borderId="0" xfId="0" applyFont="1" applyFill="1" applyAlignment="1" applyProtection="1">
      <alignment horizontal="left" vertical="center"/>
    </xf>
    <xf numFmtId="0" fontId="51" fillId="26" borderId="0" xfId="0" applyNumberFormat="1" applyFont="1" applyFill="1" applyAlignment="1" applyProtection="1">
      <alignment vertical="center" wrapText="1"/>
    </xf>
    <xf numFmtId="41" fontId="64" fillId="26" borderId="0" xfId="319" applyNumberFormat="1" applyFont="1" applyFill="1" applyAlignment="1" applyProtection="1">
      <alignment wrapText="1"/>
    </xf>
    <xf numFmtId="0" fontId="37" fillId="0" borderId="0" xfId="0" applyFont="1" applyFill="1" applyAlignment="1" applyProtection="1">
      <alignment horizontal="center" vertical="center" wrapText="1"/>
    </xf>
    <xf numFmtId="0" fontId="5" fillId="0" borderId="0" xfId="0" applyFont="1" applyFill="1" applyAlignment="1" applyProtection="1">
      <alignment vertical="center" wrapText="1"/>
      <protection hidden="1"/>
    </xf>
    <xf numFmtId="0" fontId="83" fillId="0" borderId="0" xfId="0" applyFont="1" applyFill="1" applyAlignment="1" applyProtection="1">
      <alignment vertical="center" wrapText="1"/>
      <protection hidden="1"/>
    </xf>
    <xf numFmtId="0" fontId="58" fillId="26" borderId="0" xfId="0" applyFont="1" applyFill="1" applyAlignment="1" applyProtection="1">
      <alignment vertical="center"/>
    </xf>
    <xf numFmtId="0" fontId="56" fillId="26" borderId="0" xfId="0" applyFont="1" applyFill="1" applyAlignment="1" applyProtection="1">
      <alignment vertical="center"/>
    </xf>
    <xf numFmtId="0" fontId="52" fillId="26" borderId="0" xfId="0" applyFont="1" applyFill="1" applyAlignment="1" applyProtection="1"/>
    <xf numFmtId="0" fontId="0" fillId="0" borderId="0" xfId="0" applyNumberFormat="1" applyFont="1" applyFill="1" applyAlignment="1" applyProtection="1">
      <alignment horizontal="left" vertical="center" wrapText="1"/>
    </xf>
    <xf numFmtId="164" fontId="46" fillId="26" borderId="0" xfId="319" applyNumberFormat="1" applyFont="1" applyFill="1" applyAlignment="1" applyProtection="1">
      <alignment vertical="center"/>
    </xf>
    <xf numFmtId="0" fontId="84" fillId="0" borderId="0" xfId="0" applyFont="1" applyAlignment="1" applyProtection="1">
      <alignment horizontal="center" vertical="center" wrapText="1"/>
    </xf>
    <xf numFmtId="164" fontId="46" fillId="26" borderId="0" xfId="319" applyNumberFormat="1" applyFont="1" applyFill="1" applyProtection="1"/>
    <xf numFmtId="0" fontId="0" fillId="0" borderId="0" xfId="0" applyFill="1" applyAlignment="1" applyProtection="1">
      <alignment wrapText="1"/>
      <protection locked="0"/>
    </xf>
    <xf numFmtId="0" fontId="71" fillId="0" borderId="0" xfId="0" applyFont="1" applyFill="1" applyAlignment="1" applyProtection="1">
      <alignment horizontal="center" vertical="center" wrapText="1"/>
    </xf>
    <xf numFmtId="0" fontId="85" fillId="0" borderId="0" xfId="0" applyNumberFormat="1" applyFont="1" applyFill="1" applyAlignment="1" applyProtection="1">
      <alignment vertical="center" wrapText="1"/>
    </xf>
    <xf numFmtId="0" fontId="0" fillId="26" borderId="0" xfId="0" applyNumberFormat="1" applyFill="1" applyAlignment="1" applyProtection="1">
      <alignment vertical="center" wrapText="1"/>
    </xf>
    <xf numFmtId="0" fontId="52" fillId="26" borderId="0" xfId="0" applyFont="1" applyFill="1" applyAlignment="1" applyProtection="1">
      <alignment vertical="center"/>
    </xf>
    <xf numFmtId="0" fontId="86" fillId="0" borderId="0" xfId="0" applyFont="1" applyAlignment="1" applyProtection="1">
      <alignment horizontal="center" vertical="center" wrapText="1"/>
    </xf>
    <xf numFmtId="0" fontId="56" fillId="26" borderId="0" xfId="0" applyFont="1" applyFill="1" applyAlignment="1" applyProtection="1">
      <alignment horizontal="left" vertical="center"/>
    </xf>
    <xf numFmtId="0" fontId="58" fillId="26" borderId="0" xfId="0" applyFont="1" applyFill="1" applyAlignment="1" applyProtection="1">
      <alignment horizontal="left" vertical="center"/>
    </xf>
    <xf numFmtId="0" fontId="0" fillId="0" borderId="0" xfId="0" applyNumberFormat="1" applyFill="1" applyAlignment="1" applyProtection="1">
      <alignment vertical="center" wrapText="1"/>
    </xf>
    <xf numFmtId="0" fontId="73" fillId="0" borderId="0" xfId="0" applyNumberFormat="1" applyFont="1" applyFill="1" applyAlignment="1" applyProtection="1">
      <alignment horizontal="left" vertical="center" wrapText="1"/>
    </xf>
    <xf numFmtId="0" fontId="73" fillId="0" borderId="0" xfId="0" applyNumberFormat="1" applyFont="1" applyFill="1" applyAlignment="1" applyProtection="1">
      <alignment vertical="center" wrapText="1"/>
    </xf>
    <xf numFmtId="0" fontId="86" fillId="0" borderId="0" xfId="0" applyFont="1" applyFill="1" applyAlignment="1" applyProtection="1">
      <alignment horizontal="center" vertical="center" wrapText="1"/>
    </xf>
    <xf numFmtId="0" fontId="57" fillId="20" borderId="15" xfId="0" applyNumberFormat="1" applyFont="1" applyFill="1" applyBorder="1" applyAlignment="1" applyProtection="1">
      <alignment horizontal="center"/>
    </xf>
    <xf numFmtId="38" fontId="0" fillId="0" borderId="0" xfId="0" applyNumberFormat="1" applyProtection="1"/>
    <xf numFmtId="0" fontId="0" fillId="0" borderId="0" xfId="0"/>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87" fillId="0" borderId="0" xfId="319" applyNumberFormat="1" applyFont="1" applyFill="1" applyAlignment="1" applyProtection="1">
      <alignment horizontal="center" vertical="center" wrapText="1"/>
    </xf>
    <xf numFmtId="164" fontId="0" fillId="0" borderId="0" xfId="0" applyNumberFormat="1" applyFill="1" applyAlignment="1" applyProtection="1">
      <alignment wrapText="1"/>
      <protection locked="0"/>
    </xf>
    <xf numFmtId="41" fontId="53" fillId="0" borderId="0" xfId="319" applyNumberFormat="1" applyFont="1" applyFill="1" applyAlignment="1" applyProtection="1">
      <alignment vertical="center" wrapText="1"/>
    </xf>
    <xf numFmtId="0" fontId="0" fillId="0" borderId="21" xfId="0" applyFont="1" applyFill="1" applyBorder="1" applyAlignment="1" applyProtection="1">
      <alignment vertical="center" wrapText="1"/>
    </xf>
    <xf numFmtId="164" fontId="88" fillId="21" borderId="21" xfId="319" applyNumberFormat="1" applyFont="1" applyFill="1" applyBorder="1" applyAlignment="1" applyProtection="1">
      <alignment horizontal="center" vertical="center" wrapText="1"/>
    </xf>
    <xf numFmtId="0" fontId="0" fillId="22" borderId="0" xfId="0" applyFill="1" applyBorder="1" applyAlignment="1" applyProtection="1">
      <alignment vertical="center"/>
    </xf>
    <xf numFmtId="0" fontId="0" fillId="22" borderId="0" xfId="0" applyFill="1" applyBorder="1" applyProtection="1"/>
    <xf numFmtId="0" fontId="51" fillId="21" borderId="22" xfId="0" applyNumberFormat="1" applyFont="1" applyFill="1" applyBorder="1" applyAlignment="1" applyProtection="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center" vertical="center"/>
    </xf>
    <xf numFmtId="0" fontId="89" fillId="23" borderId="24" xfId="0" applyFont="1" applyFill="1" applyBorder="1" applyAlignment="1" applyProtection="1">
      <alignment horizontal="center" vertical="center" wrapText="1"/>
    </xf>
    <xf numFmtId="0" fontId="0" fillId="22" borderId="25" xfId="0" applyFill="1" applyBorder="1" applyAlignment="1" applyProtection="1">
      <alignment vertical="center"/>
    </xf>
    <xf numFmtId="0" fontId="0" fillId="22" borderId="26" xfId="0" applyFill="1" applyBorder="1" applyAlignment="1" applyProtection="1">
      <alignment vertical="center"/>
    </xf>
    <xf numFmtId="164" fontId="88" fillId="0" borderId="26" xfId="319" applyNumberFormat="1" applyFont="1" applyFill="1" applyBorder="1" applyAlignment="1" applyProtection="1">
      <alignment horizontal="center" vertical="center" wrapText="1"/>
    </xf>
    <xf numFmtId="164" fontId="88" fillId="0" borderId="27" xfId="319" applyNumberFormat="1" applyFont="1" applyFill="1" applyBorder="1" applyAlignment="1" applyProtection="1">
      <alignment horizontal="center" vertical="center" wrapText="1"/>
    </xf>
    <xf numFmtId="0" fontId="0" fillId="22" borderId="28" xfId="0" applyFill="1" applyBorder="1" applyAlignment="1" applyProtection="1">
      <alignment vertical="center"/>
    </xf>
    <xf numFmtId="0" fontId="0" fillId="22" borderId="21" xfId="0" applyFill="1" applyBorder="1" applyAlignment="1" applyProtection="1">
      <alignment vertical="center"/>
      <protection locked="0"/>
    </xf>
    <xf numFmtId="0" fontId="0" fillId="21" borderId="22" xfId="0" applyNumberFormat="1" applyFill="1" applyBorder="1" applyAlignment="1" applyProtection="1">
      <alignment horizontal="left" vertical="center" wrapText="1"/>
    </xf>
    <xf numFmtId="3" fontId="5" fillId="0" borderId="21" xfId="821" applyFont="1" applyFill="1" applyBorder="1" applyAlignment="1" applyProtection="1">
      <alignment vertical="center" wrapText="1"/>
    </xf>
    <xf numFmtId="0" fontId="88" fillId="0" borderId="21" xfId="319" applyNumberFormat="1" applyFont="1" applyFill="1" applyBorder="1" applyAlignment="1" applyProtection="1">
      <alignment horizontal="center" vertical="center" wrapText="1"/>
    </xf>
    <xf numFmtId="164" fontId="88" fillId="0" borderId="21" xfId="319" applyNumberFormat="1" applyFont="1" applyFill="1" applyBorder="1" applyAlignment="1" applyProtection="1">
      <alignment horizontal="center" vertical="center" wrapText="1"/>
    </xf>
    <xf numFmtId="0" fontId="0" fillId="0" borderId="29" xfId="0" applyNumberFormat="1" applyFill="1" applyBorder="1" applyAlignment="1" applyProtection="1">
      <alignment horizontal="left" vertical="center" wrapText="1"/>
    </xf>
    <xf numFmtId="0" fontId="52" fillId="23" borderId="0" xfId="0" applyFont="1" applyFill="1" applyBorder="1" applyAlignment="1" applyProtection="1">
      <alignment horizontal="center" vertical="center" wrapText="1"/>
    </xf>
    <xf numFmtId="0" fontId="0" fillId="22" borderId="28" xfId="0" applyFill="1" applyBorder="1" applyAlignment="1" applyProtection="1">
      <alignment vertical="center"/>
      <protection locked="0"/>
    </xf>
    <xf numFmtId="0" fontId="0" fillId="21" borderId="21" xfId="0" applyNumberFormat="1" applyFill="1" applyBorder="1" applyAlignment="1" applyProtection="1">
      <alignment horizontal="left" vertical="center" wrapText="1"/>
    </xf>
    <xf numFmtId="0" fontId="69" fillId="20" borderId="10" xfId="0" applyFont="1" applyFill="1" applyBorder="1" applyAlignment="1" applyProtection="1">
      <alignment horizontal="center" vertical="center" wrapText="1"/>
    </xf>
    <xf numFmtId="164" fontId="46" fillId="0" borderId="26" xfId="319" applyNumberFormat="1" applyFont="1" applyBorder="1" applyAlignment="1" applyProtection="1">
      <alignment vertical="center"/>
    </xf>
    <xf numFmtId="0" fontId="0" fillId="0" borderId="23" xfId="0" applyNumberFormat="1" applyFill="1" applyBorder="1" applyAlignment="1" applyProtection="1">
      <alignment horizontal="left" vertical="center" wrapText="1"/>
    </xf>
    <xf numFmtId="0" fontId="68" fillId="24" borderId="0" xfId="0" applyFont="1" applyFill="1" applyAlignment="1" applyProtection="1">
      <alignment horizontal="center" vertical="center"/>
    </xf>
    <xf numFmtId="0" fontId="0" fillId="22" borderId="21" xfId="0" applyFill="1" applyBorder="1" applyAlignment="1" applyProtection="1">
      <alignment vertical="center"/>
    </xf>
    <xf numFmtId="0" fontId="88" fillId="21" borderId="21" xfId="319" applyNumberFormat="1" applyFont="1" applyFill="1" applyBorder="1" applyAlignment="1" applyProtection="1">
      <alignment horizontal="center" vertical="center" wrapText="1"/>
    </xf>
    <xf numFmtId="0" fontId="0" fillId="0" borderId="21" xfId="0" applyNumberFormat="1" applyFill="1" applyBorder="1" applyAlignment="1" applyProtection="1">
      <alignment horizontal="left" vertical="center" wrapText="1"/>
    </xf>
    <xf numFmtId="0" fontId="0" fillId="0" borderId="0" xfId="0" applyProtection="1"/>
    <xf numFmtId="0" fontId="0" fillId="0" borderId="22" xfId="0" applyNumberForma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horizontal="center" vertical="center"/>
    </xf>
    <xf numFmtId="0" fontId="52" fillId="21" borderId="0" xfId="0" applyFont="1" applyFill="1" applyAlignment="1" applyProtection="1">
      <alignment vertical="center" wrapText="1"/>
    </xf>
    <xf numFmtId="0" fontId="52" fillId="20" borderId="0" xfId="0" applyFont="1" applyFill="1" applyBorder="1" applyAlignment="1" applyProtection="1">
      <alignment horizontal="center" vertical="center" wrapText="1"/>
    </xf>
    <xf numFmtId="0" fontId="0" fillId="0" borderId="0" xfId="0" applyNumberFormat="1" applyFill="1" applyAlignment="1" applyProtection="1">
      <alignment horizontal="left" vertical="center" wrapText="1"/>
    </xf>
    <xf numFmtId="0" fontId="88" fillId="0" borderId="0" xfId="0" applyFont="1" applyProtection="1"/>
    <xf numFmtId="0" fontId="90" fillId="20" borderId="10" xfId="0" applyFont="1" applyFill="1" applyBorder="1" applyAlignment="1" applyProtection="1">
      <alignment horizontal="center" vertical="center" wrapText="1"/>
    </xf>
    <xf numFmtId="0" fontId="90" fillId="20" borderId="0" xfId="0" applyFont="1" applyFill="1" applyBorder="1" applyAlignment="1" applyProtection="1">
      <alignment horizontal="center" vertical="center" wrapText="1"/>
    </xf>
    <xf numFmtId="0" fontId="88" fillId="0" borderId="21" xfId="0" applyNumberFormat="1" applyFont="1" applyFill="1" applyBorder="1" applyAlignment="1" applyProtection="1">
      <alignment horizontal="left" vertical="center" wrapText="1"/>
    </xf>
    <xf numFmtId="0" fontId="88" fillId="21" borderId="21" xfId="0" applyNumberFormat="1" applyFont="1" applyFill="1" applyBorder="1" applyAlignment="1" applyProtection="1">
      <alignment horizontal="left" vertical="center" wrapText="1"/>
    </xf>
    <xf numFmtId="0" fontId="88" fillId="0" borderId="22" xfId="0" applyNumberFormat="1" applyFont="1" applyFill="1" applyBorder="1" applyAlignment="1" applyProtection="1">
      <alignment horizontal="left" vertical="center" wrapText="1"/>
    </xf>
    <xf numFmtId="0" fontId="90" fillId="0" borderId="0" xfId="0" applyFont="1" applyAlignment="1" applyProtection="1">
      <alignment horizontal="center" vertical="center"/>
    </xf>
    <xf numFmtId="0" fontId="88" fillId="0" borderId="29" xfId="0" applyNumberFormat="1" applyFont="1" applyFill="1" applyBorder="1" applyAlignment="1" applyProtection="1">
      <alignment horizontal="left" vertical="center" wrapText="1"/>
    </xf>
    <xf numFmtId="0" fontId="0" fillId="21" borderId="0" xfId="0" applyFill="1" applyAlignment="1" applyProtection="1">
      <alignment horizontal="left" vertical="center"/>
    </xf>
    <xf numFmtId="49" fontId="51" fillId="0" borderId="0" xfId="0" applyNumberFormat="1" applyFont="1" applyFill="1" applyAlignment="1" applyProtection="1">
      <alignment horizontal="center" vertical="center"/>
    </xf>
    <xf numFmtId="0" fontId="0" fillId="0" borderId="0" xfId="0" applyFont="1" applyFill="1" applyAlignment="1" applyProtection="1">
      <alignment vertical="center" wrapText="1"/>
    </xf>
    <xf numFmtId="0" fontId="0" fillId="0" borderId="21" xfId="0" applyNumberFormat="1" applyFill="1" applyBorder="1" applyAlignment="1" applyProtection="1">
      <alignment horizontal="left" vertical="center" wrapText="1"/>
    </xf>
    <xf numFmtId="164" fontId="91" fillId="27" borderId="15" xfId="319" applyNumberFormat="1" applyFont="1" applyFill="1" applyBorder="1" applyAlignment="1" applyProtection="1">
      <alignment horizontal="center" wrapText="1"/>
      <protection locked="0"/>
    </xf>
    <xf numFmtId="43" fontId="88" fillId="0" borderId="21" xfId="319" applyFont="1" applyFill="1" applyBorder="1" applyAlignment="1" applyProtection="1">
      <alignment horizontal="center" vertical="center" wrapText="1"/>
    </xf>
    <xf numFmtId="0" fontId="69" fillId="20" borderId="30" xfId="0" applyFont="1" applyFill="1" applyBorder="1" applyAlignment="1" applyProtection="1">
      <alignment horizontal="center" wrapText="1"/>
    </xf>
    <xf numFmtId="0" fontId="52" fillId="0" borderId="0" xfId="0" applyFont="1" applyFill="1" applyBorder="1" applyAlignment="1" applyProtection="1">
      <alignment horizontal="center"/>
    </xf>
    <xf numFmtId="0" fontId="0" fillId="0" borderId="31" xfId="0" applyNumberFormat="1" applyFill="1" applyBorder="1" applyAlignment="1" applyProtection="1">
      <alignment horizontal="left" vertical="center" wrapText="1"/>
    </xf>
    <xf numFmtId="0" fontId="0" fillId="0" borderId="21" xfId="0" applyFill="1" applyBorder="1" applyAlignment="1">
      <alignment vertical="center" wrapText="1"/>
    </xf>
    <xf numFmtId="164" fontId="68" fillId="24" borderId="0" xfId="319" applyNumberFormat="1" applyFont="1" applyFill="1" applyAlignment="1" applyProtection="1">
      <alignment horizontal="center"/>
    </xf>
    <xf numFmtId="164" fontId="46" fillId="0" borderId="26" xfId="319" applyNumberFormat="1" applyFont="1" applyFill="1" applyBorder="1" applyAlignment="1" applyProtection="1">
      <alignment vertical="center"/>
    </xf>
    <xf numFmtId="0" fontId="93" fillId="0" borderId="0" xfId="0" applyFont="1" applyAlignment="1" applyProtection="1">
      <alignment horizontal="center" vertical="center" wrapText="1"/>
    </xf>
    <xf numFmtId="164" fontId="46" fillId="0" borderId="0" xfId="319" applyNumberFormat="1" applyFont="1" applyAlignment="1" applyProtection="1">
      <alignment vertical="center"/>
    </xf>
    <xf numFmtId="164" fontId="89" fillId="23" borderId="10" xfId="319" applyNumberFormat="1" applyFont="1" applyFill="1" applyBorder="1" applyAlignment="1" applyProtection="1">
      <alignment horizontal="center" wrapText="1"/>
    </xf>
    <xf numFmtId="164" fontId="52" fillId="23" borderId="0" xfId="319" applyNumberFormat="1" applyFont="1" applyFill="1" applyBorder="1" applyAlignment="1" applyProtection="1">
      <alignment horizontal="center" wrapText="1"/>
    </xf>
    <xf numFmtId="164" fontId="46" fillId="21" borderId="26" xfId="319" applyNumberFormat="1" applyFont="1" applyFill="1" applyBorder="1" applyAlignment="1" applyProtection="1">
      <alignment vertical="center"/>
    </xf>
    <xf numFmtId="164" fontId="46" fillId="0" borderId="27" xfId="319" applyNumberFormat="1" applyFont="1" applyBorder="1" applyAlignment="1" applyProtection="1">
      <alignment vertical="center"/>
    </xf>
    <xf numFmtId="164" fontId="46" fillId="0" borderId="0" xfId="319" applyNumberFormat="1" applyFont="1" applyProtection="1"/>
    <xf numFmtId="164" fontId="46" fillId="21" borderId="0" xfId="319" applyNumberFormat="1" applyFont="1" applyFill="1" applyProtection="1"/>
    <xf numFmtId="39" fontId="0" fillId="0" borderId="0" xfId="0" applyNumberFormat="1" applyProtection="1"/>
    <xf numFmtId="39" fontId="51" fillId="0" borderId="0" xfId="0" applyNumberFormat="1" applyFont="1" applyAlignment="1" applyProtection="1">
      <alignment horizontal="center"/>
    </xf>
    <xf numFmtId="39" fontId="52" fillId="20" borderId="0" xfId="0" applyNumberFormat="1" applyFont="1" applyFill="1" applyBorder="1" applyAlignment="1" applyProtection="1">
      <alignment horizontal="center" wrapText="1"/>
    </xf>
    <xf numFmtId="39" fontId="88" fillId="0" borderId="27" xfId="319" applyNumberFormat="1" applyFont="1" applyFill="1" applyBorder="1" applyAlignment="1" applyProtection="1">
      <alignment horizontal="center" vertical="center" wrapText="1"/>
    </xf>
    <xf numFmtId="39" fontId="88" fillId="0" borderId="26" xfId="319" applyNumberFormat="1" applyFont="1" applyFill="1" applyBorder="1" applyAlignment="1" applyProtection="1">
      <alignment horizontal="center" vertical="center" wrapText="1"/>
    </xf>
    <xf numFmtId="39" fontId="88" fillId="21" borderId="26" xfId="319" applyNumberFormat="1" applyFont="1" applyFill="1" applyBorder="1" applyAlignment="1" applyProtection="1">
      <alignment horizontal="center" vertical="center" wrapText="1"/>
    </xf>
    <xf numFmtId="39" fontId="0" fillId="22" borderId="26" xfId="0" applyNumberFormat="1" applyFill="1" applyBorder="1" applyAlignment="1" applyProtection="1">
      <alignment vertical="center"/>
    </xf>
    <xf numFmtId="39" fontId="0" fillId="22" borderId="25" xfId="0" applyNumberFormat="1" applyFill="1" applyBorder="1" applyAlignment="1" applyProtection="1">
      <alignment vertical="center"/>
    </xf>
    <xf numFmtId="39" fontId="0" fillId="0" borderId="0" xfId="0" applyNumberFormat="1" applyAlignment="1" applyProtection="1">
      <alignment vertical="center"/>
    </xf>
    <xf numFmtId="39" fontId="0" fillId="0" borderId="0" xfId="0" applyNumberFormat="1" applyFill="1" applyBorder="1" applyAlignment="1" applyProtection="1">
      <alignment horizontal="left" vertical="center" wrapText="1"/>
    </xf>
    <xf numFmtId="0" fontId="51" fillId="0" borderId="0" xfId="0" applyFont="1" applyAlignment="1" applyProtection="1">
      <alignment horizontal="left" vertical="center" wrapText="1"/>
    </xf>
    <xf numFmtId="39" fontId="94" fillId="0" borderId="26" xfId="319" applyNumberFormat="1" applyFont="1" applyFill="1" applyBorder="1" applyAlignment="1" applyProtection="1">
      <alignment horizontal="center" vertical="center" wrapText="1"/>
    </xf>
    <xf numFmtId="0" fontId="52" fillId="0" borderId="0" xfId="0" applyFont="1" applyFill="1" applyAlignment="1" applyProtection="1">
      <alignment vertical="center" wrapText="1"/>
    </xf>
    <xf numFmtId="0" fontId="95" fillId="0" borderId="0" xfId="0" applyFont="1" applyProtection="1"/>
    <xf numFmtId="41" fontId="96"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69" fillId="28" borderId="0" xfId="0" applyNumberFormat="1" applyFont="1" applyFill="1" applyBorder="1" applyAlignment="1" applyProtection="1">
      <alignment horizontal="center" wrapText="1"/>
    </xf>
    <xf numFmtId="0" fontId="89" fillId="0" borderId="0" xfId="0" applyFont="1" applyAlignment="1" applyProtection="1">
      <alignment horizontal="center" vertical="center" wrapText="1"/>
    </xf>
    <xf numFmtId="0" fontId="0" fillId="0" borderId="0" xfId="0" applyFill="1" applyAlignment="1" applyProtection="1">
      <alignment horizontal="center" vertical="center"/>
    </xf>
    <xf numFmtId="0" fontId="95" fillId="0" borderId="0" xfId="0" applyFont="1" applyAlignment="1" applyProtection="1">
      <alignment horizontal="center" vertical="center"/>
    </xf>
    <xf numFmtId="0" fontId="51" fillId="20" borderId="0" xfId="0" applyFont="1" applyFill="1" applyProtection="1"/>
    <xf numFmtId="0" fontId="0" fillId="20" borderId="0" xfId="0" applyFill="1" applyAlignment="1" applyProtection="1">
      <alignment wrapText="1"/>
    </xf>
    <xf numFmtId="164" fontId="88" fillId="0" borderId="0" xfId="319" applyNumberFormat="1" applyFont="1" applyFill="1" applyBorder="1" applyAlignment="1" applyProtection="1">
      <alignment horizontal="center" vertical="center" wrapText="1"/>
    </xf>
    <xf numFmtId="0" fontId="51" fillId="29" borderId="22" xfId="0" applyNumberFormat="1" applyFont="1" applyFill="1" applyBorder="1" applyAlignment="1" applyProtection="1">
      <alignment horizontal="center" vertical="center"/>
    </xf>
    <xf numFmtId="0" fontId="0" fillId="29" borderId="21" xfId="0" applyFont="1" applyFill="1" applyBorder="1" applyAlignment="1" applyProtection="1">
      <alignment vertical="center" wrapText="1"/>
    </xf>
    <xf numFmtId="164" fontId="46" fillId="29" borderId="27" xfId="319" applyNumberFormat="1" applyFont="1" applyFill="1" applyBorder="1" applyAlignment="1" applyProtection="1">
      <alignment vertical="center"/>
    </xf>
    <xf numFmtId="0" fontId="93" fillId="29" borderId="0" xfId="0" applyFont="1" applyFill="1" applyAlignment="1" applyProtection="1">
      <alignment horizontal="center" vertical="center" wrapText="1"/>
    </xf>
    <xf numFmtId="0" fontId="34" fillId="26" borderId="0" xfId="0" applyFont="1" applyFill="1" applyAlignment="1" applyProtection="1">
      <alignment vertical="center"/>
    </xf>
    <xf numFmtId="0" fontId="0" fillId="0" borderId="0" xfId="0" applyNumberFormat="1" applyFont="1" applyFill="1" applyAlignment="1" applyProtection="1">
      <alignment horizontal="left" vertical="center" wrapText="1"/>
    </xf>
    <xf numFmtId="0" fontId="0" fillId="0" borderId="0" xfId="0" applyNumberFormat="1" applyFont="1" applyFill="1" applyAlignment="1" applyProtection="1">
      <alignment horizontal="center" vertical="center"/>
    </xf>
    <xf numFmtId="0" fontId="90" fillId="0" borderId="0" xfId="0" applyFont="1" applyFill="1" applyAlignment="1" applyProtection="1">
      <alignment horizontal="center" wrapText="1"/>
    </xf>
    <xf numFmtId="0" fontId="0" fillId="0" borderId="0" xfId="0" applyFont="1" applyFill="1" applyAlignment="1" applyProtection="1">
      <alignment vertical="center" wrapText="1"/>
      <protection locked="0"/>
    </xf>
    <xf numFmtId="0" fontId="90" fillId="0" borderId="0" xfId="0" applyFont="1" applyFill="1" applyAlignment="1" applyProtection="1">
      <alignment horizontal="center" vertical="center" wrapText="1"/>
    </xf>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0" fillId="0" borderId="0" xfId="0" applyFont="1" applyFill="1" applyAlignment="1" applyProtection="1">
      <alignment vertical="center" wrapText="1"/>
      <protection locked="0"/>
    </xf>
    <xf numFmtId="0" fontId="0" fillId="0" borderId="0" xfId="0" applyFont="1" applyFill="1" applyAlignment="1" applyProtection="1">
      <alignment vertical="center" wrapText="1"/>
    </xf>
    <xf numFmtId="0" fontId="4" fillId="0" borderId="0" xfId="0" applyNumberFormat="1" applyFont="1" applyFill="1" applyAlignment="1" applyProtection="1">
      <alignment horizontal="left" vertical="center" wrapText="1"/>
    </xf>
    <xf numFmtId="0" fontId="0" fillId="0" borderId="21" xfId="0" applyNumberFormat="1" applyFill="1" applyBorder="1" applyAlignment="1" applyProtection="1">
      <alignment horizontal="left" vertical="center" wrapText="1"/>
    </xf>
    <xf numFmtId="0" fontId="97" fillId="0" borderId="0" xfId="0" applyFont="1" applyFill="1" applyAlignment="1" applyProtection="1">
      <alignment horizontal="right"/>
    </xf>
    <xf numFmtId="38" fontId="83" fillId="0" borderId="0" xfId="319" applyNumberFormat="1" applyFont="1" applyFill="1" applyAlignment="1" applyProtection="1">
      <alignment horizontal="center" vertical="center" wrapText="1"/>
    </xf>
    <xf numFmtId="40" fontId="0" fillId="0" borderId="0" xfId="0" applyNumberFormat="1" applyFill="1" applyBorder="1" applyProtection="1"/>
    <xf numFmtId="40" fontId="47" fillId="0" borderId="0" xfId="0" applyNumberFormat="1" applyFont="1" applyFill="1" applyBorder="1" applyProtection="1"/>
    <xf numFmtId="166" fontId="0" fillId="0" borderId="0" xfId="0" applyNumberFormat="1" applyFill="1" applyBorder="1" applyProtection="1"/>
    <xf numFmtId="166" fontId="57" fillId="20" borderId="15" xfId="0" applyNumberFormat="1" applyFont="1" applyFill="1" applyBorder="1" applyProtection="1"/>
    <xf numFmtId="0" fontId="80" fillId="20" borderId="10" xfId="0" applyFont="1" applyFill="1" applyBorder="1" applyAlignment="1" applyProtection="1">
      <alignment horizontal="center" wrapText="1"/>
    </xf>
    <xf numFmtId="0" fontId="0" fillId="26" borderId="0" xfId="0" applyFill="1" applyAlignment="1" applyProtection="1">
      <alignment vertical="center"/>
    </xf>
    <xf numFmtId="164" fontId="83" fillId="22" borderId="0" xfId="319" applyNumberFormat="1" applyFont="1" applyFill="1" applyProtection="1"/>
    <xf numFmtId="0" fontId="0" fillId="0" borderId="0" xfId="0"/>
    <xf numFmtId="0" fontId="0" fillId="0" borderId="0" xfId="0" applyProtection="1"/>
    <xf numFmtId="0" fontId="0" fillId="0" borderId="0" xfId="0" applyFill="1" applyProtection="1">
      <protection locked="0"/>
    </xf>
    <xf numFmtId="0" fontId="53" fillId="0" borderId="0" xfId="0" applyFont="1" applyFill="1" applyAlignment="1" applyProtection="1">
      <alignment wrapText="1"/>
      <protection locked="0"/>
    </xf>
    <xf numFmtId="0" fontId="98" fillId="0" borderId="0" xfId="0" applyFont="1" applyFill="1" applyAlignment="1" applyProtection="1">
      <alignment wrapText="1"/>
      <protection locked="0"/>
    </xf>
    <xf numFmtId="0" fontId="99" fillId="0" borderId="0" xfId="0" applyFont="1" applyAlignment="1" applyProtection="1">
      <alignment wrapText="1"/>
      <protection locked="0"/>
    </xf>
    <xf numFmtId="164" fontId="51" fillId="27" borderId="0" xfId="319" applyNumberFormat="1" applyFont="1" applyFill="1" applyAlignment="1" applyProtection="1">
      <alignment horizontal="center" vertical="center"/>
      <protection locked="0"/>
    </xf>
    <xf numFmtId="164" fontId="51" fillId="26" borderId="0" xfId="319" applyNumberFormat="1" applyFont="1" applyFill="1" applyAlignment="1" applyProtection="1">
      <alignment horizontal="center" vertical="center"/>
    </xf>
    <xf numFmtId="164" fontId="46" fillId="26" borderId="0" xfId="319" applyNumberFormat="1" applyFont="1" applyFill="1" applyAlignment="1" applyProtection="1">
      <alignment horizontal="center" vertical="center"/>
    </xf>
    <xf numFmtId="0" fontId="52" fillId="26" borderId="0" xfId="0" applyFont="1" applyFill="1" applyAlignment="1" applyProtection="1">
      <alignment horizontal="center" vertical="center"/>
    </xf>
    <xf numFmtId="164" fontId="46" fillId="27" borderId="0" xfId="319" applyNumberFormat="1" applyFont="1" applyFill="1" applyAlignment="1" applyProtection="1">
      <alignment horizontal="center" vertical="center"/>
      <protection locked="0"/>
    </xf>
    <xf numFmtId="164" fontId="46" fillId="22" borderId="0" xfId="319" applyNumberFormat="1" applyFont="1" applyFill="1" applyAlignment="1" applyProtection="1">
      <alignment horizontal="center" vertical="center"/>
    </xf>
    <xf numFmtId="0" fontId="0" fillId="0" borderId="0" xfId="0"/>
    <xf numFmtId="0" fontId="49" fillId="0" borderId="21" xfId="0" applyNumberFormat="1" applyFont="1" applyFill="1" applyBorder="1" applyAlignment="1" applyProtection="1">
      <alignment horizontal="left" vertical="center" wrapText="1"/>
    </xf>
    <xf numFmtId="0" fontId="0" fillId="0" borderId="21" xfId="0" applyFont="1" applyFill="1" applyBorder="1" applyAlignment="1" applyProtection="1">
      <alignment vertical="center" wrapText="1"/>
    </xf>
    <xf numFmtId="164" fontId="100" fillId="22" borderId="0" xfId="319" applyNumberFormat="1" applyFont="1" applyFill="1" applyAlignment="1" applyProtection="1">
      <alignment horizontal="center" vertical="center" wrapText="1"/>
    </xf>
    <xf numFmtId="164" fontId="46" fillId="0" borderId="27" xfId="319" applyNumberFormat="1" applyFont="1" applyFill="1" applyBorder="1" applyAlignment="1" applyProtection="1">
      <alignment vertical="center"/>
    </xf>
    <xf numFmtId="41" fontId="64" fillId="27" borderId="0" xfId="319" applyNumberFormat="1" applyFont="1" applyFill="1" applyAlignment="1" applyProtection="1">
      <alignment horizontal="center" vertical="center" wrapText="1"/>
      <protection locked="0"/>
    </xf>
    <xf numFmtId="0" fontId="83" fillId="0" borderId="0" xfId="0" applyNumberFormat="1" applyFont="1" applyFill="1" applyAlignment="1" applyProtection="1">
      <alignment vertical="center" wrapText="1"/>
    </xf>
    <xf numFmtId="0" fontId="83" fillId="22" borderId="0" xfId="0" applyFont="1" applyFill="1" applyBorder="1" applyAlignment="1" applyProtection="1">
      <alignment vertical="center"/>
    </xf>
    <xf numFmtId="0" fontId="92" fillId="0" borderId="26" xfId="319" applyNumberFormat="1" applyFont="1" applyBorder="1" applyAlignment="1" applyProtection="1">
      <alignment vertical="center"/>
    </xf>
    <xf numFmtId="37" fontId="51" fillId="21" borderId="26" xfId="319" applyNumberFormat="1" applyFont="1" applyFill="1" applyBorder="1" applyAlignment="1" applyProtection="1">
      <alignment horizontal="center" vertical="center" wrapText="1"/>
    </xf>
    <xf numFmtId="164" fontId="101" fillId="0" borderId="21" xfId="319" applyNumberFormat="1" applyFont="1" applyFill="1" applyBorder="1" applyAlignment="1" applyProtection="1">
      <alignment horizontal="center" vertical="center" wrapText="1"/>
    </xf>
    <xf numFmtId="37" fontId="94" fillId="0" borderId="26" xfId="319" applyNumberFormat="1" applyFont="1" applyFill="1" applyBorder="1" applyAlignment="1" applyProtection="1">
      <alignment horizontal="center" vertical="center" wrapText="1"/>
    </xf>
    <xf numFmtId="37" fontId="51" fillId="0" borderId="26" xfId="319" applyNumberFormat="1" applyFont="1" applyFill="1" applyBorder="1" applyAlignment="1" applyProtection="1">
      <alignment horizontal="center" vertical="center" wrapText="1"/>
    </xf>
    <xf numFmtId="0" fontId="0" fillId="0" borderId="0" xfId="0" applyProtection="1"/>
    <xf numFmtId="0" fontId="0" fillId="0" borderId="0" xfId="0" applyNumberFormat="1" applyFont="1" applyFill="1" applyAlignment="1" applyProtection="1">
      <alignment horizontal="left" vertical="center" wrapText="1"/>
    </xf>
    <xf numFmtId="0" fontId="0" fillId="22" borderId="22" xfId="0" applyNumberFormat="1" applyFill="1" applyBorder="1" applyAlignment="1" applyProtection="1">
      <alignment horizontal="left" vertical="center" wrapText="1"/>
    </xf>
    <xf numFmtId="0" fontId="88" fillId="22" borderId="22" xfId="0" applyNumberFormat="1" applyFont="1" applyFill="1" applyBorder="1" applyAlignment="1" applyProtection="1">
      <alignment horizontal="left" vertical="center" wrapText="1"/>
    </xf>
    <xf numFmtId="0" fontId="0" fillId="22" borderId="21" xfId="0" applyNumberFormat="1" applyFill="1" applyBorder="1" applyAlignment="1" applyProtection="1">
      <alignment horizontal="left" vertical="center" wrapText="1"/>
    </xf>
    <xf numFmtId="0" fontId="56" fillId="22" borderId="32" xfId="0" applyFont="1" applyFill="1" applyBorder="1" applyAlignment="1" applyProtection="1">
      <alignment horizontal="center" vertical="center"/>
    </xf>
    <xf numFmtId="0" fontId="90" fillId="22" borderId="32" xfId="0" applyFont="1" applyFill="1" applyBorder="1" applyAlignment="1" applyProtection="1">
      <alignment horizontal="center" vertical="center"/>
    </xf>
    <xf numFmtId="0" fontId="0" fillId="22" borderId="28" xfId="0" applyNumberFormat="1" applyFill="1" applyBorder="1" applyAlignment="1" applyProtection="1">
      <alignment horizontal="left" vertical="center" wrapText="1"/>
    </xf>
    <xf numFmtId="0" fontId="51" fillId="0" borderId="21" xfId="0" applyNumberFormat="1" applyFont="1" applyBorder="1" applyAlignment="1" applyProtection="1">
      <alignment horizontal="center" vertical="center"/>
    </xf>
    <xf numFmtId="0" fontId="0" fillId="0" borderId="0" xfId="0" applyFont="1" applyFill="1" applyBorder="1" applyAlignment="1" applyProtection="1">
      <alignment vertical="center" wrapText="1"/>
    </xf>
    <xf numFmtId="0" fontId="0" fillId="0" borderId="0" xfId="0" applyNumberFormat="1" applyFill="1" applyAlignment="1" applyProtection="1">
      <alignment vertical="center" wrapText="1"/>
    </xf>
    <xf numFmtId="0" fontId="86" fillId="0" borderId="0" xfId="0" applyFont="1" applyFill="1" applyAlignment="1" applyProtection="1">
      <alignment horizontal="center" vertical="center"/>
    </xf>
    <xf numFmtId="0" fontId="0" fillId="0" borderId="0" xfId="0" applyNumberFormat="1" applyFont="1" applyFill="1" applyAlignment="1" applyProtection="1">
      <alignment vertical="center" wrapText="1"/>
    </xf>
    <xf numFmtId="37" fontId="46" fillId="0" borderId="0" xfId="319" applyNumberFormat="1" applyFont="1" applyAlignment="1" applyProtection="1">
      <alignment vertical="center"/>
    </xf>
    <xf numFmtId="0" fontId="70" fillId="0" borderId="21" xfId="0" applyNumberFormat="1" applyFont="1" applyFill="1" applyBorder="1" applyAlignment="1" applyProtection="1">
      <alignment horizontal="left" vertical="center" wrapText="1"/>
    </xf>
    <xf numFmtId="0" fontId="51" fillId="0" borderId="23" xfId="0" applyNumberFormat="1" applyFont="1" applyBorder="1" applyAlignment="1" applyProtection="1">
      <alignment horizontal="center" vertical="center"/>
    </xf>
    <xf numFmtId="0" fontId="51" fillId="30" borderId="21" xfId="0" applyNumberFormat="1" applyFont="1" applyFill="1" applyBorder="1" applyAlignment="1" applyProtection="1">
      <alignment horizontal="center" vertical="center"/>
    </xf>
    <xf numFmtId="0" fontId="0" fillId="30" borderId="21" xfId="0" applyFill="1" applyBorder="1" applyProtection="1"/>
    <xf numFmtId="0" fontId="0" fillId="0" borderId="0" xfId="0" applyProtection="1"/>
    <xf numFmtId="0" fontId="0" fillId="0" borderId="0" xfId="0" applyFill="1" applyProtection="1"/>
    <xf numFmtId="0" fontId="0" fillId="0" borderId="0" xfId="0" applyFill="1" applyBorder="1" applyProtection="1"/>
    <xf numFmtId="0" fontId="0" fillId="22" borderId="0" xfId="0" applyFill="1" applyBorder="1" applyAlignment="1" applyProtection="1">
      <alignment vertical="center"/>
    </xf>
    <xf numFmtId="0" fontId="0" fillId="0" borderId="0" xfId="0" applyFill="1" applyAlignment="1" applyProtection="1">
      <alignment horizontal="center" vertical="center"/>
    </xf>
    <xf numFmtId="164" fontId="46" fillId="21" borderId="25" xfId="319" applyNumberFormat="1" applyFont="1" applyFill="1" applyBorder="1" applyAlignment="1" applyProtection="1">
      <alignment vertical="center"/>
    </xf>
    <xf numFmtId="0" fontId="51" fillId="21" borderId="32" xfId="0" applyNumberFormat="1" applyFont="1" applyFill="1" applyBorder="1" applyAlignment="1" applyProtection="1">
      <alignment horizontal="center" vertical="center"/>
    </xf>
    <xf numFmtId="164" fontId="92" fillId="0" borderId="27" xfId="319" applyNumberFormat="1" applyFont="1" applyBorder="1" applyAlignment="1" applyProtection="1">
      <alignment vertical="center"/>
    </xf>
    <xf numFmtId="164" fontId="46" fillId="0" borderId="33" xfId="319" applyNumberFormat="1" applyFont="1" applyFill="1" applyBorder="1" applyAlignment="1" applyProtection="1">
      <alignment vertical="center"/>
      <protection locked="0"/>
    </xf>
    <xf numFmtId="164" fontId="46" fillId="0" borderId="0" xfId="319" applyNumberFormat="1" applyFont="1" applyFill="1" applyBorder="1" applyAlignment="1" applyProtection="1">
      <alignment vertical="center"/>
      <protection locked="0"/>
    </xf>
    <xf numFmtId="0" fontId="0" fillId="31" borderId="0" xfId="0" applyFill="1" applyAlignment="1" applyProtection="1">
      <alignment horizontal="center" vertical="center"/>
    </xf>
    <xf numFmtId="165" fontId="0" fillId="0" borderId="0" xfId="0" applyNumberFormat="1" applyFill="1" applyAlignment="1" applyProtection="1">
      <alignment wrapText="1"/>
      <protection locked="0"/>
    </xf>
    <xf numFmtId="165" fontId="46" fillId="27" borderId="0" xfId="319" applyNumberFormat="1" applyFont="1" applyFill="1" applyAlignment="1" applyProtection="1">
      <alignment horizontal="center" vertical="center"/>
      <protection locked="0"/>
    </xf>
    <xf numFmtId="0" fontId="0" fillId="0" borderId="0" xfId="0" applyProtection="1"/>
    <xf numFmtId="0" fontId="0" fillId="22" borderId="0" xfId="0" applyFill="1" applyBorder="1" applyAlignment="1" applyProtection="1">
      <alignment vertical="center"/>
    </xf>
    <xf numFmtId="0" fontId="0" fillId="0" borderId="21" xfId="0" applyNumberFormat="1" applyFill="1" applyBorder="1" applyAlignment="1" applyProtection="1">
      <alignment horizontal="left" vertical="center" wrapText="1"/>
    </xf>
    <xf numFmtId="0" fontId="0" fillId="0" borderId="22" xfId="0" applyNumberFormat="1" applyFill="1" applyBorder="1" applyAlignment="1" applyProtection="1">
      <alignment horizontal="left" vertical="center" wrapText="1"/>
    </xf>
    <xf numFmtId="0" fontId="0" fillId="0" borderId="0" xfId="0" applyAlignment="1" applyProtection="1">
      <alignment horizontal="center" vertical="center"/>
    </xf>
    <xf numFmtId="0" fontId="0" fillId="0" borderId="0" xfId="0" applyProtection="1"/>
    <xf numFmtId="0" fontId="0" fillId="0" borderId="0" xfId="0" applyProtection="1"/>
    <xf numFmtId="0" fontId="0" fillId="0" borderId="28" xfId="0" applyFont="1" applyFill="1" applyBorder="1" applyAlignment="1" applyProtection="1">
      <alignment vertical="center" wrapText="1"/>
    </xf>
    <xf numFmtId="0" fontId="0" fillId="0" borderId="29" xfId="0" applyFont="1" applyFill="1" applyBorder="1" applyAlignment="1" applyProtection="1">
      <alignment vertical="center" wrapText="1"/>
    </xf>
    <xf numFmtId="0" fontId="0" fillId="0" borderId="0" xfId="0"/>
    <xf numFmtId="0" fontId="0" fillId="0" borderId="0" xfId="0"/>
    <xf numFmtId="0" fontId="0" fillId="0" borderId="0" xfId="0"/>
    <xf numFmtId="0" fontId="0" fillId="0" borderId="0" xfId="0" applyAlignment="1">
      <alignment wrapText="1"/>
    </xf>
    <xf numFmtId="0" fontId="0" fillId="33" borderId="21" xfId="0" applyNumberFormat="1" applyFill="1" applyBorder="1" applyAlignment="1" applyProtection="1">
      <alignment horizontal="left" vertical="center" wrapText="1"/>
    </xf>
    <xf numFmtId="0" fontId="88" fillId="33" borderId="21" xfId="0" applyNumberFormat="1" applyFont="1" applyFill="1" applyBorder="1" applyAlignment="1" applyProtection="1">
      <alignment horizontal="left" vertical="center" wrapText="1"/>
    </xf>
    <xf numFmtId="0" fontId="0" fillId="33" borderId="22" xfId="0" applyNumberFormat="1" applyFill="1" applyBorder="1" applyAlignment="1" applyProtection="1">
      <alignment horizontal="left" vertical="center" wrapText="1"/>
    </xf>
    <xf numFmtId="41" fontId="54" fillId="34" borderId="0" xfId="0" applyNumberFormat="1" applyFont="1" applyFill="1" applyAlignment="1" applyProtection="1">
      <alignment wrapText="1"/>
    </xf>
    <xf numFmtId="164" fontId="51" fillId="34" borderId="0" xfId="319" applyNumberFormat="1" applyFont="1" applyFill="1" applyAlignment="1" applyProtection="1">
      <alignment horizontal="center" vertical="center"/>
      <protection locked="0"/>
    </xf>
    <xf numFmtId="38" fontId="83" fillId="34" borderId="0" xfId="319" applyNumberFormat="1" applyFont="1" applyFill="1" applyAlignment="1" applyProtection="1">
      <alignment horizontal="center" vertical="center" wrapText="1"/>
    </xf>
    <xf numFmtId="0" fontId="0" fillId="34" borderId="0" xfId="0" applyNumberFormat="1" applyFill="1" applyAlignment="1" applyProtection="1">
      <alignment vertical="center" wrapText="1"/>
    </xf>
    <xf numFmtId="0" fontId="86" fillId="34" borderId="0" xfId="0" applyFont="1" applyFill="1" applyAlignment="1" applyProtection="1">
      <alignment horizontal="center" vertical="center" wrapText="1"/>
    </xf>
    <xf numFmtId="0" fontId="111" fillId="34" borderId="0" xfId="0" applyFont="1" applyFill="1" applyAlignment="1" applyProtection="1">
      <alignment horizontal="left" vertical="center"/>
    </xf>
    <xf numFmtId="0" fontId="0" fillId="0" borderId="0" xfId="0" applyFill="1" applyProtection="1"/>
    <xf numFmtId="0" fontId="0" fillId="0" borderId="0" xfId="0" applyFill="1" applyAlignment="1" applyProtection="1">
      <alignment horizontal="center" vertical="center"/>
    </xf>
    <xf numFmtId="0" fontId="109" fillId="33" borderId="35" xfId="0" applyNumberFormat="1" applyFont="1" applyFill="1" applyBorder="1" applyAlignment="1" applyProtection="1">
      <alignment horizontal="center" vertical="center"/>
    </xf>
    <xf numFmtId="0" fontId="115" fillId="33" borderId="36" xfId="0" applyFont="1" applyFill="1" applyBorder="1" applyAlignment="1" applyProtection="1">
      <alignment wrapText="1"/>
    </xf>
    <xf numFmtId="43" fontId="110" fillId="0" borderId="0" xfId="319" applyFont="1" applyFill="1" applyAlignment="1" applyProtection="1">
      <alignment wrapText="1"/>
      <protection locked="0"/>
    </xf>
    <xf numFmtId="164" fontId="88" fillId="33" borderId="21" xfId="319" applyNumberFormat="1" applyFont="1" applyFill="1" applyBorder="1" applyAlignment="1" applyProtection="1">
      <alignment horizontal="center" vertical="center" wrapText="1"/>
    </xf>
    <xf numFmtId="39" fontId="88" fillId="33" borderId="26" xfId="319" applyNumberFormat="1" applyFont="1" applyFill="1" applyBorder="1" applyAlignment="1" applyProtection="1">
      <alignment horizontal="center" vertical="center" wrapText="1"/>
    </xf>
    <xf numFmtId="164" fontId="88" fillId="33" borderId="27" xfId="319" applyNumberFormat="1" applyFont="1" applyFill="1" applyBorder="1" applyAlignment="1" applyProtection="1">
      <alignment horizontal="center" vertical="center" wrapText="1"/>
    </xf>
    <xf numFmtId="164" fontId="46" fillId="33" borderId="26" xfId="319" applyNumberFormat="1" applyFont="1" applyFill="1" applyBorder="1" applyAlignment="1" applyProtection="1">
      <alignment vertical="center"/>
    </xf>
    <xf numFmtId="164" fontId="46" fillId="33" borderId="34" xfId="319" applyNumberFormat="1" applyFont="1" applyFill="1" applyBorder="1" applyAlignment="1" applyProtection="1">
      <alignment vertical="center"/>
    </xf>
    <xf numFmtId="3" fontId="0" fillId="0" borderId="0" xfId="0" applyNumberFormat="1"/>
    <xf numFmtId="4" fontId="0" fillId="0" borderId="0" xfId="0" applyNumberFormat="1"/>
    <xf numFmtId="0" fontId="34" fillId="26" borderId="0" xfId="0" applyFont="1" applyFill="1" applyAlignment="1" applyProtection="1">
      <alignment horizontal="left" vertical="center"/>
    </xf>
    <xf numFmtId="0" fontId="0" fillId="33" borderId="21" xfId="0" applyNumberFormat="1" applyFont="1" applyFill="1" applyBorder="1" applyAlignment="1" applyProtection="1">
      <alignment horizontal="left" vertical="center" wrapText="1"/>
    </xf>
    <xf numFmtId="164" fontId="116" fillId="33" borderId="37" xfId="323" applyNumberFormat="1" applyFont="1" applyFill="1" applyBorder="1" applyAlignment="1" applyProtection="1">
      <alignment horizontal="center" vertical="center" wrapText="1"/>
      <protection locked="0"/>
    </xf>
    <xf numFmtId="0" fontId="0" fillId="33" borderId="21" xfId="0" applyNumberFormat="1" applyFont="1" applyFill="1" applyBorder="1" applyAlignment="1" applyProtection="1">
      <alignment horizontal="center" vertical="center" wrapText="1"/>
    </xf>
    <xf numFmtId="0" fontId="0" fillId="0" borderId="0" xfId="0" applyFont="1" applyFill="1" applyAlignment="1" applyProtection="1">
      <alignment horizontal="left" vertical="center" wrapText="1"/>
    </xf>
    <xf numFmtId="0" fontId="0" fillId="0" borderId="0" xfId="0" applyFill="1" applyAlignment="1">
      <alignment vertical="center" wrapText="1"/>
    </xf>
    <xf numFmtId="0" fontId="112" fillId="0" borderId="0" xfId="0" applyFont="1" applyFill="1" applyAlignment="1" applyProtection="1">
      <alignment horizontal="center" vertical="center" wrapText="1"/>
    </xf>
    <xf numFmtId="0" fontId="113" fillId="0" borderId="0" xfId="0" applyFont="1" applyFill="1" applyAlignment="1" applyProtection="1">
      <alignment horizontal="center" vertical="center" wrapText="1"/>
    </xf>
    <xf numFmtId="41" fontId="114" fillId="0" borderId="0" xfId="323" applyNumberFormat="1" applyFont="1" applyFill="1" applyAlignment="1" applyProtection="1">
      <alignment vertical="center" wrapText="1"/>
    </xf>
    <xf numFmtId="38" fontId="0" fillId="0" borderId="0" xfId="0" applyNumberFormat="1" applyFill="1" applyProtection="1"/>
    <xf numFmtId="0" fontId="51" fillId="33" borderId="22" xfId="0" applyNumberFormat="1" applyFont="1" applyFill="1" applyBorder="1" applyAlignment="1" applyProtection="1">
      <alignment horizontal="center" vertical="center"/>
    </xf>
    <xf numFmtId="0" fontId="0" fillId="33" borderId="21" xfId="0" applyFont="1" applyFill="1" applyBorder="1" applyAlignment="1" applyProtection="1">
      <alignment vertical="center" wrapText="1"/>
    </xf>
    <xf numFmtId="165" fontId="88" fillId="0" borderId="27" xfId="319" applyNumberFormat="1" applyFont="1" applyFill="1" applyBorder="1" applyAlignment="1" applyProtection="1">
      <alignment horizontal="center" vertical="center" wrapText="1"/>
    </xf>
    <xf numFmtId="0" fontId="0" fillId="0" borderId="22" xfId="0" applyNumberFormat="1" applyFont="1" applyFill="1" applyBorder="1" applyAlignment="1" applyProtection="1">
      <alignment horizontal="left" vertical="center" wrapText="1"/>
    </xf>
    <xf numFmtId="0" fontId="0" fillId="0" borderId="21" xfId="0" applyNumberFormat="1" applyFont="1" applyFill="1" applyBorder="1" applyAlignment="1" applyProtection="1">
      <alignment horizontal="left" vertical="center" wrapText="1"/>
    </xf>
    <xf numFmtId="165" fontId="46" fillId="0" borderId="26" xfId="319" applyNumberFormat="1" applyFont="1" applyFill="1" applyBorder="1" applyAlignment="1" applyProtection="1">
      <alignment vertical="center"/>
    </xf>
    <xf numFmtId="0" fontId="51" fillId="0" borderId="21" xfId="0" applyNumberFormat="1" applyFont="1" applyFill="1" applyBorder="1" applyAlignment="1" applyProtection="1">
      <alignment horizontal="center" vertical="center"/>
    </xf>
    <xf numFmtId="0" fontId="56" fillId="0" borderId="21" xfId="0" applyFont="1" applyFill="1" applyBorder="1" applyAlignment="1" applyProtection="1">
      <alignment wrapText="1"/>
    </xf>
    <xf numFmtId="0" fontId="0" fillId="0" borderId="22" xfId="0" applyFill="1" applyBorder="1" applyProtection="1"/>
    <xf numFmtId="0" fontId="0" fillId="0" borderId="21" xfId="0" applyFill="1" applyBorder="1" applyProtection="1"/>
    <xf numFmtId="0" fontId="56" fillId="30" borderId="21" xfId="0" applyFont="1" applyFill="1" applyBorder="1" applyAlignment="1" applyProtection="1">
      <alignment vertical="center" wrapText="1"/>
    </xf>
    <xf numFmtId="164" fontId="1" fillId="27" borderId="29" xfId="319" applyNumberFormat="1" applyFont="1" applyFill="1" applyBorder="1" applyAlignment="1" applyProtection="1">
      <alignment horizontal="center" vertical="center" wrapText="1"/>
      <protection locked="0"/>
    </xf>
    <xf numFmtId="164" fontId="1" fillId="0" borderId="29" xfId="319" applyNumberFormat="1" applyFont="1" applyFill="1" applyBorder="1" applyAlignment="1" applyProtection="1">
      <alignment horizontal="center" vertical="center" wrapText="1"/>
    </xf>
    <xf numFmtId="164" fontId="1" fillId="27" borderId="21" xfId="319" applyNumberFormat="1" applyFont="1" applyFill="1" applyBorder="1" applyAlignment="1" applyProtection="1">
      <alignment horizontal="center" vertical="center" wrapText="1"/>
      <protection locked="0"/>
    </xf>
    <xf numFmtId="164" fontId="1" fillId="0" borderId="21" xfId="319" applyNumberFormat="1" applyFont="1" applyFill="1" applyBorder="1" applyAlignment="1" applyProtection="1">
      <alignment horizontal="center" vertical="center" wrapText="1"/>
    </xf>
    <xf numFmtId="164" fontId="1" fillId="21" borderId="21" xfId="319" applyNumberFormat="1" applyFont="1" applyFill="1" applyBorder="1" applyAlignment="1" applyProtection="1">
      <alignment horizontal="center" vertical="center" wrapText="1"/>
    </xf>
    <xf numFmtId="164" fontId="1" fillId="33" borderId="21" xfId="319" applyNumberFormat="1" applyFont="1" applyFill="1" applyBorder="1" applyAlignment="1" applyProtection="1">
      <alignment horizontal="center" vertical="center" wrapText="1"/>
    </xf>
    <xf numFmtId="43" fontId="1" fillId="22" borderId="21" xfId="319" applyFont="1" applyFill="1" applyBorder="1" applyAlignment="1" applyProtection="1">
      <alignment horizontal="center" vertical="center" wrapText="1"/>
    </xf>
    <xf numFmtId="43" fontId="1" fillId="0" borderId="21" xfId="319" applyFont="1" applyFill="1" applyBorder="1" applyAlignment="1" applyProtection="1">
      <alignment horizontal="center" vertical="center" wrapText="1"/>
    </xf>
    <xf numFmtId="165" fontId="1" fillId="27" borderId="21" xfId="319" applyNumberFormat="1" applyFont="1" applyFill="1" applyBorder="1" applyAlignment="1" applyProtection="1">
      <alignment horizontal="center" vertical="center" wrapText="1"/>
      <protection locked="0"/>
    </xf>
    <xf numFmtId="165" fontId="1" fillId="0" borderId="21" xfId="319" applyNumberFormat="1" applyFont="1" applyFill="1" applyBorder="1" applyAlignment="1" applyProtection="1">
      <alignment horizontal="center" vertical="center" wrapText="1"/>
    </xf>
    <xf numFmtId="164" fontId="0" fillId="0" borderId="0" xfId="0" applyNumberFormat="1" applyProtection="1"/>
    <xf numFmtId="0" fontId="53" fillId="21" borderId="15" xfId="0" applyFont="1" applyFill="1" applyBorder="1" applyAlignment="1" applyProtection="1">
      <alignment horizontal="center" wrapText="1"/>
      <protection locked="0"/>
    </xf>
    <xf numFmtId="0" fontId="53" fillId="21" borderId="11" xfId="0" applyFont="1" applyFill="1" applyBorder="1" applyAlignment="1" applyProtection="1">
      <alignment horizontal="center" wrapText="1"/>
      <protection locked="0"/>
    </xf>
    <xf numFmtId="0" fontId="71" fillId="20" borderId="13" xfId="0" applyFont="1" applyFill="1" applyBorder="1" applyAlignment="1" applyProtection="1">
      <alignment horizontal="center" vertical="center" wrapText="1"/>
    </xf>
    <xf numFmtId="0" fontId="71" fillId="20" borderId="15" xfId="0" applyFont="1" applyFill="1" applyBorder="1" applyAlignment="1" applyProtection="1">
      <alignment horizontal="center" vertical="center" wrapText="1"/>
    </xf>
    <xf numFmtId="0" fontId="77" fillId="0" borderId="0" xfId="455" applyFont="1" applyAlignment="1">
      <alignment horizontal="left" wrapText="1"/>
    </xf>
    <xf numFmtId="0" fontId="102" fillId="21" borderId="0" xfId="455" applyFont="1" applyFill="1" applyAlignment="1">
      <alignment horizontal="left" vertical="center" wrapText="1"/>
    </xf>
    <xf numFmtId="0" fontId="76" fillId="0" borderId="0" xfId="455" applyFont="1" applyAlignment="1">
      <alignment horizontal="center" vertical="center"/>
    </xf>
    <xf numFmtId="0" fontId="81" fillId="21" borderId="0" xfId="455" applyFont="1" applyFill="1" applyAlignment="1">
      <alignment horizontal="left" wrapText="1"/>
    </xf>
  </cellXfs>
  <cellStyles count="840">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5" xfId="48" xr:uid="{00000000-0005-0000-0000-00002F000000}"/>
    <cellStyle name="Accent1 6" xfId="49" xr:uid="{00000000-0005-0000-0000-000030000000}"/>
    <cellStyle name="Accent1 7" xfId="50" xr:uid="{00000000-0005-0000-0000-000031000000}"/>
    <cellStyle name="Accent1 8" xfId="51" xr:uid="{00000000-0005-0000-0000-000032000000}"/>
    <cellStyle name="Accent1 9" xfId="52" xr:uid="{00000000-0005-0000-0000-000033000000}"/>
    <cellStyle name="Accent2 - 20%" xfId="53" xr:uid="{00000000-0005-0000-0000-000034000000}"/>
    <cellStyle name="Accent2 - 20% 2" xfId="54" xr:uid="{00000000-0005-0000-0000-000035000000}"/>
    <cellStyle name="Accent2 - 40%" xfId="55" xr:uid="{00000000-0005-0000-0000-000036000000}"/>
    <cellStyle name="Accent2 - 40% 2" xfId="56" xr:uid="{00000000-0005-0000-0000-000037000000}"/>
    <cellStyle name="Accent2 - 60%" xfId="57" xr:uid="{00000000-0005-0000-0000-000038000000}"/>
    <cellStyle name="Accent2 10" xfId="58" xr:uid="{00000000-0005-0000-0000-000039000000}"/>
    <cellStyle name="Accent2 11" xfId="59" xr:uid="{00000000-0005-0000-0000-00003A000000}"/>
    <cellStyle name="Accent2 12" xfId="60" xr:uid="{00000000-0005-0000-0000-00003B000000}"/>
    <cellStyle name="Accent2 13" xfId="61" xr:uid="{00000000-0005-0000-0000-00003C000000}"/>
    <cellStyle name="Accent2 14" xfId="62" xr:uid="{00000000-0005-0000-0000-00003D000000}"/>
    <cellStyle name="Accent2 15" xfId="63" xr:uid="{00000000-0005-0000-0000-00003E000000}"/>
    <cellStyle name="Accent2 16" xfId="64" xr:uid="{00000000-0005-0000-0000-00003F000000}"/>
    <cellStyle name="Accent2 17" xfId="65" xr:uid="{00000000-0005-0000-0000-000040000000}"/>
    <cellStyle name="Accent2 18" xfId="66" xr:uid="{00000000-0005-0000-0000-000041000000}"/>
    <cellStyle name="Accent2 19" xfId="67" xr:uid="{00000000-0005-0000-0000-000042000000}"/>
    <cellStyle name="Accent2 2" xfId="68" xr:uid="{00000000-0005-0000-0000-000043000000}"/>
    <cellStyle name="Accent2 20" xfId="69" xr:uid="{00000000-0005-0000-0000-000044000000}"/>
    <cellStyle name="Accent2 21" xfId="70" xr:uid="{00000000-0005-0000-0000-000045000000}"/>
    <cellStyle name="Accent2 22" xfId="71" xr:uid="{00000000-0005-0000-0000-000046000000}"/>
    <cellStyle name="Accent2 23" xfId="72" xr:uid="{00000000-0005-0000-0000-000047000000}"/>
    <cellStyle name="Accent2 24" xfId="73" xr:uid="{00000000-0005-0000-0000-000048000000}"/>
    <cellStyle name="Accent2 25" xfId="74" xr:uid="{00000000-0005-0000-0000-000049000000}"/>
    <cellStyle name="Accent2 26" xfId="75" xr:uid="{00000000-0005-0000-0000-00004A000000}"/>
    <cellStyle name="Accent2 27" xfId="76" xr:uid="{00000000-0005-0000-0000-00004B000000}"/>
    <cellStyle name="Accent2 28" xfId="77" xr:uid="{00000000-0005-0000-0000-00004C000000}"/>
    <cellStyle name="Accent2 29" xfId="78" xr:uid="{00000000-0005-0000-0000-00004D000000}"/>
    <cellStyle name="Accent2 3" xfId="79" xr:uid="{00000000-0005-0000-0000-00004E000000}"/>
    <cellStyle name="Accent2 30" xfId="80" xr:uid="{00000000-0005-0000-0000-00004F000000}"/>
    <cellStyle name="Accent2 31" xfId="81" xr:uid="{00000000-0005-0000-0000-000050000000}"/>
    <cellStyle name="Accent2 32" xfId="82" xr:uid="{00000000-0005-0000-0000-000051000000}"/>
    <cellStyle name="Accent2 33" xfId="83" xr:uid="{00000000-0005-0000-0000-000052000000}"/>
    <cellStyle name="Accent2 34" xfId="84" xr:uid="{00000000-0005-0000-0000-000053000000}"/>
    <cellStyle name="Accent2 35" xfId="85" xr:uid="{00000000-0005-0000-0000-000054000000}"/>
    <cellStyle name="Accent2 36" xfId="86" xr:uid="{00000000-0005-0000-0000-000055000000}"/>
    <cellStyle name="Accent2 37" xfId="87" xr:uid="{00000000-0005-0000-0000-000056000000}"/>
    <cellStyle name="Accent2 38" xfId="88" xr:uid="{00000000-0005-0000-0000-000057000000}"/>
    <cellStyle name="Accent2 39" xfId="89" xr:uid="{00000000-0005-0000-0000-000058000000}"/>
    <cellStyle name="Accent2 4" xfId="90" xr:uid="{00000000-0005-0000-0000-000059000000}"/>
    <cellStyle name="Accent2 40" xfId="91" xr:uid="{00000000-0005-0000-0000-00005A000000}"/>
    <cellStyle name="Accent2 41" xfId="92" xr:uid="{00000000-0005-0000-0000-00005B000000}"/>
    <cellStyle name="Accent2 42" xfId="93" xr:uid="{00000000-0005-0000-0000-00005C000000}"/>
    <cellStyle name="Accent2 43" xfId="94" xr:uid="{00000000-0005-0000-0000-00005D000000}"/>
    <cellStyle name="Accent2 44" xfId="95" xr:uid="{00000000-0005-0000-0000-00005E000000}"/>
    <cellStyle name="Accent2 45" xfId="96" xr:uid="{00000000-0005-0000-0000-00005F000000}"/>
    <cellStyle name="Accent2 46" xfId="97" xr:uid="{00000000-0005-0000-0000-000060000000}"/>
    <cellStyle name="Accent2 47" xfId="98" xr:uid="{00000000-0005-0000-0000-000061000000}"/>
    <cellStyle name="Accent2 48" xfId="99" xr:uid="{00000000-0005-0000-0000-000062000000}"/>
    <cellStyle name="Accent2 5" xfId="100" xr:uid="{00000000-0005-0000-0000-000063000000}"/>
    <cellStyle name="Accent2 6" xfId="101" xr:uid="{00000000-0005-0000-0000-000064000000}"/>
    <cellStyle name="Accent2 7" xfId="102" xr:uid="{00000000-0005-0000-0000-000065000000}"/>
    <cellStyle name="Accent2 8" xfId="103" xr:uid="{00000000-0005-0000-0000-000066000000}"/>
    <cellStyle name="Accent2 9" xfId="104" xr:uid="{00000000-0005-0000-0000-000067000000}"/>
    <cellStyle name="Accent3 - 20%" xfId="105" xr:uid="{00000000-0005-0000-0000-000068000000}"/>
    <cellStyle name="Accent3 - 20% 2" xfId="106" xr:uid="{00000000-0005-0000-0000-000069000000}"/>
    <cellStyle name="Accent3 - 40%" xfId="107" xr:uid="{00000000-0005-0000-0000-00006A000000}"/>
    <cellStyle name="Accent3 - 40% 2" xfId="108" xr:uid="{00000000-0005-0000-0000-00006B000000}"/>
    <cellStyle name="Accent3 - 60%" xfId="109" xr:uid="{00000000-0005-0000-0000-00006C000000}"/>
    <cellStyle name="Accent3 10" xfId="110" xr:uid="{00000000-0005-0000-0000-00006D000000}"/>
    <cellStyle name="Accent3 11" xfId="111" xr:uid="{00000000-0005-0000-0000-00006E000000}"/>
    <cellStyle name="Accent3 12" xfId="112" xr:uid="{00000000-0005-0000-0000-00006F000000}"/>
    <cellStyle name="Accent3 13" xfId="113" xr:uid="{00000000-0005-0000-0000-000070000000}"/>
    <cellStyle name="Accent3 14" xfId="114" xr:uid="{00000000-0005-0000-0000-000071000000}"/>
    <cellStyle name="Accent3 15" xfId="115" xr:uid="{00000000-0005-0000-0000-000072000000}"/>
    <cellStyle name="Accent3 16" xfId="116" xr:uid="{00000000-0005-0000-0000-000073000000}"/>
    <cellStyle name="Accent3 17" xfId="117" xr:uid="{00000000-0005-0000-0000-000074000000}"/>
    <cellStyle name="Accent3 18" xfId="118" xr:uid="{00000000-0005-0000-0000-000075000000}"/>
    <cellStyle name="Accent3 19" xfId="119" xr:uid="{00000000-0005-0000-0000-000076000000}"/>
    <cellStyle name="Accent3 2" xfId="120" xr:uid="{00000000-0005-0000-0000-000077000000}"/>
    <cellStyle name="Accent3 20" xfId="121" xr:uid="{00000000-0005-0000-0000-000078000000}"/>
    <cellStyle name="Accent3 21" xfId="122" xr:uid="{00000000-0005-0000-0000-000079000000}"/>
    <cellStyle name="Accent3 22" xfId="123" xr:uid="{00000000-0005-0000-0000-00007A000000}"/>
    <cellStyle name="Accent3 23" xfId="124" xr:uid="{00000000-0005-0000-0000-00007B000000}"/>
    <cellStyle name="Accent3 24" xfId="125" xr:uid="{00000000-0005-0000-0000-00007C000000}"/>
    <cellStyle name="Accent3 25" xfId="126" xr:uid="{00000000-0005-0000-0000-00007D000000}"/>
    <cellStyle name="Accent3 26" xfId="127" xr:uid="{00000000-0005-0000-0000-00007E000000}"/>
    <cellStyle name="Accent3 27" xfId="128" xr:uid="{00000000-0005-0000-0000-00007F000000}"/>
    <cellStyle name="Accent3 28" xfId="129" xr:uid="{00000000-0005-0000-0000-000080000000}"/>
    <cellStyle name="Accent3 29" xfId="130" xr:uid="{00000000-0005-0000-0000-000081000000}"/>
    <cellStyle name="Accent3 3" xfId="131" xr:uid="{00000000-0005-0000-0000-000082000000}"/>
    <cellStyle name="Accent3 30" xfId="132" xr:uid="{00000000-0005-0000-0000-000083000000}"/>
    <cellStyle name="Accent3 31" xfId="133" xr:uid="{00000000-0005-0000-0000-000084000000}"/>
    <cellStyle name="Accent3 32" xfId="134" xr:uid="{00000000-0005-0000-0000-000085000000}"/>
    <cellStyle name="Accent3 33" xfId="135" xr:uid="{00000000-0005-0000-0000-000086000000}"/>
    <cellStyle name="Accent3 34" xfId="136" xr:uid="{00000000-0005-0000-0000-000087000000}"/>
    <cellStyle name="Accent3 35" xfId="137" xr:uid="{00000000-0005-0000-0000-000088000000}"/>
    <cellStyle name="Accent3 36" xfId="138" xr:uid="{00000000-0005-0000-0000-000089000000}"/>
    <cellStyle name="Accent3 37" xfId="139" xr:uid="{00000000-0005-0000-0000-00008A000000}"/>
    <cellStyle name="Accent3 38" xfId="140" xr:uid="{00000000-0005-0000-0000-00008B000000}"/>
    <cellStyle name="Accent3 39" xfId="141" xr:uid="{00000000-0005-0000-0000-00008C000000}"/>
    <cellStyle name="Accent3 4" xfId="142" xr:uid="{00000000-0005-0000-0000-00008D000000}"/>
    <cellStyle name="Accent3 40" xfId="143" xr:uid="{00000000-0005-0000-0000-00008E000000}"/>
    <cellStyle name="Accent3 41" xfId="144" xr:uid="{00000000-0005-0000-0000-00008F000000}"/>
    <cellStyle name="Accent3 42" xfId="145" xr:uid="{00000000-0005-0000-0000-000090000000}"/>
    <cellStyle name="Accent3 43" xfId="146" xr:uid="{00000000-0005-0000-0000-000091000000}"/>
    <cellStyle name="Accent3 44" xfId="147" xr:uid="{00000000-0005-0000-0000-000092000000}"/>
    <cellStyle name="Accent3 45" xfId="148" xr:uid="{00000000-0005-0000-0000-000093000000}"/>
    <cellStyle name="Accent3 46" xfId="149" xr:uid="{00000000-0005-0000-0000-000094000000}"/>
    <cellStyle name="Accent3 47" xfId="150" xr:uid="{00000000-0005-0000-0000-000095000000}"/>
    <cellStyle name="Accent3 48" xfId="151" xr:uid="{00000000-0005-0000-0000-000096000000}"/>
    <cellStyle name="Accent3 5" xfId="152" xr:uid="{00000000-0005-0000-0000-000097000000}"/>
    <cellStyle name="Accent3 6" xfId="153" xr:uid="{00000000-0005-0000-0000-000098000000}"/>
    <cellStyle name="Accent3 7" xfId="154" xr:uid="{00000000-0005-0000-0000-000099000000}"/>
    <cellStyle name="Accent3 8" xfId="155" xr:uid="{00000000-0005-0000-0000-00009A000000}"/>
    <cellStyle name="Accent3 9" xfId="156" xr:uid="{00000000-0005-0000-0000-00009B000000}"/>
    <cellStyle name="Accent4 - 20%" xfId="157" xr:uid="{00000000-0005-0000-0000-00009C000000}"/>
    <cellStyle name="Accent4 - 20% 2" xfId="158" xr:uid="{00000000-0005-0000-0000-00009D000000}"/>
    <cellStyle name="Accent4 - 40%" xfId="159" xr:uid="{00000000-0005-0000-0000-00009E000000}"/>
    <cellStyle name="Accent4 - 40% 2" xfId="160" xr:uid="{00000000-0005-0000-0000-00009F000000}"/>
    <cellStyle name="Accent4 - 60%" xfId="161" xr:uid="{00000000-0005-0000-0000-0000A0000000}"/>
    <cellStyle name="Accent4 10" xfId="162" xr:uid="{00000000-0005-0000-0000-0000A1000000}"/>
    <cellStyle name="Accent4 11" xfId="163" xr:uid="{00000000-0005-0000-0000-0000A2000000}"/>
    <cellStyle name="Accent4 12" xfId="164" xr:uid="{00000000-0005-0000-0000-0000A3000000}"/>
    <cellStyle name="Accent4 13" xfId="165" xr:uid="{00000000-0005-0000-0000-0000A4000000}"/>
    <cellStyle name="Accent4 14" xfId="166" xr:uid="{00000000-0005-0000-0000-0000A5000000}"/>
    <cellStyle name="Accent4 15" xfId="167" xr:uid="{00000000-0005-0000-0000-0000A6000000}"/>
    <cellStyle name="Accent4 16" xfId="168" xr:uid="{00000000-0005-0000-0000-0000A7000000}"/>
    <cellStyle name="Accent4 17" xfId="169" xr:uid="{00000000-0005-0000-0000-0000A8000000}"/>
    <cellStyle name="Accent4 18" xfId="170" xr:uid="{00000000-0005-0000-0000-0000A9000000}"/>
    <cellStyle name="Accent4 19" xfId="171" xr:uid="{00000000-0005-0000-0000-0000AA000000}"/>
    <cellStyle name="Accent4 2" xfId="172" xr:uid="{00000000-0005-0000-0000-0000AB000000}"/>
    <cellStyle name="Accent4 20" xfId="173" xr:uid="{00000000-0005-0000-0000-0000AC000000}"/>
    <cellStyle name="Accent4 21" xfId="174" xr:uid="{00000000-0005-0000-0000-0000AD000000}"/>
    <cellStyle name="Accent4 22" xfId="175" xr:uid="{00000000-0005-0000-0000-0000AE000000}"/>
    <cellStyle name="Accent4 23" xfId="176" xr:uid="{00000000-0005-0000-0000-0000AF000000}"/>
    <cellStyle name="Accent4 24" xfId="177" xr:uid="{00000000-0005-0000-0000-0000B0000000}"/>
    <cellStyle name="Accent4 25" xfId="178" xr:uid="{00000000-0005-0000-0000-0000B1000000}"/>
    <cellStyle name="Accent4 26" xfId="179" xr:uid="{00000000-0005-0000-0000-0000B2000000}"/>
    <cellStyle name="Accent4 27" xfId="180" xr:uid="{00000000-0005-0000-0000-0000B3000000}"/>
    <cellStyle name="Accent4 28" xfId="181" xr:uid="{00000000-0005-0000-0000-0000B4000000}"/>
    <cellStyle name="Accent4 29" xfId="182" xr:uid="{00000000-0005-0000-0000-0000B5000000}"/>
    <cellStyle name="Accent4 3" xfId="183" xr:uid="{00000000-0005-0000-0000-0000B6000000}"/>
    <cellStyle name="Accent4 30" xfId="184" xr:uid="{00000000-0005-0000-0000-0000B7000000}"/>
    <cellStyle name="Accent4 31" xfId="185" xr:uid="{00000000-0005-0000-0000-0000B8000000}"/>
    <cellStyle name="Accent4 32" xfId="186" xr:uid="{00000000-0005-0000-0000-0000B9000000}"/>
    <cellStyle name="Accent4 33" xfId="187" xr:uid="{00000000-0005-0000-0000-0000BA000000}"/>
    <cellStyle name="Accent4 34" xfId="188" xr:uid="{00000000-0005-0000-0000-0000BB000000}"/>
    <cellStyle name="Accent4 35" xfId="189" xr:uid="{00000000-0005-0000-0000-0000BC000000}"/>
    <cellStyle name="Accent4 36" xfId="190" xr:uid="{00000000-0005-0000-0000-0000BD000000}"/>
    <cellStyle name="Accent4 37" xfId="191" xr:uid="{00000000-0005-0000-0000-0000BE000000}"/>
    <cellStyle name="Accent4 38" xfId="192" xr:uid="{00000000-0005-0000-0000-0000BF000000}"/>
    <cellStyle name="Accent4 39" xfId="193" xr:uid="{00000000-0005-0000-0000-0000C0000000}"/>
    <cellStyle name="Accent4 4" xfId="194" xr:uid="{00000000-0005-0000-0000-0000C1000000}"/>
    <cellStyle name="Accent4 40" xfId="195" xr:uid="{00000000-0005-0000-0000-0000C2000000}"/>
    <cellStyle name="Accent4 41" xfId="196" xr:uid="{00000000-0005-0000-0000-0000C3000000}"/>
    <cellStyle name="Accent4 42" xfId="197" xr:uid="{00000000-0005-0000-0000-0000C4000000}"/>
    <cellStyle name="Accent4 43" xfId="198" xr:uid="{00000000-0005-0000-0000-0000C5000000}"/>
    <cellStyle name="Accent4 44" xfId="199" xr:uid="{00000000-0005-0000-0000-0000C6000000}"/>
    <cellStyle name="Accent4 45" xfId="200" xr:uid="{00000000-0005-0000-0000-0000C7000000}"/>
    <cellStyle name="Accent4 46" xfId="201" xr:uid="{00000000-0005-0000-0000-0000C8000000}"/>
    <cellStyle name="Accent4 47" xfId="202" xr:uid="{00000000-0005-0000-0000-0000C9000000}"/>
    <cellStyle name="Accent4 48" xfId="203" xr:uid="{00000000-0005-0000-0000-0000CA000000}"/>
    <cellStyle name="Accent4 5" xfId="204" xr:uid="{00000000-0005-0000-0000-0000CB000000}"/>
    <cellStyle name="Accent4 6" xfId="205" xr:uid="{00000000-0005-0000-0000-0000CC000000}"/>
    <cellStyle name="Accent4 7" xfId="206" xr:uid="{00000000-0005-0000-0000-0000CD000000}"/>
    <cellStyle name="Accent4 8" xfId="207" xr:uid="{00000000-0005-0000-0000-0000CE000000}"/>
    <cellStyle name="Accent4 9" xfId="208" xr:uid="{00000000-0005-0000-0000-0000CF000000}"/>
    <cellStyle name="Accent5 - 20%" xfId="209" xr:uid="{00000000-0005-0000-0000-0000D0000000}"/>
    <cellStyle name="Accent5 - 20% 2" xfId="210" xr:uid="{00000000-0005-0000-0000-0000D1000000}"/>
    <cellStyle name="Accent5 - 40%" xfId="211" xr:uid="{00000000-0005-0000-0000-0000D2000000}"/>
    <cellStyle name="Accent5 - 40% 2" xfId="212" xr:uid="{00000000-0005-0000-0000-0000D3000000}"/>
    <cellStyle name="Accent5 - 60%" xfId="213" xr:uid="{00000000-0005-0000-0000-0000D4000000}"/>
    <cellStyle name="Accent5 10" xfId="214" xr:uid="{00000000-0005-0000-0000-0000D5000000}"/>
    <cellStyle name="Accent5 11" xfId="215" xr:uid="{00000000-0005-0000-0000-0000D6000000}"/>
    <cellStyle name="Accent5 12" xfId="216" xr:uid="{00000000-0005-0000-0000-0000D7000000}"/>
    <cellStyle name="Accent5 13" xfId="217" xr:uid="{00000000-0005-0000-0000-0000D8000000}"/>
    <cellStyle name="Accent5 14" xfId="218" xr:uid="{00000000-0005-0000-0000-0000D9000000}"/>
    <cellStyle name="Accent5 15" xfId="219" xr:uid="{00000000-0005-0000-0000-0000DA000000}"/>
    <cellStyle name="Accent5 16" xfId="220" xr:uid="{00000000-0005-0000-0000-0000DB000000}"/>
    <cellStyle name="Accent5 17" xfId="221" xr:uid="{00000000-0005-0000-0000-0000DC000000}"/>
    <cellStyle name="Accent5 18" xfId="222" xr:uid="{00000000-0005-0000-0000-0000DD000000}"/>
    <cellStyle name="Accent5 19" xfId="223" xr:uid="{00000000-0005-0000-0000-0000DE000000}"/>
    <cellStyle name="Accent5 2" xfId="224" xr:uid="{00000000-0005-0000-0000-0000DF000000}"/>
    <cellStyle name="Accent5 20" xfId="225" xr:uid="{00000000-0005-0000-0000-0000E0000000}"/>
    <cellStyle name="Accent5 21" xfId="226" xr:uid="{00000000-0005-0000-0000-0000E1000000}"/>
    <cellStyle name="Accent5 22" xfId="227" xr:uid="{00000000-0005-0000-0000-0000E2000000}"/>
    <cellStyle name="Accent5 23" xfId="228" xr:uid="{00000000-0005-0000-0000-0000E3000000}"/>
    <cellStyle name="Accent5 24" xfId="229" xr:uid="{00000000-0005-0000-0000-0000E4000000}"/>
    <cellStyle name="Accent5 25" xfId="230" xr:uid="{00000000-0005-0000-0000-0000E5000000}"/>
    <cellStyle name="Accent5 26" xfId="231" xr:uid="{00000000-0005-0000-0000-0000E6000000}"/>
    <cellStyle name="Accent5 27" xfId="232" xr:uid="{00000000-0005-0000-0000-0000E7000000}"/>
    <cellStyle name="Accent5 28" xfId="233" xr:uid="{00000000-0005-0000-0000-0000E8000000}"/>
    <cellStyle name="Accent5 29" xfId="234" xr:uid="{00000000-0005-0000-0000-0000E9000000}"/>
    <cellStyle name="Accent5 3" xfId="235" xr:uid="{00000000-0005-0000-0000-0000EA000000}"/>
    <cellStyle name="Accent5 30" xfId="236" xr:uid="{00000000-0005-0000-0000-0000EB000000}"/>
    <cellStyle name="Accent5 31" xfId="237" xr:uid="{00000000-0005-0000-0000-0000EC000000}"/>
    <cellStyle name="Accent5 32" xfId="238" xr:uid="{00000000-0005-0000-0000-0000ED000000}"/>
    <cellStyle name="Accent5 33" xfId="239" xr:uid="{00000000-0005-0000-0000-0000EE000000}"/>
    <cellStyle name="Accent5 34" xfId="240" xr:uid="{00000000-0005-0000-0000-0000EF000000}"/>
    <cellStyle name="Accent5 35" xfId="241" xr:uid="{00000000-0005-0000-0000-0000F0000000}"/>
    <cellStyle name="Accent5 36" xfId="242" xr:uid="{00000000-0005-0000-0000-0000F1000000}"/>
    <cellStyle name="Accent5 37" xfId="243" xr:uid="{00000000-0005-0000-0000-0000F2000000}"/>
    <cellStyle name="Accent5 38" xfId="244" xr:uid="{00000000-0005-0000-0000-0000F3000000}"/>
    <cellStyle name="Accent5 39" xfId="245" xr:uid="{00000000-0005-0000-0000-0000F4000000}"/>
    <cellStyle name="Accent5 4" xfId="246" xr:uid="{00000000-0005-0000-0000-0000F5000000}"/>
    <cellStyle name="Accent5 40" xfId="247" xr:uid="{00000000-0005-0000-0000-0000F6000000}"/>
    <cellStyle name="Accent5 41" xfId="248" xr:uid="{00000000-0005-0000-0000-0000F7000000}"/>
    <cellStyle name="Accent5 42" xfId="249" xr:uid="{00000000-0005-0000-0000-0000F8000000}"/>
    <cellStyle name="Accent5 43" xfId="250" xr:uid="{00000000-0005-0000-0000-0000F9000000}"/>
    <cellStyle name="Accent5 44" xfId="251" xr:uid="{00000000-0005-0000-0000-0000FA000000}"/>
    <cellStyle name="Accent5 45" xfId="252" xr:uid="{00000000-0005-0000-0000-0000FB000000}"/>
    <cellStyle name="Accent5 46" xfId="253" xr:uid="{00000000-0005-0000-0000-0000FC000000}"/>
    <cellStyle name="Accent5 47" xfId="254" xr:uid="{00000000-0005-0000-0000-0000FD000000}"/>
    <cellStyle name="Accent5 48" xfId="255" xr:uid="{00000000-0005-0000-0000-0000FE000000}"/>
    <cellStyle name="Accent5 5" xfId="256" xr:uid="{00000000-0005-0000-0000-0000FF000000}"/>
    <cellStyle name="Accent5 6" xfId="257" xr:uid="{00000000-0005-0000-0000-000000010000}"/>
    <cellStyle name="Accent5 7" xfId="258" xr:uid="{00000000-0005-0000-0000-000001010000}"/>
    <cellStyle name="Accent5 8" xfId="259" xr:uid="{00000000-0005-0000-0000-000002010000}"/>
    <cellStyle name="Accent5 9" xfId="260" xr:uid="{00000000-0005-0000-0000-000003010000}"/>
    <cellStyle name="Accent6 - 20%" xfId="261" xr:uid="{00000000-0005-0000-0000-000004010000}"/>
    <cellStyle name="Accent6 - 20% 2" xfId="262" xr:uid="{00000000-0005-0000-0000-000005010000}"/>
    <cellStyle name="Accent6 - 40%" xfId="263" xr:uid="{00000000-0005-0000-0000-000006010000}"/>
    <cellStyle name="Accent6 - 40% 2" xfId="264" xr:uid="{00000000-0005-0000-0000-000007010000}"/>
    <cellStyle name="Accent6 - 60%" xfId="265" xr:uid="{00000000-0005-0000-0000-000008010000}"/>
    <cellStyle name="Accent6 10" xfId="266" xr:uid="{00000000-0005-0000-0000-000009010000}"/>
    <cellStyle name="Accent6 11" xfId="267" xr:uid="{00000000-0005-0000-0000-00000A010000}"/>
    <cellStyle name="Accent6 12" xfId="268" xr:uid="{00000000-0005-0000-0000-00000B010000}"/>
    <cellStyle name="Accent6 13" xfId="269" xr:uid="{00000000-0005-0000-0000-00000C010000}"/>
    <cellStyle name="Accent6 14" xfId="270" xr:uid="{00000000-0005-0000-0000-00000D010000}"/>
    <cellStyle name="Accent6 15" xfId="271" xr:uid="{00000000-0005-0000-0000-00000E010000}"/>
    <cellStyle name="Accent6 16" xfId="272" xr:uid="{00000000-0005-0000-0000-00000F010000}"/>
    <cellStyle name="Accent6 17" xfId="273" xr:uid="{00000000-0005-0000-0000-000010010000}"/>
    <cellStyle name="Accent6 18" xfId="274" xr:uid="{00000000-0005-0000-0000-000011010000}"/>
    <cellStyle name="Accent6 19" xfId="275" xr:uid="{00000000-0005-0000-0000-000012010000}"/>
    <cellStyle name="Accent6 2" xfId="276" xr:uid="{00000000-0005-0000-0000-000013010000}"/>
    <cellStyle name="Accent6 20" xfId="277" xr:uid="{00000000-0005-0000-0000-000014010000}"/>
    <cellStyle name="Accent6 21" xfId="278" xr:uid="{00000000-0005-0000-0000-000015010000}"/>
    <cellStyle name="Accent6 22" xfId="279" xr:uid="{00000000-0005-0000-0000-000016010000}"/>
    <cellStyle name="Accent6 23" xfId="280" xr:uid="{00000000-0005-0000-0000-000017010000}"/>
    <cellStyle name="Accent6 24" xfId="281" xr:uid="{00000000-0005-0000-0000-000018010000}"/>
    <cellStyle name="Accent6 25" xfId="282" xr:uid="{00000000-0005-0000-0000-000019010000}"/>
    <cellStyle name="Accent6 26" xfId="283" xr:uid="{00000000-0005-0000-0000-00001A010000}"/>
    <cellStyle name="Accent6 27" xfId="284" xr:uid="{00000000-0005-0000-0000-00001B010000}"/>
    <cellStyle name="Accent6 28" xfId="285" xr:uid="{00000000-0005-0000-0000-00001C010000}"/>
    <cellStyle name="Accent6 29" xfId="286" xr:uid="{00000000-0005-0000-0000-00001D010000}"/>
    <cellStyle name="Accent6 3" xfId="287" xr:uid="{00000000-0005-0000-0000-00001E010000}"/>
    <cellStyle name="Accent6 30" xfId="288" xr:uid="{00000000-0005-0000-0000-00001F010000}"/>
    <cellStyle name="Accent6 31" xfId="289" xr:uid="{00000000-0005-0000-0000-000020010000}"/>
    <cellStyle name="Accent6 32" xfId="290" xr:uid="{00000000-0005-0000-0000-000021010000}"/>
    <cellStyle name="Accent6 33" xfId="291" xr:uid="{00000000-0005-0000-0000-000022010000}"/>
    <cellStyle name="Accent6 34" xfId="292" xr:uid="{00000000-0005-0000-0000-000023010000}"/>
    <cellStyle name="Accent6 35" xfId="293" xr:uid="{00000000-0005-0000-0000-000024010000}"/>
    <cellStyle name="Accent6 36" xfId="294" xr:uid="{00000000-0005-0000-0000-000025010000}"/>
    <cellStyle name="Accent6 37" xfId="295" xr:uid="{00000000-0005-0000-0000-000026010000}"/>
    <cellStyle name="Accent6 38" xfId="296" xr:uid="{00000000-0005-0000-0000-000027010000}"/>
    <cellStyle name="Accent6 39" xfId="297" xr:uid="{00000000-0005-0000-0000-000028010000}"/>
    <cellStyle name="Accent6 4" xfId="298" xr:uid="{00000000-0005-0000-0000-000029010000}"/>
    <cellStyle name="Accent6 40" xfId="299" xr:uid="{00000000-0005-0000-0000-00002A010000}"/>
    <cellStyle name="Accent6 41" xfId="300" xr:uid="{00000000-0005-0000-0000-00002B010000}"/>
    <cellStyle name="Accent6 42" xfId="301" xr:uid="{00000000-0005-0000-0000-00002C010000}"/>
    <cellStyle name="Accent6 43" xfId="302" xr:uid="{00000000-0005-0000-0000-00002D010000}"/>
    <cellStyle name="Accent6 44" xfId="303" xr:uid="{00000000-0005-0000-0000-00002E010000}"/>
    <cellStyle name="Accent6 45" xfId="304" xr:uid="{00000000-0005-0000-0000-00002F010000}"/>
    <cellStyle name="Accent6 46" xfId="305" xr:uid="{00000000-0005-0000-0000-000030010000}"/>
    <cellStyle name="Accent6 47" xfId="306" xr:uid="{00000000-0005-0000-0000-000031010000}"/>
    <cellStyle name="Accent6 48" xfId="307" xr:uid="{00000000-0005-0000-0000-000032010000}"/>
    <cellStyle name="Accent6 5" xfId="308" xr:uid="{00000000-0005-0000-0000-000033010000}"/>
    <cellStyle name="Accent6 6" xfId="309" xr:uid="{00000000-0005-0000-0000-000034010000}"/>
    <cellStyle name="Accent6 7" xfId="310" xr:uid="{00000000-0005-0000-0000-000035010000}"/>
    <cellStyle name="Accent6 8" xfId="311" xr:uid="{00000000-0005-0000-0000-000036010000}"/>
    <cellStyle name="Accent6 9" xfId="312" xr:uid="{00000000-0005-0000-0000-000037010000}"/>
    <cellStyle name="Bad 2" xfId="313" xr:uid="{00000000-0005-0000-0000-000038010000}"/>
    <cellStyle name="Bad 3" xfId="314" xr:uid="{00000000-0005-0000-0000-000039010000}"/>
    <cellStyle name="Calculation 2" xfId="315" xr:uid="{00000000-0005-0000-0000-00003A010000}"/>
    <cellStyle name="Calculation 3" xfId="316" xr:uid="{00000000-0005-0000-0000-00003B010000}"/>
    <cellStyle name="Check Cell 2" xfId="317" xr:uid="{00000000-0005-0000-0000-00003C010000}"/>
    <cellStyle name="Check Cell 3" xfId="318" xr:uid="{00000000-0005-0000-0000-00003D010000}"/>
    <cellStyle name="Comma" xfId="319" builtinId="3"/>
    <cellStyle name="Comma 10" xfId="320" xr:uid="{00000000-0005-0000-0000-00003F010000}"/>
    <cellStyle name="Comma 10 2" xfId="321" xr:uid="{00000000-0005-0000-0000-000040010000}"/>
    <cellStyle name="Comma 11" xfId="322" xr:uid="{00000000-0005-0000-0000-000041010000}"/>
    <cellStyle name="Comma 12" xfId="323" xr:uid="{00000000-0005-0000-0000-000042010000}"/>
    <cellStyle name="Comma 2" xfId="324" xr:uid="{00000000-0005-0000-0000-000043010000}"/>
    <cellStyle name="Comma 2 2" xfId="325" xr:uid="{00000000-0005-0000-0000-000044010000}"/>
    <cellStyle name="Comma 2 3" xfId="326" xr:uid="{00000000-0005-0000-0000-000045010000}"/>
    <cellStyle name="Comma 3" xfId="327" xr:uid="{00000000-0005-0000-0000-000046010000}"/>
    <cellStyle name="Comma 3 2" xfId="328" xr:uid="{00000000-0005-0000-0000-000047010000}"/>
    <cellStyle name="Comma 4" xfId="329" xr:uid="{00000000-0005-0000-0000-000048010000}"/>
    <cellStyle name="Comma 4 2" xfId="330" xr:uid="{00000000-0005-0000-0000-000049010000}"/>
    <cellStyle name="Comma 4 2 2" xfId="331" xr:uid="{00000000-0005-0000-0000-00004A010000}"/>
    <cellStyle name="Comma 4 3" xfId="332" xr:uid="{00000000-0005-0000-0000-00004B010000}"/>
    <cellStyle name="Comma 4 4" xfId="333" xr:uid="{00000000-0005-0000-0000-00004C010000}"/>
    <cellStyle name="Comma 4 5" xfId="334" xr:uid="{00000000-0005-0000-0000-00004D010000}"/>
    <cellStyle name="Comma 5" xfId="335" xr:uid="{00000000-0005-0000-0000-00004E010000}"/>
    <cellStyle name="Comma 5 10" xfId="336" xr:uid="{00000000-0005-0000-0000-00004F010000}"/>
    <cellStyle name="Comma 5 11" xfId="337" xr:uid="{00000000-0005-0000-0000-000050010000}"/>
    <cellStyle name="Comma 5 12" xfId="338" xr:uid="{00000000-0005-0000-0000-000051010000}"/>
    <cellStyle name="Comma 5 2" xfId="339" xr:uid="{00000000-0005-0000-0000-000052010000}"/>
    <cellStyle name="Comma 5 3" xfId="340" xr:uid="{00000000-0005-0000-0000-000053010000}"/>
    <cellStyle name="Comma 5 3 2" xfId="341" xr:uid="{00000000-0005-0000-0000-000054010000}"/>
    <cellStyle name="Comma 5 4" xfId="342" xr:uid="{00000000-0005-0000-0000-000055010000}"/>
    <cellStyle name="Comma 5 4 2" xfId="343" xr:uid="{00000000-0005-0000-0000-000056010000}"/>
    <cellStyle name="Comma 5 5" xfId="344" xr:uid="{00000000-0005-0000-0000-000057010000}"/>
    <cellStyle name="Comma 5 5 2" xfId="345" xr:uid="{00000000-0005-0000-0000-000058010000}"/>
    <cellStyle name="Comma 5 6" xfId="346" xr:uid="{00000000-0005-0000-0000-000059010000}"/>
    <cellStyle name="Comma 5 6 2" xfId="347" xr:uid="{00000000-0005-0000-0000-00005A010000}"/>
    <cellStyle name="Comma 5 7" xfId="348" xr:uid="{00000000-0005-0000-0000-00005B010000}"/>
    <cellStyle name="Comma 5 7 2" xfId="349" xr:uid="{00000000-0005-0000-0000-00005C010000}"/>
    <cellStyle name="Comma 5 8" xfId="350" xr:uid="{00000000-0005-0000-0000-00005D010000}"/>
    <cellStyle name="Comma 5 8 2" xfId="351" xr:uid="{00000000-0005-0000-0000-00005E010000}"/>
    <cellStyle name="Comma 5 9" xfId="352" xr:uid="{00000000-0005-0000-0000-00005F010000}"/>
    <cellStyle name="Comma 5 9 2" xfId="353" xr:uid="{00000000-0005-0000-0000-000060010000}"/>
    <cellStyle name="Comma 6" xfId="354" xr:uid="{00000000-0005-0000-0000-000061010000}"/>
    <cellStyle name="Comma 6 2" xfId="355" xr:uid="{00000000-0005-0000-0000-000062010000}"/>
    <cellStyle name="Comma 6 3" xfId="356" xr:uid="{00000000-0005-0000-0000-000063010000}"/>
    <cellStyle name="Comma 6 3 2" xfId="357" xr:uid="{00000000-0005-0000-0000-000064010000}"/>
    <cellStyle name="Comma 6 4" xfId="358" xr:uid="{00000000-0005-0000-0000-000065010000}"/>
    <cellStyle name="Comma 6 4 2" xfId="359" xr:uid="{00000000-0005-0000-0000-000066010000}"/>
    <cellStyle name="Comma 6 5" xfId="360" xr:uid="{00000000-0005-0000-0000-000067010000}"/>
    <cellStyle name="Comma 7" xfId="361" xr:uid="{00000000-0005-0000-0000-000068010000}"/>
    <cellStyle name="Comma 7 10" xfId="362" xr:uid="{00000000-0005-0000-0000-000069010000}"/>
    <cellStyle name="Comma 7 2" xfId="363" xr:uid="{00000000-0005-0000-0000-00006A010000}"/>
    <cellStyle name="Comma 7 2 2" xfId="364" xr:uid="{00000000-0005-0000-0000-00006B010000}"/>
    <cellStyle name="Comma 7 2 2 2" xfId="365" xr:uid="{00000000-0005-0000-0000-00006C010000}"/>
    <cellStyle name="Comma 7 2 3" xfId="366" xr:uid="{00000000-0005-0000-0000-00006D010000}"/>
    <cellStyle name="Comma 7 3" xfId="367" xr:uid="{00000000-0005-0000-0000-00006E010000}"/>
    <cellStyle name="Comma 7 3 2" xfId="368" xr:uid="{00000000-0005-0000-0000-00006F010000}"/>
    <cellStyle name="Comma 7 4" xfId="369" xr:uid="{00000000-0005-0000-0000-000070010000}"/>
    <cellStyle name="Comma 7 4 2" xfId="370" xr:uid="{00000000-0005-0000-0000-000071010000}"/>
    <cellStyle name="Comma 7 5" xfId="371" xr:uid="{00000000-0005-0000-0000-000072010000}"/>
    <cellStyle name="Comma 7 5 2" xfId="372" xr:uid="{00000000-0005-0000-0000-000073010000}"/>
    <cellStyle name="Comma 7 6" xfId="373" xr:uid="{00000000-0005-0000-0000-000074010000}"/>
    <cellStyle name="Comma 7 6 2" xfId="374" xr:uid="{00000000-0005-0000-0000-000075010000}"/>
    <cellStyle name="Comma 7 7" xfId="375" xr:uid="{00000000-0005-0000-0000-000076010000}"/>
    <cellStyle name="Comma 7 7 2" xfId="376" xr:uid="{00000000-0005-0000-0000-000077010000}"/>
    <cellStyle name="Comma 7 8" xfId="377" xr:uid="{00000000-0005-0000-0000-000078010000}"/>
    <cellStyle name="Comma 7 8 2" xfId="378" xr:uid="{00000000-0005-0000-0000-000079010000}"/>
    <cellStyle name="Comma 7 9" xfId="379" xr:uid="{00000000-0005-0000-0000-00007A010000}"/>
    <cellStyle name="Comma 8" xfId="380" xr:uid="{00000000-0005-0000-0000-00007B010000}"/>
    <cellStyle name="Comma 9" xfId="381" xr:uid="{00000000-0005-0000-0000-00007C010000}"/>
    <cellStyle name="Comma 9 2" xfId="382" xr:uid="{00000000-0005-0000-0000-00007D010000}"/>
    <cellStyle name="Comma 9 2 2" xfId="383" xr:uid="{00000000-0005-0000-0000-00007E010000}"/>
    <cellStyle name="Comma 9 3" xfId="384" xr:uid="{00000000-0005-0000-0000-00007F010000}"/>
    <cellStyle name="Currency" xfId="385" builtinId="4"/>
    <cellStyle name="Currency 2" xfId="386" xr:uid="{00000000-0005-0000-0000-000081010000}"/>
    <cellStyle name="Currency 2 2" xfId="387" xr:uid="{00000000-0005-0000-0000-000082010000}"/>
    <cellStyle name="Currency 2 2 2" xfId="388" xr:uid="{00000000-0005-0000-0000-000083010000}"/>
    <cellStyle name="Currency 2 3" xfId="389" xr:uid="{00000000-0005-0000-0000-000084010000}"/>
    <cellStyle name="Currency 2 4" xfId="390" xr:uid="{00000000-0005-0000-0000-000085010000}"/>
    <cellStyle name="Currency 2 5" xfId="391" xr:uid="{00000000-0005-0000-0000-000086010000}"/>
    <cellStyle name="Currency 3" xfId="392" xr:uid="{00000000-0005-0000-0000-000087010000}"/>
    <cellStyle name="Currency 3 2" xfId="393" xr:uid="{00000000-0005-0000-0000-000088010000}"/>
    <cellStyle name="Currency 3 3" xfId="394" xr:uid="{00000000-0005-0000-0000-000089010000}"/>
    <cellStyle name="Currency 4" xfId="395" xr:uid="{00000000-0005-0000-0000-00008A010000}"/>
    <cellStyle name="Currency 4 2" xfId="396" xr:uid="{00000000-0005-0000-0000-00008B010000}"/>
    <cellStyle name="Currency 4 2 2" xfId="397" xr:uid="{00000000-0005-0000-0000-00008C010000}"/>
    <cellStyle name="Currency 4 2 2 2" xfId="398" xr:uid="{00000000-0005-0000-0000-00008D010000}"/>
    <cellStyle name="Currency 4 2 3" xfId="399" xr:uid="{00000000-0005-0000-0000-00008E010000}"/>
    <cellStyle name="Currency 4 3" xfId="400" xr:uid="{00000000-0005-0000-0000-00008F010000}"/>
    <cellStyle name="Currency 4 3 2" xfId="401" xr:uid="{00000000-0005-0000-0000-000090010000}"/>
    <cellStyle name="Currency 4 4" xfId="402" xr:uid="{00000000-0005-0000-0000-000091010000}"/>
    <cellStyle name="Currency 4 4 2" xfId="403" xr:uid="{00000000-0005-0000-0000-000092010000}"/>
    <cellStyle name="Currency 4 5" xfId="404" xr:uid="{00000000-0005-0000-0000-000093010000}"/>
    <cellStyle name="Currency 4 5 2" xfId="405" xr:uid="{00000000-0005-0000-0000-000094010000}"/>
    <cellStyle name="Currency 4 6" xfId="406" xr:uid="{00000000-0005-0000-0000-000095010000}"/>
    <cellStyle name="Currency 4 6 2" xfId="407" xr:uid="{00000000-0005-0000-0000-000096010000}"/>
    <cellStyle name="Currency 4 7" xfId="408" xr:uid="{00000000-0005-0000-0000-000097010000}"/>
    <cellStyle name="Currency 4 7 2" xfId="409" xr:uid="{00000000-0005-0000-0000-000098010000}"/>
    <cellStyle name="Currency 4 8" xfId="410" xr:uid="{00000000-0005-0000-0000-000099010000}"/>
    <cellStyle name="Currency 4 8 2" xfId="411" xr:uid="{00000000-0005-0000-0000-00009A010000}"/>
    <cellStyle name="Currency 4 9" xfId="412" xr:uid="{00000000-0005-0000-0000-00009B010000}"/>
    <cellStyle name="Currency 5" xfId="413" xr:uid="{00000000-0005-0000-0000-00009C010000}"/>
    <cellStyle name="Currency 5 2" xfId="414" xr:uid="{00000000-0005-0000-0000-00009D010000}"/>
    <cellStyle name="Currency 5 2 2" xfId="415" xr:uid="{00000000-0005-0000-0000-00009E010000}"/>
    <cellStyle name="Currency 5 3" xfId="416" xr:uid="{00000000-0005-0000-0000-00009F010000}"/>
    <cellStyle name="Currency 6" xfId="417" xr:uid="{00000000-0005-0000-0000-0000A0010000}"/>
    <cellStyle name="Emphasis 1" xfId="418" xr:uid="{00000000-0005-0000-0000-0000A1010000}"/>
    <cellStyle name="Emphasis 2" xfId="419" xr:uid="{00000000-0005-0000-0000-0000A2010000}"/>
    <cellStyle name="Emphasis 3" xfId="420" xr:uid="{00000000-0005-0000-0000-0000A3010000}"/>
    <cellStyle name="Good 2" xfId="421" xr:uid="{00000000-0005-0000-0000-0000A4010000}"/>
    <cellStyle name="Good 3" xfId="422" xr:uid="{00000000-0005-0000-0000-0000A5010000}"/>
    <cellStyle name="Heading 1 2" xfId="423" xr:uid="{00000000-0005-0000-0000-0000A6010000}"/>
    <cellStyle name="Heading 1 3" xfId="424" xr:uid="{00000000-0005-0000-0000-0000A7010000}"/>
    <cellStyle name="Heading 2 2" xfId="425" xr:uid="{00000000-0005-0000-0000-0000A8010000}"/>
    <cellStyle name="Heading 2 3" xfId="426" xr:uid="{00000000-0005-0000-0000-0000A9010000}"/>
    <cellStyle name="Heading 3 2" xfId="427" xr:uid="{00000000-0005-0000-0000-0000AA010000}"/>
    <cellStyle name="Heading 3 3" xfId="428" xr:uid="{00000000-0005-0000-0000-0000AB010000}"/>
    <cellStyle name="Heading 4 2" xfId="429" xr:uid="{00000000-0005-0000-0000-0000AC010000}"/>
    <cellStyle name="Heading 4 3" xfId="430" xr:uid="{00000000-0005-0000-0000-0000AD010000}"/>
    <cellStyle name="Hyperlink" xfId="431" builtinId="8"/>
    <cellStyle name="Hyperlink 2" xfId="432" xr:uid="{00000000-0005-0000-0000-0000AF010000}"/>
    <cellStyle name="Hyperlink 3" xfId="433" xr:uid="{00000000-0005-0000-0000-0000B0010000}"/>
    <cellStyle name="Hyperlink 4" xfId="434" xr:uid="{00000000-0005-0000-0000-0000B1010000}"/>
    <cellStyle name="Input 2" xfId="435" xr:uid="{00000000-0005-0000-0000-0000B2010000}"/>
    <cellStyle name="Input 3" xfId="436" xr:uid="{00000000-0005-0000-0000-0000B3010000}"/>
    <cellStyle name="Linked Cell 2" xfId="437" xr:uid="{00000000-0005-0000-0000-0000B4010000}"/>
    <cellStyle name="Linked Cell 3" xfId="438" xr:uid="{00000000-0005-0000-0000-0000B5010000}"/>
    <cellStyle name="Neutral 2" xfId="439" xr:uid="{00000000-0005-0000-0000-0000B6010000}"/>
    <cellStyle name="Neutral 3" xfId="440" xr:uid="{00000000-0005-0000-0000-0000B7010000}"/>
    <cellStyle name="Normal" xfId="0" builtinId="0"/>
    <cellStyle name="Normal 10" xfId="441" xr:uid="{00000000-0005-0000-0000-0000B9010000}"/>
    <cellStyle name="Normal 10 2" xfId="442" xr:uid="{00000000-0005-0000-0000-0000BA010000}"/>
    <cellStyle name="Normal 10 3" xfId="443" xr:uid="{00000000-0005-0000-0000-0000BB010000}"/>
    <cellStyle name="Normal 10 4" xfId="444" xr:uid="{00000000-0005-0000-0000-0000BC010000}"/>
    <cellStyle name="Normal 10 5" xfId="445" xr:uid="{00000000-0005-0000-0000-0000BD010000}"/>
    <cellStyle name="Normal 10 6" xfId="446" xr:uid="{00000000-0005-0000-0000-0000BE010000}"/>
    <cellStyle name="Normal 10 7" xfId="447" xr:uid="{00000000-0005-0000-0000-0000BF010000}"/>
    <cellStyle name="Normal 10 8" xfId="448" xr:uid="{00000000-0005-0000-0000-0000C0010000}"/>
    <cellStyle name="Normal 11" xfId="449" xr:uid="{00000000-0005-0000-0000-0000C1010000}"/>
    <cellStyle name="Normal 11 2" xfId="450" xr:uid="{00000000-0005-0000-0000-0000C2010000}"/>
    <cellStyle name="Normal 11 3" xfId="451" xr:uid="{00000000-0005-0000-0000-0000C3010000}"/>
    <cellStyle name="Normal 11 4" xfId="452" xr:uid="{00000000-0005-0000-0000-0000C4010000}"/>
    <cellStyle name="Normal 12" xfId="453" xr:uid="{00000000-0005-0000-0000-0000C5010000}"/>
    <cellStyle name="Normal 13" xfId="454" xr:uid="{00000000-0005-0000-0000-0000C6010000}"/>
    <cellStyle name="Normal 2" xfId="455" xr:uid="{00000000-0005-0000-0000-0000C7010000}"/>
    <cellStyle name="Normal 2 10" xfId="456" xr:uid="{00000000-0005-0000-0000-0000C8010000}"/>
    <cellStyle name="Normal 2 11" xfId="457" xr:uid="{00000000-0005-0000-0000-0000C9010000}"/>
    <cellStyle name="Normal 2 12" xfId="458" xr:uid="{00000000-0005-0000-0000-0000CA010000}"/>
    <cellStyle name="Normal 2 13" xfId="459" xr:uid="{00000000-0005-0000-0000-0000CB010000}"/>
    <cellStyle name="Normal 2 14" xfId="460" xr:uid="{00000000-0005-0000-0000-0000CC010000}"/>
    <cellStyle name="Normal 2 2" xfId="461" xr:uid="{00000000-0005-0000-0000-0000CD010000}"/>
    <cellStyle name="Normal 2 2 10" xfId="462" xr:uid="{00000000-0005-0000-0000-0000CE010000}"/>
    <cellStyle name="Normal 2 2 11" xfId="463" xr:uid="{00000000-0005-0000-0000-0000CF010000}"/>
    <cellStyle name="Normal 2 2 12" xfId="464" xr:uid="{00000000-0005-0000-0000-0000D0010000}"/>
    <cellStyle name="Normal 2 2 13" xfId="465" xr:uid="{00000000-0005-0000-0000-0000D1010000}"/>
    <cellStyle name="Normal 2 2 14" xfId="466" xr:uid="{00000000-0005-0000-0000-0000D2010000}"/>
    <cellStyle name="Normal 2 2 2" xfId="467" xr:uid="{00000000-0005-0000-0000-0000D3010000}"/>
    <cellStyle name="Normal 2 2 3" xfId="468" xr:uid="{00000000-0005-0000-0000-0000D4010000}"/>
    <cellStyle name="Normal 2 2 4" xfId="469" xr:uid="{00000000-0005-0000-0000-0000D5010000}"/>
    <cellStyle name="Normal 2 2 4 10" xfId="470" xr:uid="{00000000-0005-0000-0000-0000D6010000}"/>
    <cellStyle name="Normal 2 2 4 2" xfId="471" xr:uid="{00000000-0005-0000-0000-0000D7010000}"/>
    <cellStyle name="Normal 2 2 4 3" xfId="472" xr:uid="{00000000-0005-0000-0000-0000D8010000}"/>
    <cellStyle name="Normal 2 2 4 4" xfId="473" xr:uid="{00000000-0005-0000-0000-0000D9010000}"/>
    <cellStyle name="Normal 2 2 4 5" xfId="474" xr:uid="{00000000-0005-0000-0000-0000DA010000}"/>
    <cellStyle name="Normal 2 2 4 6" xfId="475" xr:uid="{00000000-0005-0000-0000-0000DB010000}"/>
    <cellStyle name="Normal 2 2 4 7" xfId="476" xr:uid="{00000000-0005-0000-0000-0000DC010000}"/>
    <cellStyle name="Normal 2 2 4 8" xfId="477" xr:uid="{00000000-0005-0000-0000-0000DD010000}"/>
    <cellStyle name="Normal 2 2 4 9" xfId="478" xr:uid="{00000000-0005-0000-0000-0000DE010000}"/>
    <cellStyle name="Normal 2 2 5" xfId="479" xr:uid="{00000000-0005-0000-0000-0000DF010000}"/>
    <cellStyle name="Normal 2 2 5 2" xfId="480" xr:uid="{00000000-0005-0000-0000-0000E0010000}"/>
    <cellStyle name="Normal 2 2 6" xfId="481" xr:uid="{00000000-0005-0000-0000-0000E1010000}"/>
    <cellStyle name="Normal 2 2 7" xfId="482" xr:uid="{00000000-0005-0000-0000-0000E2010000}"/>
    <cellStyle name="Normal 2 2 8" xfId="483" xr:uid="{00000000-0005-0000-0000-0000E3010000}"/>
    <cellStyle name="Normal 2 2 9" xfId="484" xr:uid="{00000000-0005-0000-0000-0000E4010000}"/>
    <cellStyle name="Normal 2 3" xfId="485" xr:uid="{00000000-0005-0000-0000-0000E5010000}"/>
    <cellStyle name="Normal 2 4" xfId="486" xr:uid="{00000000-0005-0000-0000-0000E6010000}"/>
    <cellStyle name="Normal 2 5" xfId="487" xr:uid="{00000000-0005-0000-0000-0000E7010000}"/>
    <cellStyle name="Normal 2 5 10" xfId="488" xr:uid="{00000000-0005-0000-0000-0000E8010000}"/>
    <cellStyle name="Normal 2 5 2" xfId="489" xr:uid="{00000000-0005-0000-0000-0000E9010000}"/>
    <cellStyle name="Normal 2 5 3" xfId="490" xr:uid="{00000000-0005-0000-0000-0000EA010000}"/>
    <cellStyle name="Normal 2 5 4" xfId="491" xr:uid="{00000000-0005-0000-0000-0000EB010000}"/>
    <cellStyle name="Normal 2 5 5" xfId="492" xr:uid="{00000000-0005-0000-0000-0000EC010000}"/>
    <cellStyle name="Normal 2 5 6" xfId="493" xr:uid="{00000000-0005-0000-0000-0000ED010000}"/>
    <cellStyle name="Normal 2 5 7" xfId="494" xr:uid="{00000000-0005-0000-0000-0000EE010000}"/>
    <cellStyle name="Normal 2 5 8" xfId="495" xr:uid="{00000000-0005-0000-0000-0000EF010000}"/>
    <cellStyle name="Normal 2 5 9" xfId="496" xr:uid="{00000000-0005-0000-0000-0000F0010000}"/>
    <cellStyle name="Normal 2 6" xfId="497" xr:uid="{00000000-0005-0000-0000-0000F1010000}"/>
    <cellStyle name="Normal 2 7" xfId="498" xr:uid="{00000000-0005-0000-0000-0000F2010000}"/>
    <cellStyle name="Normal 2 8" xfId="499" xr:uid="{00000000-0005-0000-0000-0000F3010000}"/>
    <cellStyle name="Normal 2 9" xfId="500" xr:uid="{00000000-0005-0000-0000-0000F4010000}"/>
    <cellStyle name="Normal 3" xfId="501" xr:uid="{00000000-0005-0000-0000-0000F5010000}"/>
    <cellStyle name="Normal 3 2" xfId="502" xr:uid="{00000000-0005-0000-0000-0000F6010000}"/>
    <cellStyle name="Normal 3 2 2" xfId="503" xr:uid="{00000000-0005-0000-0000-0000F7010000}"/>
    <cellStyle name="Normal 3 2 2 2" xfId="504" xr:uid="{00000000-0005-0000-0000-0000F8010000}"/>
    <cellStyle name="Normal 3 2 2 3" xfId="505" xr:uid="{00000000-0005-0000-0000-0000F9010000}"/>
    <cellStyle name="Normal 3 2 2 4" xfId="506" xr:uid="{00000000-0005-0000-0000-0000FA010000}"/>
    <cellStyle name="Normal 3 2 2 4 2" xfId="507" xr:uid="{00000000-0005-0000-0000-0000FB010000}"/>
    <cellStyle name="Normal 3 2 3" xfId="508" xr:uid="{00000000-0005-0000-0000-0000FC010000}"/>
    <cellStyle name="Normal 3 2 3 2" xfId="509" xr:uid="{00000000-0005-0000-0000-0000FD010000}"/>
    <cellStyle name="Normal 3 2 3 3" xfId="510" xr:uid="{00000000-0005-0000-0000-0000FE010000}"/>
    <cellStyle name="Normal 3 2 3 3 2" xfId="511" xr:uid="{00000000-0005-0000-0000-0000FF010000}"/>
    <cellStyle name="Normal 3 2 3 3 2 2" xfId="512" xr:uid="{00000000-0005-0000-0000-000000020000}"/>
    <cellStyle name="Normal 3 2 3 3 2 3" xfId="513" xr:uid="{00000000-0005-0000-0000-000001020000}"/>
    <cellStyle name="Normal 3 2 3 3 2 3 2" xfId="514" xr:uid="{00000000-0005-0000-0000-000002020000}"/>
    <cellStyle name="Normal 3 2 3 3 2 4" xfId="515" xr:uid="{00000000-0005-0000-0000-000003020000}"/>
    <cellStyle name="Normal 3 2 3 3 2 4 2" xfId="516" xr:uid="{00000000-0005-0000-0000-000004020000}"/>
    <cellStyle name="Normal 3 2 3 3 3" xfId="517" xr:uid="{00000000-0005-0000-0000-000005020000}"/>
    <cellStyle name="Normal 3 2 3 3 4" xfId="518" xr:uid="{00000000-0005-0000-0000-000006020000}"/>
    <cellStyle name="Normal 3 2 3 3 4 2" xfId="519" xr:uid="{00000000-0005-0000-0000-000007020000}"/>
    <cellStyle name="Normal 3 2 3 3 4 2 2" xfId="520" xr:uid="{00000000-0005-0000-0000-000008020000}"/>
    <cellStyle name="Normal 3 2 3 3 4 2 3" xfId="521" xr:uid="{00000000-0005-0000-0000-000009020000}"/>
    <cellStyle name="Normal 3 2 3 4" xfId="522" xr:uid="{00000000-0005-0000-0000-00000A020000}"/>
    <cellStyle name="Normal 3 2 3 4 2" xfId="523" xr:uid="{00000000-0005-0000-0000-00000B020000}"/>
    <cellStyle name="Normal 3 2 3 4 3" xfId="524" xr:uid="{00000000-0005-0000-0000-00000C020000}"/>
    <cellStyle name="Normal 3 2 3 4 3 2" xfId="525" xr:uid="{00000000-0005-0000-0000-00000D020000}"/>
    <cellStyle name="Normal 3 2 3 4 4" xfId="526" xr:uid="{00000000-0005-0000-0000-00000E020000}"/>
    <cellStyle name="Normal 3 2 3 4 4 2" xfId="527" xr:uid="{00000000-0005-0000-0000-00000F020000}"/>
    <cellStyle name="Normal 3 2 4" xfId="528" xr:uid="{00000000-0005-0000-0000-000010020000}"/>
    <cellStyle name="Normal 3 2 4 2" xfId="529" xr:uid="{00000000-0005-0000-0000-000011020000}"/>
    <cellStyle name="Normal 3 2 4 3" xfId="530" xr:uid="{00000000-0005-0000-0000-000012020000}"/>
    <cellStyle name="Normal 3 2 4 3 2" xfId="531" xr:uid="{00000000-0005-0000-0000-000013020000}"/>
    <cellStyle name="Normal 3 2 4 4" xfId="532" xr:uid="{00000000-0005-0000-0000-000014020000}"/>
    <cellStyle name="Normal 3 2 4 4 2" xfId="533" xr:uid="{00000000-0005-0000-0000-000015020000}"/>
    <cellStyle name="Normal 3 3" xfId="534" xr:uid="{00000000-0005-0000-0000-000016020000}"/>
    <cellStyle name="Normal 4" xfId="535" xr:uid="{00000000-0005-0000-0000-000017020000}"/>
    <cellStyle name="Normal 4 10" xfId="536" xr:uid="{00000000-0005-0000-0000-000018020000}"/>
    <cellStyle name="Normal 4 11" xfId="537" xr:uid="{00000000-0005-0000-0000-000019020000}"/>
    <cellStyle name="Normal 4 12" xfId="538" xr:uid="{00000000-0005-0000-0000-00001A020000}"/>
    <cellStyle name="Normal 4 13" xfId="539" xr:uid="{00000000-0005-0000-0000-00001B020000}"/>
    <cellStyle name="Normal 4 14" xfId="540" xr:uid="{00000000-0005-0000-0000-00001C020000}"/>
    <cellStyle name="Normal 4 2" xfId="541" xr:uid="{00000000-0005-0000-0000-00001D020000}"/>
    <cellStyle name="Normal 4 2 10" xfId="542" xr:uid="{00000000-0005-0000-0000-00001E020000}"/>
    <cellStyle name="Normal 4 2 11" xfId="543" xr:uid="{00000000-0005-0000-0000-00001F020000}"/>
    <cellStyle name="Normal 4 2 12" xfId="544" xr:uid="{00000000-0005-0000-0000-000020020000}"/>
    <cellStyle name="Normal 4 2 2" xfId="545" xr:uid="{00000000-0005-0000-0000-000021020000}"/>
    <cellStyle name="Normal 4 2 2 2" xfId="546" xr:uid="{00000000-0005-0000-0000-000022020000}"/>
    <cellStyle name="Normal 4 2 2 3" xfId="547" xr:uid="{00000000-0005-0000-0000-000023020000}"/>
    <cellStyle name="Normal 4 2 2 4" xfId="548" xr:uid="{00000000-0005-0000-0000-000024020000}"/>
    <cellStyle name="Normal 4 2 2 5" xfId="549" xr:uid="{00000000-0005-0000-0000-000025020000}"/>
    <cellStyle name="Normal 4 2 2 6" xfId="550" xr:uid="{00000000-0005-0000-0000-000026020000}"/>
    <cellStyle name="Normal 4 2 2 7" xfId="551" xr:uid="{00000000-0005-0000-0000-000027020000}"/>
    <cellStyle name="Normal 4 2 2 8" xfId="552" xr:uid="{00000000-0005-0000-0000-000028020000}"/>
    <cellStyle name="Normal 4 2 3" xfId="553" xr:uid="{00000000-0005-0000-0000-000029020000}"/>
    <cellStyle name="Normal 4 2 3 2" xfId="554" xr:uid="{00000000-0005-0000-0000-00002A020000}"/>
    <cellStyle name="Normal 4 2 4" xfId="555" xr:uid="{00000000-0005-0000-0000-00002B020000}"/>
    <cellStyle name="Normal 4 2 5" xfId="556" xr:uid="{00000000-0005-0000-0000-00002C020000}"/>
    <cellStyle name="Normal 4 2 6" xfId="557" xr:uid="{00000000-0005-0000-0000-00002D020000}"/>
    <cellStyle name="Normal 4 2 7" xfId="558" xr:uid="{00000000-0005-0000-0000-00002E020000}"/>
    <cellStyle name="Normal 4 2 8" xfId="559" xr:uid="{00000000-0005-0000-0000-00002F020000}"/>
    <cellStyle name="Normal 4 2 9" xfId="560" xr:uid="{00000000-0005-0000-0000-000030020000}"/>
    <cellStyle name="Normal 4 3" xfId="561" xr:uid="{00000000-0005-0000-0000-000031020000}"/>
    <cellStyle name="Normal 4 3 2" xfId="562" xr:uid="{00000000-0005-0000-0000-000032020000}"/>
    <cellStyle name="Normal 4 4" xfId="563" xr:uid="{00000000-0005-0000-0000-000033020000}"/>
    <cellStyle name="Normal 4 4 2" xfId="564" xr:uid="{00000000-0005-0000-0000-000034020000}"/>
    <cellStyle name="Normal 4 4 3" xfId="565" xr:uid="{00000000-0005-0000-0000-000035020000}"/>
    <cellStyle name="Normal 4 4 4" xfId="566" xr:uid="{00000000-0005-0000-0000-000036020000}"/>
    <cellStyle name="Normal 4 4 5" xfId="567" xr:uid="{00000000-0005-0000-0000-000037020000}"/>
    <cellStyle name="Normal 4 4 6" xfId="568" xr:uid="{00000000-0005-0000-0000-000038020000}"/>
    <cellStyle name="Normal 4 4 7" xfId="569" xr:uid="{00000000-0005-0000-0000-000039020000}"/>
    <cellStyle name="Normal 4 4 8" xfId="570" xr:uid="{00000000-0005-0000-0000-00003A020000}"/>
    <cellStyle name="Normal 4 5" xfId="571" xr:uid="{00000000-0005-0000-0000-00003B020000}"/>
    <cellStyle name="Normal 4 5 2" xfId="572" xr:uid="{00000000-0005-0000-0000-00003C020000}"/>
    <cellStyle name="Normal 4 6" xfId="573" xr:uid="{00000000-0005-0000-0000-00003D020000}"/>
    <cellStyle name="Normal 4 7" xfId="574" xr:uid="{00000000-0005-0000-0000-00003E020000}"/>
    <cellStyle name="Normal 4 8" xfId="575" xr:uid="{00000000-0005-0000-0000-00003F020000}"/>
    <cellStyle name="Normal 4 9" xfId="576" xr:uid="{00000000-0005-0000-0000-000040020000}"/>
    <cellStyle name="Normal 5" xfId="577" xr:uid="{00000000-0005-0000-0000-000041020000}"/>
    <cellStyle name="Normal 5 2" xfId="578" xr:uid="{00000000-0005-0000-0000-000042020000}"/>
    <cellStyle name="Normal 5 2 2" xfId="579" xr:uid="{00000000-0005-0000-0000-000043020000}"/>
    <cellStyle name="Normal 5 2 2 2" xfId="580" xr:uid="{00000000-0005-0000-0000-000044020000}"/>
    <cellStyle name="Normal 5 2 2 3" xfId="581" xr:uid="{00000000-0005-0000-0000-000045020000}"/>
    <cellStyle name="Normal 5 2 2 3 2" xfId="582" xr:uid="{00000000-0005-0000-0000-000046020000}"/>
    <cellStyle name="Normal 5 2 2 3 3" xfId="583" xr:uid="{00000000-0005-0000-0000-000047020000}"/>
    <cellStyle name="Normal 5 2 2 3 3 2" xfId="584" xr:uid="{00000000-0005-0000-0000-000048020000}"/>
    <cellStyle name="Normal 5 2 2 3 3 2 2" xfId="585" xr:uid="{00000000-0005-0000-0000-000049020000}"/>
    <cellStyle name="Normal 5 2 2 3 3 2 3" xfId="586" xr:uid="{00000000-0005-0000-0000-00004A020000}"/>
    <cellStyle name="Normal 5 2 2 3 3 2 3 2" xfId="587" xr:uid="{00000000-0005-0000-0000-00004B020000}"/>
    <cellStyle name="Normal 5 2 2 3 3 2 4" xfId="588" xr:uid="{00000000-0005-0000-0000-00004C020000}"/>
    <cellStyle name="Normal 5 2 2 3 3 2 4 2" xfId="589" xr:uid="{00000000-0005-0000-0000-00004D020000}"/>
    <cellStyle name="Normal 5 2 2 3 3 3" xfId="590" xr:uid="{00000000-0005-0000-0000-00004E020000}"/>
    <cellStyle name="Normal 5 2 2 3 3 4" xfId="591" xr:uid="{00000000-0005-0000-0000-00004F020000}"/>
    <cellStyle name="Normal 5 2 2 3 3 4 2" xfId="592" xr:uid="{00000000-0005-0000-0000-000050020000}"/>
    <cellStyle name="Normal 5 2 2 3 3 4 2 2" xfId="593" xr:uid="{00000000-0005-0000-0000-000051020000}"/>
    <cellStyle name="Normal 5 2 2 3 3 4 2 3" xfId="594" xr:uid="{00000000-0005-0000-0000-000052020000}"/>
    <cellStyle name="Normal 5 2 2 3 4" xfId="595" xr:uid="{00000000-0005-0000-0000-000053020000}"/>
    <cellStyle name="Normal 5 2 2 3 4 2" xfId="596" xr:uid="{00000000-0005-0000-0000-000054020000}"/>
    <cellStyle name="Normal 5 2 2 3 4 3" xfId="597" xr:uid="{00000000-0005-0000-0000-000055020000}"/>
    <cellStyle name="Normal 5 2 2 3 4 3 2" xfId="598" xr:uid="{00000000-0005-0000-0000-000056020000}"/>
    <cellStyle name="Normal 5 2 2 3 4 4" xfId="599" xr:uid="{00000000-0005-0000-0000-000057020000}"/>
    <cellStyle name="Normal 5 2 2 3 4 4 2" xfId="600" xr:uid="{00000000-0005-0000-0000-000058020000}"/>
    <cellStyle name="Normal 5 2 2 4" xfId="601" xr:uid="{00000000-0005-0000-0000-000059020000}"/>
    <cellStyle name="Normal 5 2 2 4 2" xfId="602" xr:uid="{00000000-0005-0000-0000-00005A020000}"/>
    <cellStyle name="Normal 5 2 2 4 3" xfId="603" xr:uid="{00000000-0005-0000-0000-00005B020000}"/>
    <cellStyle name="Normal 5 2 2 4 3 2" xfId="604" xr:uid="{00000000-0005-0000-0000-00005C020000}"/>
    <cellStyle name="Normal 5 2 2 4 4" xfId="605" xr:uid="{00000000-0005-0000-0000-00005D020000}"/>
    <cellStyle name="Normal 5 2 2 4 4 2" xfId="606" xr:uid="{00000000-0005-0000-0000-00005E020000}"/>
    <cellStyle name="Normal 5 2 3" xfId="607" xr:uid="{00000000-0005-0000-0000-00005F020000}"/>
    <cellStyle name="Normal 5 2 3 2" xfId="608" xr:uid="{00000000-0005-0000-0000-000060020000}"/>
    <cellStyle name="Normal 5 2 4" xfId="609" xr:uid="{00000000-0005-0000-0000-000061020000}"/>
    <cellStyle name="Normal 5 2 4 2" xfId="610" xr:uid="{00000000-0005-0000-0000-000062020000}"/>
    <cellStyle name="Normal 5 2 4 3" xfId="611" xr:uid="{00000000-0005-0000-0000-000063020000}"/>
    <cellStyle name="Normal 5 2 4 3 2" xfId="612" xr:uid="{00000000-0005-0000-0000-000064020000}"/>
    <cellStyle name="Normal 5 2 4 3 2 2" xfId="613" xr:uid="{00000000-0005-0000-0000-000065020000}"/>
    <cellStyle name="Normal 5 2 4 3 2 3" xfId="614" xr:uid="{00000000-0005-0000-0000-000066020000}"/>
    <cellStyle name="Normal 5 2 4 3 2 3 2" xfId="615" xr:uid="{00000000-0005-0000-0000-000067020000}"/>
    <cellStyle name="Normal 5 2 4 3 2 4" xfId="616" xr:uid="{00000000-0005-0000-0000-000068020000}"/>
    <cellStyle name="Normal 5 2 4 3 2 4 2" xfId="617" xr:uid="{00000000-0005-0000-0000-000069020000}"/>
    <cellStyle name="Normal 5 2 4 3 3" xfId="618" xr:uid="{00000000-0005-0000-0000-00006A020000}"/>
    <cellStyle name="Normal 5 2 4 3 4" xfId="619" xr:uid="{00000000-0005-0000-0000-00006B020000}"/>
    <cellStyle name="Normal 5 2 4 3 4 2" xfId="620" xr:uid="{00000000-0005-0000-0000-00006C020000}"/>
    <cellStyle name="Normal 5 2 4 3 4 2 2" xfId="621" xr:uid="{00000000-0005-0000-0000-00006D020000}"/>
    <cellStyle name="Normal 5 2 4 3 4 2 3" xfId="622" xr:uid="{00000000-0005-0000-0000-00006E020000}"/>
    <cellStyle name="Normal 5 2 4 4" xfId="623" xr:uid="{00000000-0005-0000-0000-00006F020000}"/>
    <cellStyle name="Normal 5 2 4 4 2" xfId="624" xr:uid="{00000000-0005-0000-0000-000070020000}"/>
    <cellStyle name="Normal 5 2 4 4 3" xfId="625" xr:uid="{00000000-0005-0000-0000-000071020000}"/>
    <cellStyle name="Normal 5 2 4 4 3 2" xfId="626" xr:uid="{00000000-0005-0000-0000-000072020000}"/>
    <cellStyle name="Normal 5 2 4 4 4" xfId="627" xr:uid="{00000000-0005-0000-0000-000073020000}"/>
    <cellStyle name="Normal 5 2 4 4 4 2" xfId="628" xr:uid="{00000000-0005-0000-0000-000074020000}"/>
    <cellStyle name="Normal 5 2 5" xfId="629" xr:uid="{00000000-0005-0000-0000-000075020000}"/>
    <cellStyle name="Normal 5 2 6" xfId="630" xr:uid="{00000000-0005-0000-0000-000076020000}"/>
    <cellStyle name="Normal 5 2 6 2" xfId="631" xr:uid="{00000000-0005-0000-0000-000077020000}"/>
    <cellStyle name="Normal 5 2 6 3" xfId="632" xr:uid="{00000000-0005-0000-0000-000078020000}"/>
    <cellStyle name="Normal 5 2 6 3 2" xfId="633" xr:uid="{00000000-0005-0000-0000-000079020000}"/>
    <cellStyle name="Normal 5 2 6 4" xfId="634" xr:uid="{00000000-0005-0000-0000-00007A020000}"/>
    <cellStyle name="Normal 5 2 6 4 2" xfId="635" xr:uid="{00000000-0005-0000-0000-00007B020000}"/>
    <cellStyle name="Normal 5 2 7" xfId="636" xr:uid="{00000000-0005-0000-0000-00007C020000}"/>
    <cellStyle name="Normal 5 2 7 2" xfId="637" xr:uid="{00000000-0005-0000-0000-00007D020000}"/>
    <cellStyle name="Normal 5 3" xfId="638" xr:uid="{00000000-0005-0000-0000-00007E020000}"/>
    <cellStyle name="Normal 5 3 2" xfId="639" xr:uid="{00000000-0005-0000-0000-00007F020000}"/>
    <cellStyle name="Normal 5 3 3" xfId="640" xr:uid="{00000000-0005-0000-0000-000080020000}"/>
    <cellStyle name="Normal 5 3 3 2" xfId="641" xr:uid="{00000000-0005-0000-0000-000081020000}"/>
    <cellStyle name="Normal 5 3 3 2 2" xfId="642" xr:uid="{00000000-0005-0000-0000-000082020000}"/>
    <cellStyle name="Normal 5 3 3 2 3" xfId="643" xr:uid="{00000000-0005-0000-0000-000083020000}"/>
    <cellStyle name="Normal 5 3 3 2 3 2" xfId="644" xr:uid="{00000000-0005-0000-0000-000084020000}"/>
    <cellStyle name="Normal 5 3 3 2 4" xfId="645" xr:uid="{00000000-0005-0000-0000-000085020000}"/>
    <cellStyle name="Normal 5 3 3 2 4 2" xfId="646" xr:uid="{00000000-0005-0000-0000-000086020000}"/>
    <cellStyle name="Normal 5 3 3 3" xfId="647" xr:uid="{00000000-0005-0000-0000-000087020000}"/>
    <cellStyle name="Normal 5 3 3 4" xfId="648" xr:uid="{00000000-0005-0000-0000-000088020000}"/>
    <cellStyle name="Normal 5 3 3 4 2" xfId="649" xr:uid="{00000000-0005-0000-0000-000089020000}"/>
    <cellStyle name="Normal 5 3 3 4 2 2" xfId="650" xr:uid="{00000000-0005-0000-0000-00008A020000}"/>
    <cellStyle name="Normal 5 3 3 4 2 3" xfId="651" xr:uid="{00000000-0005-0000-0000-00008B020000}"/>
    <cellStyle name="Normal 5 3 4" xfId="652" xr:uid="{00000000-0005-0000-0000-00008C020000}"/>
    <cellStyle name="Normal 5 3 4 2" xfId="653" xr:uid="{00000000-0005-0000-0000-00008D020000}"/>
    <cellStyle name="Normal 5 3 4 3" xfId="654" xr:uid="{00000000-0005-0000-0000-00008E020000}"/>
    <cellStyle name="Normal 5 3 4 3 2" xfId="655" xr:uid="{00000000-0005-0000-0000-00008F020000}"/>
    <cellStyle name="Normal 5 3 4 4" xfId="656" xr:uid="{00000000-0005-0000-0000-000090020000}"/>
    <cellStyle name="Normal 5 3 4 4 2" xfId="657" xr:uid="{00000000-0005-0000-0000-000091020000}"/>
    <cellStyle name="Normal 5 4" xfId="658" xr:uid="{00000000-0005-0000-0000-000092020000}"/>
    <cellStyle name="Normal 5 4 2" xfId="659" xr:uid="{00000000-0005-0000-0000-000093020000}"/>
    <cellStyle name="Normal 5 5" xfId="660" xr:uid="{00000000-0005-0000-0000-000094020000}"/>
    <cellStyle name="Normal 5 5 10" xfId="661" xr:uid="{00000000-0005-0000-0000-000095020000}"/>
    <cellStyle name="Normal 5 5 10 2" xfId="662" xr:uid="{00000000-0005-0000-0000-000096020000}"/>
    <cellStyle name="Normal 5 5 11" xfId="663" xr:uid="{00000000-0005-0000-0000-000097020000}"/>
    <cellStyle name="Normal 5 5 12" xfId="664" xr:uid="{00000000-0005-0000-0000-000098020000}"/>
    <cellStyle name="Normal 5 5 12 2" xfId="665" xr:uid="{00000000-0005-0000-0000-000099020000}"/>
    <cellStyle name="Normal 5 5 12 3" xfId="666" xr:uid="{00000000-0005-0000-0000-00009A020000}"/>
    <cellStyle name="Normal 5 5 13" xfId="667" xr:uid="{00000000-0005-0000-0000-00009B020000}"/>
    <cellStyle name="Normal 5 5 13 2" xfId="668" xr:uid="{00000000-0005-0000-0000-00009C020000}"/>
    <cellStyle name="Normal 5 5 2" xfId="669" xr:uid="{00000000-0005-0000-0000-00009D020000}"/>
    <cellStyle name="Normal 5 5 2 2" xfId="670" xr:uid="{00000000-0005-0000-0000-00009E020000}"/>
    <cellStyle name="Normal 5 5 2 3" xfId="671" xr:uid="{00000000-0005-0000-0000-00009F020000}"/>
    <cellStyle name="Normal 5 5 2 4" xfId="672" xr:uid="{00000000-0005-0000-0000-0000A0020000}"/>
    <cellStyle name="Normal 5 5 3" xfId="673" xr:uid="{00000000-0005-0000-0000-0000A1020000}"/>
    <cellStyle name="Normal 5 5 3 2" xfId="674" xr:uid="{00000000-0005-0000-0000-0000A2020000}"/>
    <cellStyle name="Normal 5 5 3 3" xfId="675" xr:uid="{00000000-0005-0000-0000-0000A3020000}"/>
    <cellStyle name="Normal 5 5 3 3 2" xfId="676" xr:uid="{00000000-0005-0000-0000-0000A4020000}"/>
    <cellStyle name="Normal 5 5 4" xfId="677" xr:uid="{00000000-0005-0000-0000-0000A5020000}"/>
    <cellStyle name="Normal 5 5 5" xfId="678" xr:uid="{00000000-0005-0000-0000-0000A6020000}"/>
    <cellStyle name="Normal 5 5 6" xfId="679" xr:uid="{00000000-0005-0000-0000-0000A7020000}"/>
    <cellStyle name="Normal 5 5 7" xfId="680" xr:uid="{00000000-0005-0000-0000-0000A8020000}"/>
    <cellStyle name="Normal 5 5 8" xfId="681" xr:uid="{00000000-0005-0000-0000-0000A9020000}"/>
    <cellStyle name="Normal 5 5 9" xfId="682" xr:uid="{00000000-0005-0000-0000-0000AA020000}"/>
    <cellStyle name="Normal 6" xfId="683" xr:uid="{00000000-0005-0000-0000-0000AB020000}"/>
    <cellStyle name="Normal 6 2" xfId="684" xr:uid="{00000000-0005-0000-0000-0000AC020000}"/>
    <cellStyle name="Normal 6 2 2" xfId="685" xr:uid="{00000000-0005-0000-0000-0000AD020000}"/>
    <cellStyle name="Normal 6 2 3" xfId="686" xr:uid="{00000000-0005-0000-0000-0000AE020000}"/>
    <cellStyle name="Normal 6 2 4" xfId="687" xr:uid="{00000000-0005-0000-0000-0000AF020000}"/>
    <cellStyle name="Normal 6 2 4 2" xfId="688" xr:uid="{00000000-0005-0000-0000-0000B0020000}"/>
    <cellStyle name="Normal 6 3" xfId="689" xr:uid="{00000000-0005-0000-0000-0000B1020000}"/>
    <cellStyle name="Normal 6 3 2" xfId="690" xr:uid="{00000000-0005-0000-0000-0000B2020000}"/>
    <cellStyle name="Normal 6 3 3" xfId="691" xr:uid="{00000000-0005-0000-0000-0000B3020000}"/>
    <cellStyle name="Normal 6 3 3 2" xfId="692" xr:uid="{00000000-0005-0000-0000-0000B4020000}"/>
    <cellStyle name="Normal 6 3 3 3" xfId="693" xr:uid="{00000000-0005-0000-0000-0000B5020000}"/>
    <cellStyle name="Normal 6 3 3 3 2" xfId="694" xr:uid="{00000000-0005-0000-0000-0000B6020000}"/>
    <cellStyle name="Normal 6 3 3 3 2 2" xfId="695" xr:uid="{00000000-0005-0000-0000-0000B7020000}"/>
    <cellStyle name="Normal 6 3 3 3 2 3" xfId="696" xr:uid="{00000000-0005-0000-0000-0000B8020000}"/>
    <cellStyle name="Normal 6 3 3 3 2 3 2" xfId="697" xr:uid="{00000000-0005-0000-0000-0000B9020000}"/>
    <cellStyle name="Normal 6 3 3 3 2 4" xfId="698" xr:uid="{00000000-0005-0000-0000-0000BA020000}"/>
    <cellStyle name="Normal 6 3 3 3 2 4 2" xfId="699" xr:uid="{00000000-0005-0000-0000-0000BB020000}"/>
    <cellStyle name="Normal 6 3 3 3 3" xfId="700" xr:uid="{00000000-0005-0000-0000-0000BC020000}"/>
    <cellStyle name="Normal 6 3 3 3 4" xfId="701" xr:uid="{00000000-0005-0000-0000-0000BD020000}"/>
    <cellStyle name="Normal 6 3 3 3 4 2" xfId="702" xr:uid="{00000000-0005-0000-0000-0000BE020000}"/>
    <cellStyle name="Normal 6 3 3 3 4 2 2" xfId="703" xr:uid="{00000000-0005-0000-0000-0000BF020000}"/>
    <cellStyle name="Normal 6 3 3 3 4 2 3" xfId="704" xr:uid="{00000000-0005-0000-0000-0000C0020000}"/>
    <cellStyle name="Normal 6 3 3 4" xfId="705" xr:uid="{00000000-0005-0000-0000-0000C1020000}"/>
    <cellStyle name="Normal 6 3 3 4 2" xfId="706" xr:uid="{00000000-0005-0000-0000-0000C2020000}"/>
    <cellStyle name="Normal 6 3 3 4 3" xfId="707" xr:uid="{00000000-0005-0000-0000-0000C3020000}"/>
    <cellStyle name="Normal 6 3 3 4 3 2" xfId="708" xr:uid="{00000000-0005-0000-0000-0000C4020000}"/>
    <cellStyle name="Normal 6 3 3 4 4" xfId="709" xr:uid="{00000000-0005-0000-0000-0000C5020000}"/>
    <cellStyle name="Normal 6 3 3 4 4 2" xfId="710" xr:uid="{00000000-0005-0000-0000-0000C6020000}"/>
    <cellStyle name="Normal 6 3 4" xfId="711" xr:uid="{00000000-0005-0000-0000-0000C7020000}"/>
    <cellStyle name="Normal 6 3 4 2" xfId="712" xr:uid="{00000000-0005-0000-0000-0000C8020000}"/>
    <cellStyle name="Normal 6 3 4 3" xfId="713" xr:uid="{00000000-0005-0000-0000-0000C9020000}"/>
    <cellStyle name="Normal 6 3 4 3 2" xfId="714" xr:uid="{00000000-0005-0000-0000-0000CA020000}"/>
    <cellStyle name="Normal 6 3 4 4" xfId="715" xr:uid="{00000000-0005-0000-0000-0000CB020000}"/>
    <cellStyle name="Normal 6 3 4 4 2" xfId="716" xr:uid="{00000000-0005-0000-0000-0000CC020000}"/>
    <cellStyle name="Normal 6 4" xfId="717" xr:uid="{00000000-0005-0000-0000-0000CD020000}"/>
    <cellStyle name="Normal 6 5" xfId="718" xr:uid="{00000000-0005-0000-0000-0000CE020000}"/>
    <cellStyle name="Normal 6 5 2" xfId="719" xr:uid="{00000000-0005-0000-0000-0000CF020000}"/>
    <cellStyle name="Normal 6 5 3" xfId="720" xr:uid="{00000000-0005-0000-0000-0000D0020000}"/>
    <cellStyle name="Normal 6 5 3 2" xfId="721" xr:uid="{00000000-0005-0000-0000-0000D1020000}"/>
    <cellStyle name="Normal 6 5 3 2 2" xfId="722" xr:uid="{00000000-0005-0000-0000-0000D2020000}"/>
    <cellStyle name="Normal 6 5 3 2 3" xfId="723" xr:uid="{00000000-0005-0000-0000-0000D3020000}"/>
    <cellStyle name="Normal 6 5 3 2 3 2" xfId="724" xr:uid="{00000000-0005-0000-0000-0000D4020000}"/>
    <cellStyle name="Normal 6 5 3 2 4" xfId="725" xr:uid="{00000000-0005-0000-0000-0000D5020000}"/>
    <cellStyle name="Normal 6 5 3 2 4 2" xfId="726" xr:uid="{00000000-0005-0000-0000-0000D6020000}"/>
    <cellStyle name="Normal 6 5 3 3" xfId="727" xr:uid="{00000000-0005-0000-0000-0000D7020000}"/>
    <cellStyle name="Normal 6 5 3 4" xfId="728" xr:uid="{00000000-0005-0000-0000-0000D8020000}"/>
    <cellStyle name="Normal 6 5 3 4 2" xfId="729" xr:uid="{00000000-0005-0000-0000-0000D9020000}"/>
    <cellStyle name="Normal 6 5 3 4 2 2" xfId="730" xr:uid="{00000000-0005-0000-0000-0000DA020000}"/>
    <cellStyle name="Normal 6 5 3 4 2 3" xfId="731" xr:uid="{00000000-0005-0000-0000-0000DB020000}"/>
    <cellStyle name="Normal 6 5 4" xfId="732" xr:uid="{00000000-0005-0000-0000-0000DC020000}"/>
    <cellStyle name="Normal 6 5 4 2" xfId="733" xr:uid="{00000000-0005-0000-0000-0000DD020000}"/>
    <cellStyle name="Normal 6 5 4 3" xfId="734" xr:uid="{00000000-0005-0000-0000-0000DE020000}"/>
    <cellStyle name="Normal 6 5 4 3 2" xfId="735" xr:uid="{00000000-0005-0000-0000-0000DF020000}"/>
    <cellStyle name="Normal 6 5 4 4" xfId="736" xr:uid="{00000000-0005-0000-0000-0000E0020000}"/>
    <cellStyle name="Normal 6 5 4 4 2" xfId="737" xr:uid="{00000000-0005-0000-0000-0000E1020000}"/>
    <cellStyle name="Normal 6 6" xfId="738" xr:uid="{00000000-0005-0000-0000-0000E2020000}"/>
    <cellStyle name="Normal 6 6 2" xfId="739" xr:uid="{00000000-0005-0000-0000-0000E3020000}"/>
    <cellStyle name="Normal 6 6 3" xfId="740" xr:uid="{00000000-0005-0000-0000-0000E4020000}"/>
    <cellStyle name="Normal 6 6 3 2" xfId="741" xr:uid="{00000000-0005-0000-0000-0000E5020000}"/>
    <cellStyle name="Normal 6 6 3 3" xfId="742" xr:uid="{00000000-0005-0000-0000-0000E6020000}"/>
    <cellStyle name="Normal 6 6 4" xfId="743" xr:uid="{00000000-0005-0000-0000-0000E7020000}"/>
    <cellStyle name="Normal 6 6 4 2" xfId="744" xr:uid="{00000000-0005-0000-0000-0000E8020000}"/>
    <cellStyle name="Normal 6 6 5" xfId="745" xr:uid="{00000000-0005-0000-0000-0000E9020000}"/>
    <cellStyle name="Normal 6 6 6" xfId="746" xr:uid="{00000000-0005-0000-0000-0000EA020000}"/>
    <cellStyle name="Normal 6 6 6 2" xfId="747" xr:uid="{00000000-0005-0000-0000-0000EB020000}"/>
    <cellStyle name="Normal 7" xfId="748" xr:uid="{00000000-0005-0000-0000-0000EC020000}"/>
    <cellStyle name="Normal 7 10" xfId="749" xr:uid="{00000000-0005-0000-0000-0000ED020000}"/>
    <cellStyle name="Normal 7 11" xfId="750" xr:uid="{00000000-0005-0000-0000-0000EE020000}"/>
    <cellStyle name="Normal 7 12" xfId="751" xr:uid="{00000000-0005-0000-0000-0000EF020000}"/>
    <cellStyle name="Normal 7 13" xfId="752" xr:uid="{00000000-0005-0000-0000-0000F0020000}"/>
    <cellStyle name="Normal 7 2" xfId="753" xr:uid="{00000000-0005-0000-0000-0000F1020000}"/>
    <cellStyle name="Normal 7 2 2" xfId="754" xr:uid="{00000000-0005-0000-0000-0000F2020000}"/>
    <cellStyle name="Normal 7 3" xfId="755" xr:uid="{00000000-0005-0000-0000-0000F3020000}"/>
    <cellStyle name="Normal 7 3 2" xfId="756" xr:uid="{00000000-0005-0000-0000-0000F4020000}"/>
    <cellStyle name="Normal 7 3 3" xfId="757" xr:uid="{00000000-0005-0000-0000-0000F5020000}"/>
    <cellStyle name="Normal 7 3 3 2" xfId="758" xr:uid="{00000000-0005-0000-0000-0000F6020000}"/>
    <cellStyle name="Normal 7 3 3 2 2" xfId="759" xr:uid="{00000000-0005-0000-0000-0000F7020000}"/>
    <cellStyle name="Normal 7 3 3 2 3" xfId="760" xr:uid="{00000000-0005-0000-0000-0000F8020000}"/>
    <cellStyle name="Normal 7 3 3 2 3 2" xfId="761" xr:uid="{00000000-0005-0000-0000-0000F9020000}"/>
    <cellStyle name="Normal 7 3 3 2 4" xfId="762" xr:uid="{00000000-0005-0000-0000-0000FA020000}"/>
    <cellStyle name="Normal 7 3 3 2 4 2" xfId="763" xr:uid="{00000000-0005-0000-0000-0000FB020000}"/>
    <cellStyle name="Normal 7 3 3 3" xfId="764" xr:uid="{00000000-0005-0000-0000-0000FC020000}"/>
    <cellStyle name="Normal 7 3 3 4" xfId="765" xr:uid="{00000000-0005-0000-0000-0000FD020000}"/>
    <cellStyle name="Normal 7 3 3 4 2" xfId="766" xr:uid="{00000000-0005-0000-0000-0000FE020000}"/>
    <cellStyle name="Normal 7 3 3 4 2 2" xfId="767" xr:uid="{00000000-0005-0000-0000-0000FF020000}"/>
    <cellStyle name="Normal 7 3 3 4 2 3" xfId="768" xr:uid="{00000000-0005-0000-0000-000000030000}"/>
    <cellStyle name="Normal 7 3 4" xfId="769" xr:uid="{00000000-0005-0000-0000-000001030000}"/>
    <cellStyle name="Normal 7 3 4 2" xfId="770" xr:uid="{00000000-0005-0000-0000-000002030000}"/>
    <cellStyle name="Normal 7 3 4 3" xfId="771" xr:uid="{00000000-0005-0000-0000-000003030000}"/>
    <cellStyle name="Normal 7 3 4 3 2" xfId="772" xr:uid="{00000000-0005-0000-0000-000004030000}"/>
    <cellStyle name="Normal 7 3 4 4" xfId="773" xr:uid="{00000000-0005-0000-0000-000005030000}"/>
    <cellStyle name="Normal 7 3 4 4 2" xfId="774" xr:uid="{00000000-0005-0000-0000-000006030000}"/>
    <cellStyle name="Normal 7 4" xfId="775" xr:uid="{00000000-0005-0000-0000-000007030000}"/>
    <cellStyle name="Normal 7 4 10" xfId="776" xr:uid="{00000000-0005-0000-0000-000008030000}"/>
    <cellStyle name="Normal 7 4 11" xfId="777" xr:uid="{00000000-0005-0000-0000-000009030000}"/>
    <cellStyle name="Normal 7 4 12" xfId="778" xr:uid="{00000000-0005-0000-0000-00000A030000}"/>
    <cellStyle name="Normal 7 4 2" xfId="779" xr:uid="{00000000-0005-0000-0000-00000B030000}"/>
    <cellStyle name="Normal 7 4 2 2" xfId="780" xr:uid="{00000000-0005-0000-0000-00000C030000}"/>
    <cellStyle name="Normal 7 4 2 3" xfId="781" xr:uid="{00000000-0005-0000-0000-00000D030000}"/>
    <cellStyle name="Normal 7 4 2 4" xfId="782" xr:uid="{00000000-0005-0000-0000-00000E030000}"/>
    <cellStyle name="Normal 7 4 2 5" xfId="783" xr:uid="{00000000-0005-0000-0000-00000F030000}"/>
    <cellStyle name="Normal 7 4 2 6" xfId="784" xr:uid="{00000000-0005-0000-0000-000010030000}"/>
    <cellStyle name="Normal 7 4 2 7" xfId="785" xr:uid="{00000000-0005-0000-0000-000011030000}"/>
    <cellStyle name="Normal 7 4 2 8" xfId="786" xr:uid="{00000000-0005-0000-0000-000012030000}"/>
    <cellStyle name="Normal 7 4 3" xfId="787" xr:uid="{00000000-0005-0000-0000-000013030000}"/>
    <cellStyle name="Normal 7 4 3 2" xfId="788" xr:uid="{00000000-0005-0000-0000-000014030000}"/>
    <cellStyle name="Normal 7 4 4" xfId="789" xr:uid="{00000000-0005-0000-0000-000015030000}"/>
    <cellStyle name="Normal 7 4 5" xfId="790" xr:uid="{00000000-0005-0000-0000-000016030000}"/>
    <cellStyle name="Normal 7 4 6" xfId="791" xr:uid="{00000000-0005-0000-0000-000017030000}"/>
    <cellStyle name="Normal 7 4 7" xfId="792" xr:uid="{00000000-0005-0000-0000-000018030000}"/>
    <cellStyle name="Normal 7 4 8" xfId="793" xr:uid="{00000000-0005-0000-0000-000019030000}"/>
    <cellStyle name="Normal 7 4 9" xfId="794" xr:uid="{00000000-0005-0000-0000-00001A030000}"/>
    <cellStyle name="Normal 7 5" xfId="795" xr:uid="{00000000-0005-0000-0000-00001B030000}"/>
    <cellStyle name="Normal 7 6" xfId="796" xr:uid="{00000000-0005-0000-0000-00001C030000}"/>
    <cellStyle name="Normal 7 6 10" xfId="797" xr:uid="{00000000-0005-0000-0000-00001D030000}"/>
    <cellStyle name="Normal 7 6 10 2" xfId="798" xr:uid="{00000000-0005-0000-0000-00001E030000}"/>
    <cellStyle name="Normal 7 6 11" xfId="799" xr:uid="{00000000-0005-0000-0000-00001F030000}"/>
    <cellStyle name="Normal 7 6 12" xfId="800" xr:uid="{00000000-0005-0000-0000-000020030000}"/>
    <cellStyle name="Normal 7 6 12 2" xfId="801" xr:uid="{00000000-0005-0000-0000-000021030000}"/>
    <cellStyle name="Normal 7 6 2" xfId="802" xr:uid="{00000000-0005-0000-0000-000022030000}"/>
    <cellStyle name="Normal 7 6 2 2" xfId="803" xr:uid="{00000000-0005-0000-0000-000023030000}"/>
    <cellStyle name="Normal 7 6 2 3" xfId="804" xr:uid="{00000000-0005-0000-0000-000024030000}"/>
    <cellStyle name="Normal 7 6 3" xfId="805" xr:uid="{00000000-0005-0000-0000-000025030000}"/>
    <cellStyle name="Normal 7 6 3 2" xfId="806" xr:uid="{00000000-0005-0000-0000-000026030000}"/>
    <cellStyle name="Normal 7 6 3 3" xfId="807" xr:uid="{00000000-0005-0000-0000-000027030000}"/>
    <cellStyle name="Normal 7 6 4" xfId="808" xr:uid="{00000000-0005-0000-0000-000028030000}"/>
    <cellStyle name="Normal 7 6 5" xfId="809" xr:uid="{00000000-0005-0000-0000-000029030000}"/>
    <cellStyle name="Normal 7 6 6" xfId="810" xr:uid="{00000000-0005-0000-0000-00002A030000}"/>
    <cellStyle name="Normal 7 6 7" xfId="811" xr:uid="{00000000-0005-0000-0000-00002B030000}"/>
    <cellStyle name="Normal 7 6 8" xfId="812" xr:uid="{00000000-0005-0000-0000-00002C030000}"/>
    <cellStyle name="Normal 7 6 9" xfId="813" xr:uid="{00000000-0005-0000-0000-00002D030000}"/>
    <cellStyle name="Normal 7 7" xfId="814" xr:uid="{00000000-0005-0000-0000-00002E030000}"/>
    <cellStyle name="Normal 7 8" xfId="815" xr:uid="{00000000-0005-0000-0000-00002F030000}"/>
    <cellStyle name="Normal 7 9" xfId="816" xr:uid="{00000000-0005-0000-0000-000030030000}"/>
    <cellStyle name="Normal 8" xfId="817" xr:uid="{00000000-0005-0000-0000-000031030000}"/>
    <cellStyle name="Normal 9" xfId="818" xr:uid="{00000000-0005-0000-0000-000032030000}"/>
    <cellStyle name="Normal 9 2" xfId="819" xr:uid="{00000000-0005-0000-0000-000033030000}"/>
    <cellStyle name="Normal 9 3" xfId="820" xr:uid="{00000000-0005-0000-0000-000034030000}"/>
    <cellStyle name="Normal_98AFRCOU" xfId="821" xr:uid="{00000000-0005-0000-0000-000035030000}"/>
    <cellStyle name="Note 2" xfId="822" xr:uid="{00000000-0005-0000-0000-000036030000}"/>
    <cellStyle name="Note 3" xfId="823" xr:uid="{00000000-0005-0000-0000-000037030000}"/>
    <cellStyle name="Output 2" xfId="824" xr:uid="{00000000-0005-0000-0000-000038030000}"/>
    <cellStyle name="Output 3" xfId="825" xr:uid="{00000000-0005-0000-0000-000039030000}"/>
    <cellStyle name="Percent 2" xfId="826" xr:uid="{00000000-0005-0000-0000-00003A030000}"/>
    <cellStyle name="Percent 2 2" xfId="827" xr:uid="{00000000-0005-0000-0000-00003B030000}"/>
    <cellStyle name="Percent 3" xfId="828" xr:uid="{00000000-0005-0000-0000-00003C030000}"/>
    <cellStyle name="Percent 3 2" xfId="829" xr:uid="{00000000-0005-0000-0000-00003D030000}"/>
    <cellStyle name="Sheet Title" xfId="830" xr:uid="{00000000-0005-0000-0000-00003E030000}"/>
    <cellStyle name="Style 1" xfId="831" xr:uid="{00000000-0005-0000-0000-00003F030000}"/>
    <cellStyle name="Style 1 2" xfId="832" xr:uid="{00000000-0005-0000-0000-000040030000}"/>
    <cellStyle name="Style 1 2 2" xfId="833" xr:uid="{00000000-0005-0000-0000-000041030000}"/>
    <cellStyle name="Style 1 3" xfId="834" xr:uid="{00000000-0005-0000-0000-000042030000}"/>
    <cellStyle name="Style 1 4" xfId="835" xr:uid="{00000000-0005-0000-0000-000043030000}"/>
    <cellStyle name="Total 2" xfId="836" xr:uid="{00000000-0005-0000-0000-000044030000}"/>
    <cellStyle name="Total 3" xfId="837" xr:uid="{00000000-0005-0000-0000-000045030000}"/>
    <cellStyle name="Warning Text 2" xfId="838" xr:uid="{00000000-0005-0000-0000-000046030000}"/>
    <cellStyle name="Warning Text 3" xfId="839" xr:uid="{00000000-0005-0000-0000-000047030000}"/>
  </cellStyles>
  <dxfs count="13">
    <dxf>
      <fill>
        <patternFill>
          <bgColor rgb="FF66FFFF"/>
        </patternFill>
      </fill>
    </dxf>
    <dxf>
      <font>
        <color auto="1"/>
      </font>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fc.sog.unc.edu/reslib/item/north-carolina-water-and-wastewater-rates-dashboard"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www.nctreasurer.com/slg/lfm/financial-analysis/Pages/Financial-Statistics-Tool.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24"/>
  <sheetViews>
    <sheetView workbookViewId="0">
      <selection activeCell="A4" sqref="A4"/>
    </sheetView>
  </sheetViews>
  <sheetFormatPr defaultRowHeight="15" x14ac:dyDescent="0.25"/>
  <cols>
    <col min="1" max="1" width="155" customWidth="1"/>
    <col min="2" max="3" width="9.140625" hidden="1" customWidth="1"/>
  </cols>
  <sheetData>
    <row r="2" spans="1:1" ht="33" x14ac:dyDescent="0.25">
      <c r="A2" s="34" t="s">
        <v>10</v>
      </c>
    </row>
    <row r="3" spans="1:1" ht="15.75" x14ac:dyDescent="0.25">
      <c r="A3" s="35" t="s">
        <v>11</v>
      </c>
    </row>
    <row r="4" spans="1:1" ht="126" x14ac:dyDescent="0.25">
      <c r="A4" s="36" t="s">
        <v>12</v>
      </c>
    </row>
    <row r="5" spans="1:1" x14ac:dyDescent="0.25">
      <c r="A5" s="37"/>
    </row>
    <row r="6" spans="1:1" x14ac:dyDescent="0.25">
      <c r="A6" s="38" t="s">
        <v>13</v>
      </c>
    </row>
    <row r="7" spans="1:1" x14ac:dyDescent="0.25">
      <c r="A7" s="39" t="s">
        <v>352</v>
      </c>
    </row>
    <row r="8" spans="1:1" x14ac:dyDescent="0.25">
      <c r="A8" s="38"/>
    </row>
    <row r="9" spans="1:1" x14ac:dyDescent="0.25">
      <c r="A9" s="38" t="s">
        <v>340</v>
      </c>
    </row>
    <row r="10" spans="1:1" x14ac:dyDescent="0.25">
      <c r="A10" s="39" t="s">
        <v>341</v>
      </c>
    </row>
    <row r="11" spans="1:1" x14ac:dyDescent="0.25">
      <c r="A11" s="38"/>
    </row>
    <row r="12" spans="1:1" x14ac:dyDescent="0.25">
      <c r="A12" s="38" t="s">
        <v>14</v>
      </c>
    </row>
    <row r="13" spans="1:1" x14ac:dyDescent="0.25">
      <c r="A13" s="39" t="s">
        <v>342</v>
      </c>
    </row>
    <row r="14" spans="1:1" x14ac:dyDescent="0.25">
      <c r="A14" s="38"/>
    </row>
    <row r="15" spans="1:1" ht="15.75" x14ac:dyDescent="0.25">
      <c r="A15" s="35" t="s">
        <v>15</v>
      </c>
    </row>
    <row r="16" spans="1:1" ht="47.25" x14ac:dyDescent="0.25">
      <c r="A16" s="36" t="s">
        <v>16</v>
      </c>
    </row>
    <row r="17" spans="1:1" ht="15.75" x14ac:dyDescent="0.25">
      <c r="A17" s="36"/>
    </row>
    <row r="18" spans="1:1" ht="63" x14ac:dyDescent="0.25">
      <c r="A18" s="36" t="s">
        <v>354</v>
      </c>
    </row>
    <row r="19" spans="1:1" s="152" customFormat="1" ht="15.75" x14ac:dyDescent="0.25">
      <c r="A19" s="36"/>
    </row>
    <row r="20" spans="1:1" s="152" customFormat="1" ht="63" x14ac:dyDescent="0.25">
      <c r="A20" s="36" t="s">
        <v>343</v>
      </c>
    </row>
    <row r="21" spans="1:1" ht="15.75" x14ac:dyDescent="0.25">
      <c r="A21" s="36"/>
    </row>
    <row r="22" spans="1:1" ht="31.5" x14ac:dyDescent="0.25">
      <c r="A22" s="36" t="s">
        <v>17</v>
      </c>
    </row>
    <row r="23" spans="1:1" ht="15.75" x14ac:dyDescent="0.25">
      <c r="A23" s="40"/>
    </row>
    <row r="24" spans="1:1" ht="15.75" x14ac:dyDescent="0.25">
      <c r="A24" s="40" t="s">
        <v>339</v>
      </c>
    </row>
  </sheetData>
  <sheetProtection password="CEAA" sheet="1" formatCells="0" formatColumns="0" formatRows="0"/>
  <hyperlinks>
    <hyperlink ref="A10" r:id="rId1" xr:uid="{00000000-0004-0000-0000-000000000000}"/>
    <hyperlink ref="A13" r:id="rId2" xr:uid="{00000000-0004-0000-0000-000001000000}"/>
    <hyperlink ref="A7"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01"/>
  <sheetViews>
    <sheetView tabSelected="1" zoomScaleNormal="100" workbookViewId="0">
      <pane ySplit="5" topLeftCell="A6" activePane="bottomLeft" state="frozen"/>
      <selection activeCell="A2" sqref="A2"/>
      <selection pane="bottomLeft" activeCell="D2" sqref="D2"/>
    </sheetView>
  </sheetViews>
  <sheetFormatPr defaultRowHeight="15" x14ac:dyDescent="0.25"/>
  <cols>
    <col min="1" max="1" width="5.85546875" style="23" customWidth="1"/>
    <col min="2" max="3" width="16.140625" style="21" customWidth="1"/>
    <col min="4" max="4" width="46.28515625" style="1" customWidth="1"/>
    <col min="5" max="5" width="19.5703125" style="4" bestFit="1" customWidth="1"/>
    <col min="6" max="6" width="16.5703125" style="1" customWidth="1"/>
    <col min="7" max="7" width="23.5703125" style="10" customWidth="1"/>
    <col min="8" max="8" width="17.140625" style="3" customWidth="1"/>
    <col min="9" max="9" width="25" style="1" customWidth="1"/>
    <col min="10" max="10" width="5.5703125" style="187" hidden="1" customWidth="1"/>
    <col min="11" max="13" width="5.5703125" style="1" hidden="1" customWidth="1"/>
    <col min="14" max="14" width="18.85546875" style="1" customWidth="1"/>
    <col min="15" max="16384" width="9.140625" style="1"/>
  </cols>
  <sheetData>
    <row r="1" spans="1:15" ht="39.75" customHeight="1" thickBot="1" x14ac:dyDescent="0.5">
      <c r="B1" s="29" t="s">
        <v>212</v>
      </c>
      <c r="C1" s="29"/>
      <c r="E1" s="261" t="s">
        <v>9</v>
      </c>
      <c r="F1" s="17">
        <v>2019</v>
      </c>
      <c r="G1" s="242" t="s">
        <v>76</v>
      </c>
      <c r="H1" s="243"/>
      <c r="K1" s="1" t="s">
        <v>28</v>
      </c>
      <c r="M1" s="1">
        <v>547</v>
      </c>
      <c r="N1" s="3" t="s">
        <v>399</v>
      </c>
    </row>
    <row r="2" spans="1:15" ht="44.25" customHeight="1" thickBot="1" x14ac:dyDescent="0.4">
      <c r="B2" s="394" t="s">
        <v>186</v>
      </c>
      <c r="C2" s="395"/>
      <c r="D2" s="206"/>
      <c r="E2" s="392" t="s">
        <v>200</v>
      </c>
      <c r="F2" s="392"/>
      <c r="G2" s="393"/>
      <c r="H2" s="14"/>
      <c r="K2" s="1" t="s">
        <v>29</v>
      </c>
      <c r="M2" s="1">
        <v>1</v>
      </c>
    </row>
    <row r="3" spans="1:15" ht="19.5" thickBot="1" x14ac:dyDescent="0.35">
      <c r="B3" s="22" t="s">
        <v>0</v>
      </c>
      <c r="C3" s="114"/>
      <c r="D3" s="150" t="e">
        <f>VLOOKUP(D2, 'Unit Names'!A1:B70, 2, FALSE)</f>
        <v>#N/A</v>
      </c>
      <c r="E3" s="266"/>
      <c r="F3" s="55"/>
      <c r="G3" s="11"/>
      <c r="H3" s="14"/>
      <c r="M3" s="1">
        <v>2</v>
      </c>
    </row>
    <row r="4" spans="1:15" ht="19.5" thickBot="1" x14ac:dyDescent="0.35">
      <c r="B4" s="28" t="s">
        <v>24</v>
      </c>
      <c r="C4" s="115"/>
      <c r="D4" s="27"/>
      <c r="E4" s="27"/>
      <c r="F4" s="42"/>
      <c r="G4" s="12"/>
      <c r="H4" s="14"/>
      <c r="I4" s="16"/>
      <c r="J4" s="16"/>
      <c r="M4" s="187">
        <v>3</v>
      </c>
    </row>
    <row r="5" spans="1:15" ht="37.5" customHeight="1" x14ac:dyDescent="0.35">
      <c r="A5" s="24" t="s">
        <v>77</v>
      </c>
      <c r="B5" s="19" t="s">
        <v>67</v>
      </c>
      <c r="C5" s="19" t="s">
        <v>79</v>
      </c>
      <c r="D5" s="6" t="s">
        <v>1</v>
      </c>
      <c r="E5" s="267">
        <v>2018</v>
      </c>
      <c r="F5" s="111">
        <v>2019</v>
      </c>
      <c r="G5" s="13" t="s">
        <v>2</v>
      </c>
      <c r="H5" s="208" t="s">
        <v>204</v>
      </c>
      <c r="I5" s="209" t="s">
        <v>3</v>
      </c>
      <c r="J5" s="209"/>
      <c r="M5" s="187">
        <v>4</v>
      </c>
    </row>
    <row r="6" spans="1:15" x14ac:dyDescent="0.25">
      <c r="A6" s="25"/>
      <c r="B6" s="125" t="s">
        <v>78</v>
      </c>
      <c r="C6" s="117"/>
      <c r="D6" s="118"/>
      <c r="E6" s="268"/>
      <c r="F6" s="119"/>
      <c r="G6" s="120"/>
      <c r="H6" s="15"/>
    </row>
    <row r="7" spans="1:15" s="4" customFormat="1" ht="45" x14ac:dyDescent="0.25">
      <c r="A7" s="153">
        <v>333</v>
      </c>
      <c r="B7" s="139"/>
      <c r="C7" s="149" t="s">
        <v>80</v>
      </c>
      <c r="D7" s="146" t="s">
        <v>187</v>
      </c>
      <c r="E7" s="262" t="e">
        <f>HLOOKUP($D$2,'2018 Data'!$D$1:$AF$150,44,FALSE)</f>
        <v>#N/A</v>
      </c>
      <c r="F7" s="276"/>
      <c r="G7" s="8">
        <f>IF(F7&lt;0,"Note: Number is normally positive.",)</f>
        <v>0</v>
      </c>
      <c r="H7" s="18"/>
      <c r="I7" s="272"/>
      <c r="J7" s="282" t="s">
        <v>296</v>
      </c>
    </row>
    <row r="8" spans="1:15" s="4" customFormat="1" ht="40.5" x14ac:dyDescent="0.25">
      <c r="A8" s="153">
        <v>500</v>
      </c>
      <c r="B8" s="139"/>
      <c r="C8" s="149" t="s">
        <v>80</v>
      </c>
      <c r="D8" s="146" t="s">
        <v>81</v>
      </c>
      <c r="E8" s="262" t="e">
        <f>HLOOKUP($D$2,'2018 Data'!$D$1:$AF$150,75,FALSE)</f>
        <v>#N/A</v>
      </c>
      <c r="F8" s="276"/>
      <c r="G8" s="8">
        <f>IF(F8&lt;0,"Note: Number is normally positive.",)</f>
        <v>0</v>
      </c>
      <c r="H8" s="18"/>
      <c r="I8" s="138"/>
      <c r="J8" s="282" t="s">
        <v>297</v>
      </c>
    </row>
    <row r="9" spans="1:15" ht="40.5" x14ac:dyDescent="0.25">
      <c r="A9" s="153">
        <v>385</v>
      </c>
      <c r="B9" s="64" t="s">
        <v>31</v>
      </c>
      <c r="C9" s="149" t="s">
        <v>80</v>
      </c>
      <c r="D9" s="147" t="s">
        <v>82</v>
      </c>
      <c r="E9" s="262" t="e">
        <f>HLOOKUP($D$2,'2018 Data'!$D$1:$AF$150,66,FALSE)</f>
        <v>#N/A</v>
      </c>
      <c r="F9" s="276"/>
      <c r="G9" s="8">
        <f>IF(F9&lt;0,"Note: Number is normally positive.",)</f>
        <v>0</v>
      </c>
      <c r="H9" s="15"/>
      <c r="I9" s="273"/>
      <c r="J9" s="282" t="s">
        <v>298</v>
      </c>
    </row>
    <row r="10" spans="1:15" s="4" customFormat="1" ht="105" customHeight="1" x14ac:dyDescent="0.25">
      <c r="A10" s="255">
        <v>575</v>
      </c>
      <c r="B10" s="139" t="s">
        <v>33</v>
      </c>
      <c r="C10" s="149" t="s">
        <v>80</v>
      </c>
      <c r="D10" s="146" t="s">
        <v>330</v>
      </c>
      <c r="E10" s="262" t="e">
        <f>HLOOKUP($D$2,'2018 Data'!$D$1:$AF$150,125,FALSE)</f>
        <v>#N/A</v>
      </c>
      <c r="F10" s="276"/>
      <c r="G10" s="8">
        <f>IF(F10&lt;0,"Note: Number is normally positive.",)</f>
        <v>0</v>
      </c>
      <c r="H10" s="156"/>
      <c r="I10" s="274"/>
      <c r="J10" s="282" t="s">
        <v>299</v>
      </c>
    </row>
    <row r="11" spans="1:15" s="4" customFormat="1" ht="105" customHeight="1" x14ac:dyDescent="0.25">
      <c r="A11" s="255">
        <v>576</v>
      </c>
      <c r="B11" s="139" t="s">
        <v>33</v>
      </c>
      <c r="C11" s="149" t="s">
        <v>80</v>
      </c>
      <c r="D11" s="146" t="s">
        <v>329</v>
      </c>
      <c r="E11" s="262" t="e">
        <f>HLOOKUP($D$2,'2018 Data'!$D$1:$AF$150,126,FALSE)</f>
        <v>#N/A</v>
      </c>
      <c r="F11" s="276"/>
      <c r="G11" s="8">
        <f>IF(F11&lt;0,"Note: Number is normally positive.",)</f>
        <v>0</v>
      </c>
      <c r="H11" s="156"/>
      <c r="I11" s="274"/>
      <c r="J11" s="282" t="s">
        <v>300</v>
      </c>
    </row>
    <row r="12" spans="1:15" ht="150" x14ac:dyDescent="0.25">
      <c r="A12" s="153">
        <v>336</v>
      </c>
      <c r="B12" s="64"/>
      <c r="C12" s="149" t="s">
        <v>80</v>
      </c>
      <c r="D12" s="134" t="s">
        <v>344</v>
      </c>
      <c r="E12" s="262" t="e">
        <f>HLOOKUP($D$2,'2018 Data'!$D$1:$AF$150,47,FALSE)</f>
        <v>#N/A</v>
      </c>
      <c r="F12" s="276"/>
      <c r="G12" s="8">
        <f>IF(F12&lt;0,"Error: Enter as positive.",)</f>
        <v>0</v>
      </c>
      <c r="H12" s="15"/>
      <c r="I12" s="273"/>
      <c r="J12" s="282" t="s">
        <v>301</v>
      </c>
    </row>
    <row r="13" spans="1:15" ht="40.5" x14ac:dyDescent="0.25">
      <c r="A13" s="153">
        <v>338</v>
      </c>
      <c r="B13" s="64"/>
      <c r="C13" s="149" t="s">
        <v>80</v>
      </c>
      <c r="D13" s="147" t="s">
        <v>83</v>
      </c>
      <c r="E13" s="262" t="e">
        <f>HLOOKUP($D$2,'2018 Data'!$D$1:$AF$150,49,FALSE)</f>
        <v>#N/A</v>
      </c>
      <c r="F13" s="276"/>
      <c r="G13" s="8">
        <f>IF(F13&lt;0,"Error: Enter as positive.",)</f>
        <v>0</v>
      </c>
      <c r="H13" s="15"/>
      <c r="I13" s="273"/>
      <c r="J13" s="282" t="s">
        <v>302</v>
      </c>
    </row>
    <row r="14" spans="1:15" ht="102.75" customHeight="1" x14ac:dyDescent="0.25">
      <c r="A14" s="153">
        <v>335</v>
      </c>
      <c r="B14" s="64"/>
      <c r="C14" s="149" t="s">
        <v>80</v>
      </c>
      <c r="D14" s="134" t="s">
        <v>209</v>
      </c>
      <c r="E14" s="262" t="e">
        <f>HLOOKUP($D$2,'2018 Data'!$D$1:$AF$150,46,FALSE)</f>
        <v>#N/A</v>
      </c>
      <c r="F14" s="276"/>
      <c r="G14" s="8">
        <f>IF(F14&lt;0,"Error: Enter as positive.",)</f>
        <v>0</v>
      </c>
      <c r="H14" s="15"/>
      <c r="I14" s="275"/>
      <c r="J14" s="282" t="s">
        <v>355</v>
      </c>
      <c r="K14" s="295"/>
      <c r="L14" s="295"/>
      <c r="M14" s="295"/>
      <c r="N14" s="295"/>
      <c r="O14" s="295"/>
    </row>
    <row r="15" spans="1:15" ht="40.5" x14ac:dyDescent="0.25">
      <c r="A15" s="153">
        <v>252</v>
      </c>
      <c r="B15" s="64"/>
      <c r="C15" s="149" t="s">
        <v>80</v>
      </c>
      <c r="D15" s="147" t="s">
        <v>84</v>
      </c>
      <c r="E15" s="262" t="e">
        <f>HLOOKUP($D$2,'2018 Data'!$D$1:$AF$150,22,FALSE)</f>
        <v>#N/A</v>
      </c>
      <c r="F15" s="276"/>
      <c r="G15" s="9"/>
      <c r="H15" s="15"/>
      <c r="I15" s="31"/>
      <c r="J15" s="282" t="s">
        <v>303</v>
      </c>
    </row>
    <row r="16" spans="1:15" ht="40.5" x14ac:dyDescent="0.25">
      <c r="A16" s="153">
        <v>253</v>
      </c>
      <c r="B16" s="64"/>
      <c r="C16" s="149" t="s">
        <v>80</v>
      </c>
      <c r="D16" s="148" t="s">
        <v>85</v>
      </c>
      <c r="E16" s="262" t="e">
        <f>HLOOKUP($D$2,'2018 Data'!$D$1:$AF$150,23,FALSE)</f>
        <v>#N/A</v>
      </c>
      <c r="F16" s="276"/>
      <c r="G16" s="8"/>
      <c r="H16" s="15"/>
      <c r="I16" s="31"/>
      <c r="J16" s="282" t="s">
        <v>304</v>
      </c>
    </row>
    <row r="17" spans="1:15" ht="78.75" customHeight="1" x14ac:dyDescent="0.25">
      <c r="A17" s="153">
        <v>254</v>
      </c>
      <c r="B17" s="64"/>
      <c r="C17" s="149" t="s">
        <v>80</v>
      </c>
      <c r="D17" s="148" t="s">
        <v>86</v>
      </c>
      <c r="E17" s="262" t="e">
        <f>HLOOKUP($D$2,'2018 Data'!$D$1:$AF$150,24,FALSE)</f>
        <v>#N/A</v>
      </c>
      <c r="F17" s="276"/>
      <c r="G17" s="8">
        <f>IF(F9-F13-F15-F16-F17=0,,"Error: Total assets and deferred outflows less total liabilities and deferred inflows do not equal total net position. Cells F9-F13-F15-F16-F17 = 0  The amount the formula is off is located in the cell to the right")</f>
        <v>0</v>
      </c>
      <c r="H17" s="156">
        <f>F9-F13-F15-F16-F17</f>
        <v>0</v>
      </c>
      <c r="I17" s="31"/>
      <c r="J17" s="282" t="s">
        <v>305</v>
      </c>
    </row>
    <row r="18" spans="1:15" x14ac:dyDescent="0.25">
      <c r="A18" s="153"/>
      <c r="B18" s="145" t="s">
        <v>87</v>
      </c>
      <c r="C18" s="144"/>
      <c r="D18" s="141"/>
      <c r="E18" s="135"/>
      <c r="F18" s="277"/>
      <c r="G18" s="121"/>
      <c r="H18" s="15"/>
      <c r="I18" s="31"/>
      <c r="J18" s="282" t="s">
        <v>306</v>
      </c>
    </row>
    <row r="19" spans="1:15" ht="45" x14ac:dyDescent="0.25">
      <c r="A19" s="153">
        <v>502</v>
      </c>
      <c r="B19" s="64"/>
      <c r="C19" s="149" t="s">
        <v>90</v>
      </c>
      <c r="D19" s="146" t="s">
        <v>88</v>
      </c>
      <c r="E19" s="262" t="e">
        <f>HLOOKUP($D$2,'2018 Data'!$D$1:$AF$150,77,FALSE)</f>
        <v>#N/A</v>
      </c>
      <c r="F19" s="276"/>
      <c r="G19" s="8">
        <f>IF(F19&lt;0,"Note: Number is normally positive.",)</f>
        <v>0</v>
      </c>
      <c r="H19" s="15"/>
      <c r="I19" s="31"/>
      <c r="J19" s="282" t="s">
        <v>307</v>
      </c>
    </row>
    <row r="20" spans="1:15" ht="75" customHeight="1" x14ac:dyDescent="0.25">
      <c r="A20" s="153">
        <v>503</v>
      </c>
      <c r="B20" s="64"/>
      <c r="C20" s="149" t="s">
        <v>90</v>
      </c>
      <c r="D20" s="148" t="s">
        <v>89</v>
      </c>
      <c r="E20" s="262" t="e">
        <f>HLOOKUP($D$2,'2018 Data'!$D$1:$AF$150,78,FALSE)</f>
        <v>#N/A</v>
      </c>
      <c r="F20" s="276"/>
      <c r="G20" s="8">
        <f>IF(F20&lt;0,"Note: Number is normally positive.",)</f>
        <v>0</v>
      </c>
      <c r="H20" s="15"/>
      <c r="I20" s="31"/>
      <c r="J20" s="282" t="s">
        <v>308</v>
      </c>
    </row>
    <row r="21" spans="1:15" ht="18.75" x14ac:dyDescent="0.25">
      <c r="A21" s="153"/>
      <c r="B21" s="145" t="s">
        <v>91</v>
      </c>
      <c r="C21" s="144"/>
      <c r="D21" s="122"/>
      <c r="E21" s="135"/>
      <c r="F21" s="278"/>
      <c r="G21" s="120"/>
      <c r="H21" s="15"/>
      <c r="I21" s="31"/>
      <c r="J21" s="282" t="s">
        <v>309</v>
      </c>
    </row>
    <row r="22" spans="1:15" ht="40.5" x14ac:dyDescent="0.25">
      <c r="A22" s="153">
        <v>388</v>
      </c>
      <c r="B22" s="64" t="s">
        <v>31</v>
      </c>
      <c r="C22" s="143" t="s">
        <v>95</v>
      </c>
      <c r="D22" s="148" t="s">
        <v>335</v>
      </c>
      <c r="E22" s="262" t="e">
        <f>HLOOKUP($D$2,'2018 Data'!$D$1:$AF$150,69,FALSE)</f>
        <v>#N/A</v>
      </c>
      <c r="F22" s="276"/>
      <c r="G22" s="8">
        <f t="shared" ref="G22:G29" si="0">IF(F22&lt;0,"Error: Enter as positive.",)</f>
        <v>0</v>
      </c>
      <c r="H22" s="15"/>
      <c r="I22" s="31"/>
      <c r="J22" s="282" t="s">
        <v>310</v>
      </c>
    </row>
    <row r="23" spans="1:15" ht="40.5" x14ac:dyDescent="0.25">
      <c r="A23" s="153">
        <v>339</v>
      </c>
      <c r="B23" s="64"/>
      <c r="C23" s="143" t="s">
        <v>95</v>
      </c>
      <c r="D23" s="148" t="s">
        <v>92</v>
      </c>
      <c r="E23" s="262" t="e">
        <f>HLOOKUP($D$2,'2018 Data'!$D$1:$AF$150,50,FALSE)</f>
        <v>#N/A</v>
      </c>
      <c r="F23" s="276"/>
      <c r="G23" s="8">
        <f t="shared" si="0"/>
        <v>0</v>
      </c>
      <c r="H23" s="15"/>
      <c r="I23" s="31"/>
      <c r="J23" s="282" t="s">
        <v>311</v>
      </c>
    </row>
    <row r="24" spans="1:15" ht="40.5" x14ac:dyDescent="0.25">
      <c r="A24" s="153">
        <v>504</v>
      </c>
      <c r="B24" s="64"/>
      <c r="C24" s="143" t="s">
        <v>95</v>
      </c>
      <c r="D24" s="148" t="s">
        <v>93</v>
      </c>
      <c r="E24" s="262" t="e">
        <f>HLOOKUP($D$2,'2018 Data'!$D$1:$AF$150,79,FALSE)</f>
        <v>#N/A</v>
      </c>
      <c r="F24" s="276"/>
      <c r="G24" s="8">
        <f t="shared" si="0"/>
        <v>0</v>
      </c>
      <c r="H24" s="15"/>
      <c r="I24" s="31"/>
      <c r="J24" s="282" t="s">
        <v>312</v>
      </c>
    </row>
    <row r="25" spans="1:15" ht="40.5" x14ac:dyDescent="0.25">
      <c r="A25" s="153">
        <v>505</v>
      </c>
      <c r="B25" s="64"/>
      <c r="C25" s="143" t="s">
        <v>95</v>
      </c>
      <c r="D25" s="124" t="s">
        <v>94</v>
      </c>
      <c r="E25" s="262" t="e">
        <f>HLOOKUP($D$2,'2018 Data'!$D$1:$AF$150,80,FALSE)</f>
        <v>#N/A</v>
      </c>
      <c r="F25" s="276"/>
      <c r="G25" s="8">
        <f t="shared" si="0"/>
        <v>0</v>
      </c>
      <c r="H25" s="15"/>
      <c r="I25" s="31"/>
      <c r="J25" s="282" t="s">
        <v>313</v>
      </c>
    </row>
    <row r="26" spans="1:15" ht="67.900000000000006" customHeight="1" x14ac:dyDescent="0.25">
      <c r="A26" s="153">
        <v>341</v>
      </c>
      <c r="B26" s="64"/>
      <c r="C26" s="143" t="s">
        <v>95</v>
      </c>
      <c r="D26" s="123" t="s">
        <v>193</v>
      </c>
      <c r="E26" s="262" t="e">
        <f>HLOOKUP($D$2,'2018 Data'!$D$1:$AF$150,52,FALSE)</f>
        <v>#N/A</v>
      </c>
      <c r="F26" s="276"/>
      <c r="G26" s="8">
        <f t="shared" si="0"/>
        <v>0</v>
      </c>
      <c r="H26" s="15"/>
      <c r="I26" s="31"/>
      <c r="J26" s="282" t="s">
        <v>314</v>
      </c>
    </row>
    <row r="27" spans="1:15" ht="40.5" x14ac:dyDescent="0.25">
      <c r="A27" s="153">
        <v>386</v>
      </c>
      <c r="B27" s="64"/>
      <c r="C27" s="143" t="s">
        <v>95</v>
      </c>
      <c r="D27" s="148" t="s">
        <v>96</v>
      </c>
      <c r="E27" s="262" t="e">
        <f>HLOOKUP($D$2,'2018 Data'!$D$1:$AF$150,67,FALSE)</f>
        <v>#N/A</v>
      </c>
      <c r="F27" s="276"/>
      <c r="G27" s="8">
        <f t="shared" si="0"/>
        <v>0</v>
      </c>
      <c r="H27" s="15"/>
      <c r="I27" s="31"/>
      <c r="J27" s="282" t="s">
        <v>315</v>
      </c>
    </row>
    <row r="28" spans="1:15" ht="40.5" x14ac:dyDescent="0.25">
      <c r="A28" s="153">
        <v>387</v>
      </c>
      <c r="B28" s="64" t="s">
        <v>31</v>
      </c>
      <c r="C28" s="143" t="s">
        <v>95</v>
      </c>
      <c r="D28" s="148" t="s">
        <v>97</v>
      </c>
      <c r="E28" s="262" t="e">
        <f>HLOOKUP($D$2,'2018 Data'!$D$1:$AF$150,68,FALSE)</f>
        <v>#N/A</v>
      </c>
      <c r="F28" s="276"/>
      <c r="G28" s="8">
        <f t="shared" si="0"/>
        <v>0</v>
      </c>
      <c r="H28" s="15"/>
      <c r="I28" s="31"/>
      <c r="J28" s="282" t="s">
        <v>316</v>
      </c>
    </row>
    <row r="29" spans="1:15" ht="75" customHeight="1" x14ac:dyDescent="0.25">
      <c r="A29" s="153">
        <v>389</v>
      </c>
      <c r="B29" s="64" t="s">
        <v>31</v>
      </c>
      <c r="C29" s="143" t="s">
        <v>95</v>
      </c>
      <c r="D29" s="146" t="s">
        <v>117</v>
      </c>
      <c r="E29" s="262" t="e">
        <f>HLOOKUP($D$2,'2018 Data'!$D$1:$AF$150,70,FALSE)</f>
        <v>#N/A</v>
      </c>
      <c r="F29" s="276"/>
      <c r="G29" s="8">
        <f t="shared" si="0"/>
        <v>0</v>
      </c>
      <c r="H29" s="15"/>
      <c r="I29" s="31"/>
      <c r="J29" s="282" t="s">
        <v>317</v>
      </c>
    </row>
    <row r="30" spans="1:15" ht="84.75" customHeight="1" x14ac:dyDescent="0.25">
      <c r="A30" s="153">
        <v>255</v>
      </c>
      <c r="B30" s="64"/>
      <c r="C30" s="143" t="s">
        <v>95</v>
      </c>
      <c r="D30" s="146" t="s">
        <v>118</v>
      </c>
      <c r="E30" s="262" t="e">
        <f>HLOOKUP($D$2,'2018 Data'!$D$1:$AF$150,25,FALSE)</f>
        <v>#N/A</v>
      </c>
      <c r="F30" s="276"/>
      <c r="G30" s="8">
        <f>IF(F23+F24+F25+F26+F27-F28+F29-F22-F30=0,,"Error: Total revenues less total expenses do not equal total change in net position. Cells F23+F24+F25+F26+F27-F28+F29-F22-F30 = 0  The amount the formula is off is located in the cell to the right")</f>
        <v>0</v>
      </c>
      <c r="H30" s="156">
        <f>F23+F24+F25+F26+F27-F28+F29-F22-F30</f>
        <v>0</v>
      </c>
      <c r="I30" s="31"/>
      <c r="J30" s="282" t="s">
        <v>318</v>
      </c>
    </row>
    <row r="31" spans="1:15" ht="74.25" customHeight="1" x14ac:dyDescent="0.25">
      <c r="A31" s="153">
        <v>376</v>
      </c>
      <c r="B31" s="64"/>
      <c r="C31" s="143" t="s">
        <v>95</v>
      </c>
      <c r="D31" s="134" t="s">
        <v>194</v>
      </c>
      <c r="E31" s="262" t="e">
        <f>HLOOKUP($D$2,'2018 Data'!$D$1:$AF$150,63,FALSE)</f>
        <v>#N/A</v>
      </c>
      <c r="F31" s="276"/>
      <c r="G31" s="236" t="e">
        <f>IF(F15+F16+F17-F30-F31-(E15+E16+E17)=0,,"Error: Beginning Balance does not agree with our records.  Cells F15+F16+F17-F30-F31-(E15+ E16+ E17)=0  The amount the formula is off is located in the cell to the right")</f>
        <v>#N/A</v>
      </c>
      <c r="H31" s="237" t="e">
        <f>F15+F16+F17-F30-F31-(E15+E16+E17)</f>
        <v>#N/A</v>
      </c>
      <c r="I31" s="31"/>
      <c r="J31" s="282" t="s">
        <v>319</v>
      </c>
    </row>
    <row r="32" spans="1:15" s="271" customFormat="1" ht="18.75" x14ac:dyDescent="0.25">
      <c r="A32" s="255"/>
      <c r="B32" s="145" t="s">
        <v>331</v>
      </c>
      <c r="C32" s="144"/>
      <c r="D32" s="122"/>
      <c r="E32" s="135"/>
      <c r="F32" s="278"/>
      <c r="G32" s="120"/>
      <c r="H32" s="66"/>
      <c r="I32" s="31"/>
      <c r="J32" s="282" t="s">
        <v>320</v>
      </c>
      <c r="K32" s="1"/>
      <c r="L32" s="1"/>
      <c r="M32" s="1"/>
      <c r="N32" s="1"/>
      <c r="O32" s="1"/>
    </row>
    <row r="33" spans="1:15" s="271" customFormat="1" ht="54" x14ac:dyDescent="0.25">
      <c r="A33" s="255">
        <v>591</v>
      </c>
      <c r="B33" s="306" t="s">
        <v>334</v>
      </c>
      <c r="C33" s="149" t="s">
        <v>333</v>
      </c>
      <c r="D33" s="307" t="s">
        <v>335</v>
      </c>
      <c r="E33" s="262" t="e">
        <f>HLOOKUP($D$2,'2018 Data'!$D$1:$AF$150,129,FALSE)</f>
        <v>#N/A</v>
      </c>
      <c r="F33" s="276"/>
      <c r="G33" s="9"/>
      <c r="H33" s="66"/>
      <c r="I33" s="31"/>
      <c r="J33" s="336" t="s">
        <v>321</v>
      </c>
    </row>
    <row r="34" spans="1:15" s="271" customFormat="1" ht="45" x14ac:dyDescent="0.25">
      <c r="A34" s="255">
        <v>592</v>
      </c>
      <c r="B34" s="306" t="s">
        <v>334</v>
      </c>
      <c r="C34" s="149" t="s">
        <v>332</v>
      </c>
      <c r="D34" s="148" t="s">
        <v>353</v>
      </c>
      <c r="E34" s="262" t="e">
        <f>HLOOKUP($D$2,'2018 Data'!$D$1:$AF$150,130,FALSE)</f>
        <v>#N/A</v>
      </c>
      <c r="F34" s="276"/>
      <c r="G34" s="9"/>
      <c r="H34" s="66"/>
      <c r="I34" s="31"/>
      <c r="J34" s="336" t="s">
        <v>322</v>
      </c>
    </row>
    <row r="35" spans="1:15" x14ac:dyDescent="0.25">
      <c r="A35" s="154"/>
      <c r="B35" s="145" t="s">
        <v>98</v>
      </c>
      <c r="C35" s="144"/>
      <c r="D35" s="126"/>
      <c r="E35" s="135"/>
      <c r="F35" s="278"/>
      <c r="G35" s="127"/>
      <c r="H35" s="15"/>
      <c r="I35" s="31"/>
      <c r="J35" s="336" t="s">
        <v>323</v>
      </c>
      <c r="K35" s="271"/>
      <c r="L35" s="271"/>
      <c r="M35" s="271"/>
      <c r="N35" s="271"/>
      <c r="O35" s="271"/>
    </row>
    <row r="36" spans="1:15" s="4" customFormat="1" ht="51.75" customHeight="1" x14ac:dyDescent="0.25">
      <c r="A36" s="153">
        <v>506</v>
      </c>
      <c r="B36" s="65"/>
      <c r="C36" s="128" t="s">
        <v>102</v>
      </c>
      <c r="D36" s="148" t="s">
        <v>188</v>
      </c>
      <c r="E36" s="262" t="e">
        <f>HLOOKUP($D$2,'2018 Data'!$D$1:$AF$150,81,FALSE)</f>
        <v>#N/A</v>
      </c>
      <c r="F36" s="276"/>
      <c r="G36" s="8">
        <f>IF(F36&lt;0,"Note: Number is normally positive.",)</f>
        <v>0</v>
      </c>
      <c r="H36" s="18"/>
      <c r="I36" s="31"/>
      <c r="J36" s="282"/>
      <c r="K36" s="1"/>
      <c r="L36" s="1"/>
      <c r="M36" s="1"/>
      <c r="N36" s="1"/>
      <c r="O36" s="1"/>
    </row>
    <row r="37" spans="1:15" s="4" customFormat="1" ht="39" customHeight="1" x14ac:dyDescent="0.25">
      <c r="A37" s="153">
        <v>536</v>
      </c>
      <c r="B37" s="65"/>
      <c r="C37" s="128" t="s">
        <v>102</v>
      </c>
      <c r="D37" s="148" t="s">
        <v>99</v>
      </c>
      <c r="E37" s="262" t="e">
        <f>HLOOKUP($D$2,'2018 Data'!$D$1:$AF$150,111,FALSE)</f>
        <v>#N/A</v>
      </c>
      <c r="F37" s="276"/>
      <c r="G37" s="8">
        <f>IF(F37&lt;0,"Note: Number is normally positive.",)</f>
        <v>0</v>
      </c>
      <c r="H37" s="18"/>
      <c r="I37" s="272"/>
      <c r="J37" s="282"/>
    </row>
    <row r="38" spans="1:15" s="4" customFormat="1" ht="39" customHeight="1" x14ac:dyDescent="0.25">
      <c r="A38" s="255">
        <v>586</v>
      </c>
      <c r="B38" s="65" t="s">
        <v>30</v>
      </c>
      <c r="C38" s="128" t="s">
        <v>102</v>
      </c>
      <c r="D38" s="288" t="s">
        <v>222</v>
      </c>
      <c r="E38" s="262" t="e">
        <f>HLOOKUP($D$2,'2018 Data'!$D$1:$AF$150,128,FALSE)</f>
        <v>#N/A</v>
      </c>
      <c r="F38" s="276"/>
      <c r="G38" s="8"/>
      <c r="H38" s="138"/>
      <c r="I38" s="272"/>
      <c r="J38" s="187"/>
    </row>
    <row r="39" spans="1:15" ht="27" x14ac:dyDescent="0.25">
      <c r="A39" s="153">
        <v>379</v>
      </c>
      <c r="B39" s="65" t="s">
        <v>31</v>
      </c>
      <c r="C39" s="128" t="s">
        <v>102</v>
      </c>
      <c r="D39" s="147" t="s">
        <v>82</v>
      </c>
      <c r="E39" s="262" t="e">
        <f>HLOOKUP($D$2,'2018 Data'!$D$1:$AF$150,64,FALSE)</f>
        <v>#N/A</v>
      </c>
      <c r="F39" s="276"/>
      <c r="G39" s="9"/>
      <c r="H39" s="15"/>
      <c r="I39" s="31"/>
      <c r="K39" s="4"/>
      <c r="L39" s="4"/>
      <c r="M39" s="4"/>
      <c r="N39" s="4"/>
      <c r="O39" s="4"/>
    </row>
    <row r="40" spans="1:15" ht="99.75" customHeight="1" x14ac:dyDescent="0.25">
      <c r="A40" s="153">
        <v>4</v>
      </c>
      <c r="B40" s="65"/>
      <c r="C40" s="128" t="s">
        <v>102</v>
      </c>
      <c r="D40" s="259" t="s">
        <v>221</v>
      </c>
      <c r="E40" s="262" t="e">
        <f>HLOOKUP($D$2,'2018 Data'!$D$1:$AF$150,4,FALSE)</f>
        <v>#N/A</v>
      </c>
      <c r="F40" s="276"/>
      <c r="G40" s="8">
        <f>IF(F40&lt;0,"Error: Enter as positive.",)</f>
        <v>0</v>
      </c>
      <c r="H40" s="15"/>
      <c r="I40" s="31"/>
    </row>
    <row r="41" spans="1:15" ht="109.5" customHeight="1" x14ac:dyDescent="0.25">
      <c r="A41" s="153">
        <v>5</v>
      </c>
      <c r="B41" s="65"/>
      <c r="C41" s="128" t="s">
        <v>102</v>
      </c>
      <c r="D41" s="116" t="s">
        <v>108</v>
      </c>
      <c r="E41" s="262" t="e">
        <f>HLOOKUP($D$2,'2018 Data'!$D$1:$AF$150,5,FALSE)</f>
        <v>#N/A</v>
      </c>
      <c r="F41" s="276"/>
      <c r="G41" s="8">
        <f>IF(F41&lt;0,"Error: Enter as positive.",)</f>
        <v>0</v>
      </c>
      <c r="H41" s="15"/>
      <c r="I41" s="31"/>
    </row>
    <row r="42" spans="1:15" ht="75" x14ac:dyDescent="0.25">
      <c r="A42" s="153">
        <v>380</v>
      </c>
      <c r="B42" s="65" t="s">
        <v>31</v>
      </c>
      <c r="C42" s="128" t="s">
        <v>102</v>
      </c>
      <c r="D42" s="116" t="s">
        <v>109</v>
      </c>
      <c r="E42" s="262" t="e">
        <f>HLOOKUP($D$2,'2018 Data'!$D$1:$AF$150,65,FALSE)</f>
        <v>#N/A</v>
      </c>
      <c r="F42" s="276"/>
      <c r="G42" s="8">
        <f>IF(F42&lt;0,"Error: Enter as positive.",)</f>
        <v>0</v>
      </c>
      <c r="H42" s="15"/>
      <c r="I42" s="31"/>
    </row>
    <row r="43" spans="1:15" ht="48.75" customHeight="1" x14ac:dyDescent="0.25">
      <c r="A43" s="153">
        <v>391</v>
      </c>
      <c r="B43" s="65" t="s">
        <v>32</v>
      </c>
      <c r="C43" s="128" t="s">
        <v>102</v>
      </c>
      <c r="D43" s="148" t="s">
        <v>100</v>
      </c>
      <c r="E43" s="262" t="e">
        <f>HLOOKUP($D$2,'2018 Data'!$D$1:$AF$150,72,FALSE)</f>
        <v>#N/A</v>
      </c>
      <c r="F43" s="276"/>
      <c r="G43" s="8">
        <f>IF(F43&lt;0,"Error: Enter as positive.",)</f>
        <v>0</v>
      </c>
      <c r="H43" s="15"/>
      <c r="I43" s="31"/>
    </row>
    <row r="44" spans="1:15" ht="51.75" customHeight="1" x14ac:dyDescent="0.25">
      <c r="A44" s="153">
        <v>7</v>
      </c>
      <c r="B44" s="65" t="s">
        <v>32</v>
      </c>
      <c r="C44" s="128" t="s">
        <v>102</v>
      </c>
      <c r="D44" s="148" t="s">
        <v>101</v>
      </c>
      <c r="E44" s="262" t="e">
        <f>HLOOKUP($D$2,'2018 Data'!$D$1:$AF$150,7,FALSE)</f>
        <v>#N/A</v>
      </c>
      <c r="F44" s="276"/>
      <c r="G44" s="8">
        <f>IF(F44&lt;0,"Error: Enter as positive.",)</f>
        <v>0</v>
      </c>
      <c r="H44" s="15"/>
      <c r="I44" s="31"/>
    </row>
    <row r="45" spans="1:15" ht="69" customHeight="1" x14ac:dyDescent="0.25">
      <c r="A45" s="153">
        <v>9</v>
      </c>
      <c r="B45" s="65" t="s">
        <v>31</v>
      </c>
      <c r="C45" s="128" t="s">
        <v>102</v>
      </c>
      <c r="D45" s="146" t="s">
        <v>195</v>
      </c>
      <c r="E45" s="262" t="e">
        <f>HLOOKUP($D$2,'2018 Data'!$D$1:$AF$150,8,FALSE)</f>
        <v>#N/A</v>
      </c>
      <c r="F45" s="276"/>
      <c r="G45" s="8">
        <f>IF(F39-F40-F41-F42-F45=0,,"Error: Total assets less total liabilities do not equal total fund balance. Cells F39-F40-F41-F42-F45= 0  The amount of the formula is in the cell to the right")</f>
        <v>0</v>
      </c>
      <c r="H45" s="156">
        <f>F39-F40-F41-F42-F45</f>
        <v>0</v>
      </c>
      <c r="I45" s="31"/>
    </row>
    <row r="46" spans="1:15" x14ac:dyDescent="0.25">
      <c r="A46" s="154"/>
      <c r="B46" s="131" t="s">
        <v>106</v>
      </c>
      <c r="C46" s="132"/>
      <c r="D46" s="141"/>
      <c r="E46" s="135"/>
      <c r="F46" s="278"/>
      <c r="G46" s="120"/>
      <c r="H46" s="15"/>
      <c r="I46" s="31"/>
    </row>
    <row r="47" spans="1:15" ht="44.45" customHeight="1" x14ac:dyDescent="0.25">
      <c r="A47" s="153">
        <v>16</v>
      </c>
      <c r="B47" s="64"/>
      <c r="C47" s="143" t="s">
        <v>107</v>
      </c>
      <c r="D47" s="148" t="s">
        <v>103</v>
      </c>
      <c r="E47" s="262" t="e">
        <f>HLOOKUP($D$2,'2018 Data'!$D$1:$AF$150,12,FALSE)</f>
        <v>#N/A</v>
      </c>
      <c r="F47" s="276"/>
      <c r="G47" s="8"/>
      <c r="H47" s="15"/>
      <c r="I47" s="31"/>
    </row>
    <row r="48" spans="1:15" ht="62.25" customHeight="1" x14ac:dyDescent="0.25">
      <c r="A48" s="153">
        <v>532</v>
      </c>
      <c r="B48" s="64"/>
      <c r="C48" s="143" t="s">
        <v>107</v>
      </c>
      <c r="D48" s="129" t="s">
        <v>110</v>
      </c>
      <c r="E48" s="262" t="e">
        <f>HLOOKUP($D$2,'2018 Data'!$D$1:$AF$150,107,FALSE)</f>
        <v>#N/A</v>
      </c>
      <c r="F48" s="276"/>
      <c r="G48" s="8">
        <f>IF(F48&lt;0,"Error: Enter as positive.",)</f>
        <v>0</v>
      </c>
      <c r="H48" s="15"/>
      <c r="I48" s="31"/>
    </row>
    <row r="49" spans="1:17" ht="45" customHeight="1" x14ac:dyDescent="0.25">
      <c r="A49" s="153">
        <v>17</v>
      </c>
      <c r="B49" s="64" t="s">
        <v>31</v>
      </c>
      <c r="C49" s="143" t="s">
        <v>107</v>
      </c>
      <c r="D49" s="148" t="s">
        <v>189</v>
      </c>
      <c r="E49" s="262" t="e">
        <f>HLOOKUP($D$2,'2018 Data'!$D$1:$AF$150,13,FALSE)</f>
        <v>#N/A</v>
      </c>
      <c r="F49" s="276"/>
      <c r="G49" s="8"/>
      <c r="H49" s="15"/>
      <c r="I49" s="31"/>
    </row>
    <row r="50" spans="1:17" ht="48" customHeight="1" x14ac:dyDescent="0.25">
      <c r="A50" s="153">
        <v>20</v>
      </c>
      <c r="B50" s="64"/>
      <c r="C50" s="143" t="s">
        <v>107</v>
      </c>
      <c r="D50" s="148" t="s">
        <v>190</v>
      </c>
      <c r="E50" s="262" t="e">
        <f>HLOOKUP($D$2,'2018 Data'!$D$1:$AF$150,16,FALSE)</f>
        <v>#N/A</v>
      </c>
      <c r="F50" s="276"/>
      <c r="G50" s="8">
        <f>IF(F50&lt;0,"Error: Enter as positive.",)</f>
        <v>0</v>
      </c>
      <c r="H50" s="15"/>
      <c r="I50" s="31"/>
    </row>
    <row r="51" spans="1:17" ht="48.6" customHeight="1" x14ac:dyDescent="0.25">
      <c r="A51" s="153">
        <v>533</v>
      </c>
      <c r="B51" s="64"/>
      <c r="C51" s="143" t="s">
        <v>107</v>
      </c>
      <c r="D51" s="130" t="s">
        <v>104</v>
      </c>
      <c r="E51" s="262" t="e">
        <f>HLOOKUP($D$2,'2018 Data'!$D$1:$AF$150,108,FALSE)</f>
        <v>#N/A</v>
      </c>
      <c r="F51" s="276"/>
      <c r="G51" s="7"/>
      <c r="H51" s="15"/>
      <c r="I51" s="31"/>
      <c r="J51" s="4"/>
    </row>
    <row r="52" spans="1:17" s="4" customFormat="1" ht="52.5" customHeight="1" x14ac:dyDescent="0.25">
      <c r="A52" s="153">
        <v>508</v>
      </c>
      <c r="B52" s="64"/>
      <c r="C52" s="143" t="s">
        <v>107</v>
      </c>
      <c r="D52" s="148" t="s">
        <v>199</v>
      </c>
      <c r="E52" s="262" t="e">
        <f>HLOOKUP($D$2,'2018 Data'!$D$1:$AF$150,83,FALSE)</f>
        <v>#N/A</v>
      </c>
      <c r="F52" s="276"/>
      <c r="G52" s="8"/>
      <c r="H52" s="18"/>
      <c r="I52" s="272"/>
      <c r="K52" s="1"/>
      <c r="L52" s="1"/>
      <c r="M52" s="1"/>
      <c r="N52" s="1"/>
      <c r="O52" s="1"/>
    </row>
    <row r="53" spans="1:17" s="4" customFormat="1" ht="81.75" customHeight="1" x14ac:dyDescent="0.25">
      <c r="A53" s="153">
        <v>509</v>
      </c>
      <c r="B53" s="64"/>
      <c r="C53" s="143" t="s">
        <v>107</v>
      </c>
      <c r="D53" s="148" t="s">
        <v>197</v>
      </c>
      <c r="E53" s="262" t="e">
        <f>HLOOKUP($D$2,'2018 Data'!$D$1:$AF$150,84,FALSE)</f>
        <v>#N/A</v>
      </c>
      <c r="F53" s="276"/>
      <c r="G53" s="8">
        <f>IF(F53&lt;0,"Error: Enter as positive.",)</f>
        <v>0</v>
      </c>
      <c r="H53" s="18"/>
      <c r="I53" s="272"/>
      <c r="J53" s="187"/>
    </row>
    <row r="54" spans="1:17" ht="61.5" customHeight="1" x14ac:dyDescent="0.25">
      <c r="A54" s="153">
        <v>22</v>
      </c>
      <c r="B54" s="64" t="s">
        <v>31</v>
      </c>
      <c r="C54" s="143" t="s">
        <v>107</v>
      </c>
      <c r="D54" s="148" t="s">
        <v>198</v>
      </c>
      <c r="E54" s="262" t="e">
        <f>HLOOKUP($D$2,'2018 Data'!$D$1:$AF$150,18,FALSE)</f>
        <v>#N/A</v>
      </c>
      <c r="F54" s="276"/>
      <c r="G54" s="7"/>
      <c r="H54" s="15"/>
      <c r="I54" s="31"/>
      <c r="K54" s="4"/>
      <c r="L54" s="4"/>
      <c r="M54" s="4"/>
      <c r="N54" s="4"/>
      <c r="O54" s="4"/>
    </row>
    <row r="55" spans="1:17" ht="81.75" customHeight="1" x14ac:dyDescent="0.25">
      <c r="A55" s="153">
        <v>23</v>
      </c>
      <c r="B55" s="64" t="s">
        <v>31</v>
      </c>
      <c r="C55" s="143" t="s">
        <v>107</v>
      </c>
      <c r="D55" s="146" t="s">
        <v>105</v>
      </c>
      <c r="E55" s="262" t="e">
        <f>HLOOKUP($D$2,'2018 Data'!$D$1:$AF$150,19,FALSE)</f>
        <v>#N/A</v>
      </c>
      <c r="F55" s="276"/>
      <c r="G55" s="8">
        <f>IF(F47-F48+F49-F50+F51+F54+F52-F53-F55=0,,"Error: Total revenues less total expenditures do not equal total change in fund balance.  Cells F47-F48+F49-F50+F51+F54+F52-F53-F55=0  The amount of the formula is located in the cell to the right")</f>
        <v>0</v>
      </c>
      <c r="H55" s="156">
        <f>+F47-F48+F49-F50+F51+F54+F52-F53-F55</f>
        <v>0</v>
      </c>
      <c r="I55" s="31"/>
    </row>
    <row r="56" spans="1:17" ht="90" x14ac:dyDescent="0.25">
      <c r="A56" s="153">
        <v>507</v>
      </c>
      <c r="B56" s="64" t="s">
        <v>31</v>
      </c>
      <c r="C56" s="143" t="s">
        <v>107</v>
      </c>
      <c r="D56" s="305" t="s">
        <v>347</v>
      </c>
      <c r="E56" s="262" t="e">
        <f>HLOOKUP($D$2,'2018 Data'!$D$1:$AF$150,82,FALSE)</f>
        <v>#N/A</v>
      </c>
      <c r="F56" s="276"/>
      <c r="G56" s="8" t="e">
        <f>IF(F45-F55-F56=E45,,"Error: Beginning Balance does not agree with our records.  Cell F45-F55-F56=E45  The amount of the formula is in the cell to the right")</f>
        <v>#N/A</v>
      </c>
      <c r="H56" s="156" t="e">
        <f>+F45-F55-F56-E45</f>
        <v>#N/A</v>
      </c>
      <c r="I56" s="31"/>
    </row>
    <row r="57" spans="1:17" ht="18.75" x14ac:dyDescent="0.3">
      <c r="A57" s="154"/>
      <c r="B57" s="249" t="s">
        <v>213</v>
      </c>
      <c r="C57" s="132"/>
      <c r="D57" s="142"/>
      <c r="E57" s="142"/>
      <c r="F57" s="279"/>
      <c r="G57" s="133"/>
      <c r="H57" s="15"/>
      <c r="I57" s="31"/>
    </row>
    <row r="58" spans="1:17" ht="51" x14ac:dyDescent="0.25">
      <c r="A58" s="251">
        <v>534</v>
      </c>
      <c r="B58" s="139" t="s">
        <v>30</v>
      </c>
      <c r="C58" s="252" t="s">
        <v>214</v>
      </c>
      <c r="D58" s="250" t="s">
        <v>215</v>
      </c>
      <c r="E58" s="262" t="e">
        <f>HLOOKUP($D$2,'2018 Data'!$D$1:$AF$150,109,FALSE)</f>
        <v>#N/A</v>
      </c>
      <c r="F58" s="276"/>
      <c r="G58" s="155"/>
      <c r="H58" s="62"/>
      <c r="I58" s="31"/>
    </row>
    <row r="59" spans="1:17" ht="51" x14ac:dyDescent="0.25">
      <c r="A59" s="251">
        <v>13</v>
      </c>
      <c r="B59" s="139" t="s">
        <v>30</v>
      </c>
      <c r="C59" s="252" t="s">
        <v>214</v>
      </c>
      <c r="D59" s="253" t="s">
        <v>216</v>
      </c>
      <c r="E59" s="262" t="e">
        <f>HLOOKUP($D$2,'2018 Data'!$D$1:$AF$150,10,FALSE)</f>
        <v>#N/A</v>
      </c>
      <c r="F59" s="276"/>
      <c r="G59" s="7"/>
      <c r="H59" s="15"/>
      <c r="I59" s="31"/>
      <c r="J59" s="5"/>
    </row>
    <row r="60" spans="1:17" s="187" customFormat="1" ht="157.15" customHeight="1" x14ac:dyDescent="0.25">
      <c r="A60" s="251">
        <v>14</v>
      </c>
      <c r="B60" s="139" t="s">
        <v>30</v>
      </c>
      <c r="C60" s="254" t="s">
        <v>214</v>
      </c>
      <c r="D60" s="296" t="s">
        <v>346</v>
      </c>
      <c r="E60" s="262" t="e">
        <f>HLOOKUP($D$2,'2018 Data'!$D$1:$AF$150,11,FALSE)</f>
        <v>#N/A</v>
      </c>
      <c r="F60" s="276"/>
      <c r="G60" s="8"/>
      <c r="H60" s="66"/>
      <c r="I60" s="138"/>
      <c r="K60" s="1"/>
      <c r="L60" s="1"/>
      <c r="M60" s="1"/>
      <c r="N60" s="1"/>
      <c r="O60" s="1"/>
      <c r="P60" s="4"/>
      <c r="Q60" s="4"/>
    </row>
    <row r="61" spans="1:17" ht="63.75" x14ac:dyDescent="0.25">
      <c r="A61" s="255">
        <v>32</v>
      </c>
      <c r="B61" s="139" t="s">
        <v>30</v>
      </c>
      <c r="C61" s="252" t="s">
        <v>217</v>
      </c>
      <c r="D61" s="257" t="s">
        <v>218</v>
      </c>
      <c r="E61" s="262" t="e">
        <f>HLOOKUP($D$2,'2018 Data'!$D$1:$AF$150,36,FALSE)</f>
        <v>#N/A</v>
      </c>
      <c r="F61" s="276"/>
      <c r="G61" s="7"/>
      <c r="H61" s="15"/>
      <c r="I61" s="31"/>
      <c r="K61" s="4"/>
      <c r="L61" s="4"/>
      <c r="M61" s="4"/>
      <c r="N61" s="4"/>
      <c r="O61" s="4"/>
    </row>
    <row r="62" spans="1:17" ht="73.5" customHeight="1" x14ac:dyDescent="0.25">
      <c r="A62" s="255">
        <v>31</v>
      </c>
      <c r="B62" s="139" t="s">
        <v>30</v>
      </c>
      <c r="C62" s="252" t="s">
        <v>217</v>
      </c>
      <c r="D62" s="258" t="s">
        <v>219</v>
      </c>
      <c r="E62" s="262" t="e">
        <f>HLOOKUP($D$2,'2018 Data'!$D$1:$AF$150,34,FALSE)</f>
        <v>#N/A</v>
      </c>
      <c r="F62" s="276"/>
      <c r="G62" s="8"/>
      <c r="H62" s="15"/>
      <c r="I62" s="31"/>
    </row>
    <row r="63" spans="1:17" ht="63.75" x14ac:dyDescent="0.25">
      <c r="A63" s="256">
        <v>193</v>
      </c>
      <c r="B63" s="139" t="s">
        <v>30</v>
      </c>
      <c r="C63" s="252" t="s">
        <v>217</v>
      </c>
      <c r="D63" s="257" t="s">
        <v>178</v>
      </c>
      <c r="E63" s="262" t="e">
        <f>HLOOKUP($D$2,'2018 Data'!$D$1:$AF$150,15,FALSE)</f>
        <v>#N/A</v>
      </c>
      <c r="F63" s="276"/>
      <c r="G63" s="8"/>
      <c r="H63" s="15"/>
      <c r="I63" s="31"/>
    </row>
    <row r="64" spans="1:17" s="187" customFormat="1" ht="30" x14ac:dyDescent="0.25">
      <c r="A64" s="256">
        <v>33</v>
      </c>
      <c r="B64" s="139" t="s">
        <v>30</v>
      </c>
      <c r="C64" s="254" t="s">
        <v>220</v>
      </c>
      <c r="D64" s="257" t="s">
        <v>177</v>
      </c>
      <c r="E64" s="262" t="e">
        <f>HLOOKUP($D$2,'2018 Data'!$D$1:$AF$150,43,FALSE)</f>
        <v>#N/A</v>
      </c>
      <c r="F64" s="276"/>
      <c r="G64" s="8"/>
      <c r="H64" s="66"/>
      <c r="I64" s="31"/>
      <c r="K64" s="1"/>
      <c r="L64" s="1"/>
      <c r="M64" s="1"/>
      <c r="N64" s="1"/>
      <c r="O64" s="1"/>
    </row>
    <row r="65" spans="1:15" ht="18.75" x14ac:dyDescent="0.25">
      <c r="A65" s="154"/>
      <c r="B65" s="131" t="s">
        <v>34</v>
      </c>
      <c r="C65" s="132"/>
      <c r="D65" s="142"/>
      <c r="E65" s="142"/>
      <c r="F65" s="277"/>
      <c r="G65" s="121"/>
      <c r="H65" s="66"/>
      <c r="I65" s="31"/>
      <c r="K65" s="187"/>
      <c r="L65" s="187"/>
      <c r="M65" s="187"/>
      <c r="N65" s="187"/>
      <c r="O65" s="187"/>
    </row>
    <row r="66" spans="1:15" ht="60" x14ac:dyDescent="0.25">
      <c r="A66" s="153">
        <v>512</v>
      </c>
      <c r="B66" s="20"/>
      <c r="C66" s="136" t="s">
        <v>112</v>
      </c>
      <c r="D66" s="146" t="s">
        <v>111</v>
      </c>
      <c r="E66" s="262" t="e">
        <f>HLOOKUP($D$2,'2018 Data'!$D$1:$AF$150,87,FALSE)</f>
        <v>#N/A</v>
      </c>
      <c r="F66" s="276"/>
      <c r="G66" s="8">
        <f>IF(F66&lt;0,"Error: This number is normally positive.",)</f>
        <v>0</v>
      </c>
      <c r="H66" s="66"/>
      <c r="I66" s="31"/>
    </row>
    <row r="67" spans="1:15" s="332" customFormat="1" x14ac:dyDescent="0.25">
      <c r="A67" s="255"/>
      <c r="B67" s="360" t="s">
        <v>390</v>
      </c>
      <c r="C67" s="144"/>
      <c r="D67" s="141"/>
      <c r="E67" s="137"/>
      <c r="F67" s="278"/>
      <c r="G67" s="120"/>
      <c r="H67" s="66"/>
      <c r="I67" s="31"/>
    </row>
    <row r="68" spans="1:15" s="332" customFormat="1" ht="92.25" customHeight="1" x14ac:dyDescent="0.25">
      <c r="A68" s="361">
        <v>622</v>
      </c>
      <c r="B68" s="362" t="s">
        <v>334</v>
      </c>
      <c r="C68" s="361" t="s">
        <v>391</v>
      </c>
      <c r="D68" s="361" t="s">
        <v>392</v>
      </c>
      <c r="E68" s="363" t="s">
        <v>393</v>
      </c>
      <c r="F68" s="276"/>
      <c r="H68" s="66"/>
      <c r="I68" s="31"/>
    </row>
    <row r="69" spans="1:15" s="332" customFormat="1" ht="72" customHeight="1" x14ac:dyDescent="0.25">
      <c r="A69" s="361">
        <v>623</v>
      </c>
      <c r="B69" s="363" t="s">
        <v>394</v>
      </c>
      <c r="C69" s="361"/>
      <c r="D69" s="361" t="s">
        <v>395</v>
      </c>
      <c r="E69" s="363" t="s">
        <v>396</v>
      </c>
      <c r="F69" s="276"/>
      <c r="G69" s="8"/>
      <c r="H69" s="66"/>
      <c r="I69" s="31"/>
    </row>
    <row r="70" spans="1:15" s="332" customFormat="1" ht="210.75" customHeight="1" x14ac:dyDescent="0.25">
      <c r="A70" s="255">
        <v>577</v>
      </c>
      <c r="B70" s="139"/>
      <c r="C70" s="139" t="s">
        <v>202</v>
      </c>
      <c r="D70" s="288" t="s">
        <v>345</v>
      </c>
      <c r="E70" s="285"/>
      <c r="F70" s="276"/>
      <c r="G70" s="287" t="str">
        <f>IF(F70="Yes","In this cell - Please briefly describe the benefit and population group that received the benefit"," ")</f>
        <v xml:space="preserve"> </v>
      </c>
      <c r="H70" s="66"/>
      <c r="I70" s="31"/>
    </row>
    <row r="71" spans="1:15" x14ac:dyDescent="0.25">
      <c r="A71" s="154"/>
      <c r="B71" s="145" t="s">
        <v>4</v>
      </c>
      <c r="C71" s="144"/>
      <c r="D71" s="141"/>
      <c r="E71" s="137"/>
      <c r="F71" s="278"/>
      <c r="G71" s="120"/>
      <c r="H71" s="15"/>
      <c r="I71" s="31"/>
      <c r="J71" s="4"/>
    </row>
    <row r="72" spans="1:15" s="4" customFormat="1" ht="135" x14ac:dyDescent="0.25">
      <c r="A72" s="153">
        <v>547</v>
      </c>
      <c r="B72" s="139"/>
      <c r="C72" s="139" t="s">
        <v>113</v>
      </c>
      <c r="D72" s="204" t="s">
        <v>196</v>
      </c>
      <c r="E72" s="262" t="e">
        <f>HLOOKUP($D$2,'2018 Data'!$D$1:$AF$543,116,FALSE)</f>
        <v>#N/A</v>
      </c>
      <c r="F72" s="280"/>
      <c r="G72" s="157" t="str">
        <f>IF(F72&lt;1,"Please answer this question","")</f>
        <v>Please answer this question</v>
      </c>
      <c r="H72" s="138"/>
      <c r="I72" s="272"/>
      <c r="J72" s="63"/>
    </row>
    <row r="73" spans="1:15" s="4" customFormat="1" ht="25.5" x14ac:dyDescent="0.25">
      <c r="A73" s="255">
        <v>607</v>
      </c>
      <c r="B73" s="139"/>
      <c r="C73" s="139" t="s">
        <v>356</v>
      </c>
      <c r="D73" s="364" t="s">
        <v>357</v>
      </c>
      <c r="E73" s="262" t="e">
        <f>HLOOKUP($D$2,'2018 Data'!$D$1:$AF$150,138,FALSE)</f>
        <v>#N/A</v>
      </c>
      <c r="F73" s="280"/>
      <c r="G73" s="157" t="str">
        <f>IF(ISBLANK(F73),"Please do not leave blank","")</f>
        <v>Please do not leave blank</v>
      </c>
      <c r="H73" s="352">
        <f>IF(F73&lt;0,"Error: Enter as positive.",)</f>
        <v>0</v>
      </c>
      <c r="I73" s="272"/>
      <c r="J73" s="63"/>
    </row>
    <row r="74" spans="1:15" s="4" customFormat="1" ht="25.5" x14ac:dyDescent="0.25">
      <c r="A74" s="255">
        <v>608</v>
      </c>
      <c r="B74" s="139"/>
      <c r="C74" s="139" t="s">
        <v>356</v>
      </c>
      <c r="D74" s="364" t="s">
        <v>358</v>
      </c>
      <c r="E74" s="262" t="e">
        <f>HLOOKUP($D$2,'2018 Data'!$D$1:$AF$150,139,FALSE)</f>
        <v>#N/A</v>
      </c>
      <c r="F74" s="280"/>
      <c r="G74" s="157" t="str">
        <f>IF(ISBLANK(F74),"Please do not leave blank","")</f>
        <v>Please do not leave blank</v>
      </c>
      <c r="H74" s="352">
        <f>IF(F74&lt;0,"Note: Number is normally positive.",)</f>
        <v>0</v>
      </c>
      <c r="I74" s="272"/>
      <c r="J74" s="63"/>
    </row>
    <row r="75" spans="1:15" s="4" customFormat="1" ht="90" x14ac:dyDescent="0.25">
      <c r="A75" s="255">
        <v>609</v>
      </c>
      <c r="B75" s="139"/>
      <c r="C75" s="139" t="s">
        <v>359</v>
      </c>
      <c r="D75" s="365" t="s">
        <v>360</v>
      </c>
      <c r="E75" s="262" t="e">
        <f>HLOOKUP($D$2,'2018 Data'!$D$1:$AF$150,140,FALSE)</f>
        <v>#N/A</v>
      </c>
      <c r="F75" s="325"/>
      <c r="G75" s="157" t="str">
        <f>IF(ISBLANK(F75),"Please do not leave blank ",IF(F75=H75,"","Please review percentage"))</f>
        <v xml:space="preserve">Please do not leave blank </v>
      </c>
      <c r="H75" s="324">
        <f>ROUND(IFERROR((F74/F73)*100,0),1)</f>
        <v>0</v>
      </c>
      <c r="I75" s="272"/>
      <c r="J75" s="63"/>
    </row>
    <row r="76" spans="1:15" s="4" customFormat="1" ht="25.5" x14ac:dyDescent="0.25">
      <c r="A76" s="255">
        <v>610</v>
      </c>
      <c r="B76" s="139"/>
      <c r="C76" s="139" t="s">
        <v>356</v>
      </c>
      <c r="D76" s="364" t="s">
        <v>361</v>
      </c>
      <c r="E76" s="262" t="e">
        <f>HLOOKUP($D$2,'2018 Data'!$D$1:$AF$150,141,FALSE)</f>
        <v>#N/A</v>
      </c>
      <c r="F76" s="280"/>
      <c r="G76" s="157" t="str">
        <f>IF(ISBLANK(F76),"Please do not leave blank","")</f>
        <v>Please do not leave blank</v>
      </c>
      <c r="H76" s="352">
        <f>IF(F76&lt;0,"Error: Enter as positive.",)</f>
        <v>0</v>
      </c>
      <c r="I76" s="272"/>
      <c r="J76" s="63"/>
    </row>
    <row r="77" spans="1:15" s="4" customFormat="1" ht="25.5" x14ac:dyDescent="0.25">
      <c r="A77" s="255">
        <v>611</v>
      </c>
      <c r="B77" s="139"/>
      <c r="C77" s="139" t="s">
        <v>356</v>
      </c>
      <c r="D77" s="364" t="s">
        <v>362</v>
      </c>
      <c r="E77" s="262" t="e">
        <f>HLOOKUP($D$2,'2018 Data'!$D$1:$AF$150,142,FALSE)</f>
        <v>#N/A</v>
      </c>
      <c r="F77" s="280"/>
      <c r="G77" s="157" t="str">
        <f>IF(ISBLANK(F77),"Please do not leave blank","")</f>
        <v>Please do not leave blank</v>
      </c>
      <c r="H77" s="352">
        <f>IF(F77&lt;0,"Note: Number is normally positive.",)</f>
        <v>0</v>
      </c>
      <c r="I77" s="272"/>
      <c r="J77" s="63"/>
    </row>
    <row r="78" spans="1:15" s="4" customFormat="1" ht="90" x14ac:dyDescent="0.25">
      <c r="A78" s="255">
        <v>612</v>
      </c>
      <c r="B78" s="139"/>
      <c r="C78" s="139" t="s">
        <v>359</v>
      </c>
      <c r="D78" s="365" t="s">
        <v>363</v>
      </c>
      <c r="E78" s="262" t="e">
        <f>HLOOKUP($D$2,'2018 Data'!$D$1:$AF$150,143,FALSE)</f>
        <v>#N/A</v>
      </c>
      <c r="F78" s="325"/>
      <c r="G78" s="157" t="str">
        <f>IF(ISBLANK(F78),"Please do not leave blank ",IF(F78=H78,"","Please review percentage"))</f>
        <v xml:space="preserve">Please do not leave blank </v>
      </c>
      <c r="H78" s="324">
        <f>ROUND(IFERROR((F77/F76)*100,0),1)</f>
        <v>0</v>
      </c>
      <c r="I78" s="272"/>
      <c r="J78" s="63"/>
    </row>
    <row r="79" spans="1:15" s="4" customFormat="1" ht="25.5" x14ac:dyDescent="0.25">
      <c r="A79" s="255">
        <v>613</v>
      </c>
      <c r="B79" s="139"/>
      <c r="C79" s="139" t="s">
        <v>356</v>
      </c>
      <c r="D79" s="364" t="s">
        <v>364</v>
      </c>
      <c r="E79" s="262" t="e">
        <f>HLOOKUP($D$2,'2018 Data'!$D$1:$AF$150,144,FALSE)</f>
        <v>#N/A</v>
      </c>
      <c r="F79" s="280"/>
      <c r="G79" s="157" t="str">
        <f>IF(ISBLANK(F79),"Please do not leave blank","")</f>
        <v>Please do not leave blank</v>
      </c>
      <c r="H79" s="352">
        <f>IF(F79&lt;0,"Error: Enter as positive.",)</f>
        <v>0</v>
      </c>
      <c r="I79" s="272"/>
      <c r="J79" s="63"/>
    </row>
    <row r="80" spans="1:15" s="4" customFormat="1" ht="25.5" x14ac:dyDescent="0.25">
      <c r="A80" s="255">
        <v>614</v>
      </c>
      <c r="B80" s="139"/>
      <c r="C80" s="139" t="s">
        <v>356</v>
      </c>
      <c r="D80" s="364" t="s">
        <v>365</v>
      </c>
      <c r="E80" s="262" t="e">
        <f>HLOOKUP($D$2,'2018 Data'!$D$1:$AF$150,145,FALSE)</f>
        <v>#N/A</v>
      </c>
      <c r="F80" s="280"/>
      <c r="G80" s="157" t="str">
        <f>IF(ISBLANK(F80),"Please do not leave blank","")</f>
        <v>Please do not leave blank</v>
      </c>
      <c r="H80" s="352">
        <f>IF(F80&lt;0,"Note: Number is normally positive.",)</f>
        <v>0</v>
      </c>
      <c r="I80" s="272"/>
      <c r="J80" s="63"/>
    </row>
    <row r="81" spans="1:15" s="4" customFormat="1" ht="90" x14ac:dyDescent="0.25">
      <c r="A81" s="255">
        <v>615</v>
      </c>
      <c r="B81" s="139"/>
      <c r="C81" s="139" t="s">
        <v>359</v>
      </c>
      <c r="D81" s="365" t="s">
        <v>366</v>
      </c>
      <c r="E81" s="262" t="e">
        <f>HLOOKUP($D$2,'2018 Data'!$D$1:$AF$150,146,FALSE)</f>
        <v>#N/A</v>
      </c>
      <c r="F81" s="325"/>
      <c r="G81" s="157" t="str">
        <f>IF(ISBLANK(F81),"Please do not leave blank ",IF(F81=H81,"","Please review percentage"))</f>
        <v xml:space="preserve">Please do not leave blank </v>
      </c>
      <c r="H81" s="324">
        <f>ROUND(IFERROR((F80/F79)*100,0),1)</f>
        <v>0</v>
      </c>
      <c r="I81" s="272"/>
      <c r="J81" s="63"/>
    </row>
    <row r="82" spans="1:15" s="4" customFormat="1" ht="25.5" x14ac:dyDescent="0.25">
      <c r="A82" s="255">
        <v>616</v>
      </c>
      <c r="B82" s="139"/>
      <c r="C82" s="139" t="s">
        <v>356</v>
      </c>
      <c r="D82" s="364" t="s">
        <v>367</v>
      </c>
      <c r="E82" s="262" t="e">
        <f>HLOOKUP($D$2,'2018 Data'!$D$1:$AF$150,147,FALSE)</f>
        <v>#N/A</v>
      </c>
      <c r="F82" s="280"/>
      <c r="G82" s="157" t="str">
        <f>IF(ISBLANK(F82),"Please do not leave blank","")</f>
        <v>Please do not leave blank</v>
      </c>
      <c r="H82" s="352">
        <f>IF(F82&lt;0,"Error: Enter as positive.",)</f>
        <v>0</v>
      </c>
      <c r="I82" s="272"/>
      <c r="J82" s="63"/>
    </row>
    <row r="83" spans="1:15" s="4" customFormat="1" ht="25.5" x14ac:dyDescent="0.25">
      <c r="A83" s="255">
        <v>617</v>
      </c>
      <c r="B83" s="139"/>
      <c r="C83" s="139" t="s">
        <v>356</v>
      </c>
      <c r="D83" s="364" t="s">
        <v>368</v>
      </c>
      <c r="E83" s="262" t="e">
        <f>HLOOKUP($D$2,'2018 Data'!$D$1:$AF$150,148,FALSE)</f>
        <v>#N/A</v>
      </c>
      <c r="F83" s="280"/>
      <c r="G83" s="157" t="str">
        <f>IF(ISBLANK(F83),"Please do not leave blank","")</f>
        <v>Please do not leave blank</v>
      </c>
      <c r="H83" s="352">
        <f>IF(F83&lt;0,"Note: Number is normally positive.",)</f>
        <v>0</v>
      </c>
      <c r="I83" s="272"/>
      <c r="J83" s="63"/>
    </row>
    <row r="84" spans="1:15" s="4" customFormat="1" ht="90" x14ac:dyDescent="0.25">
      <c r="A84" s="255">
        <v>618</v>
      </c>
      <c r="B84" s="139"/>
      <c r="C84" s="139" t="s">
        <v>359</v>
      </c>
      <c r="D84" s="365" t="s">
        <v>369</v>
      </c>
      <c r="E84" s="262" t="e">
        <f>HLOOKUP($D$2,'2018 Data'!$D$1:$AF$150,149,FALSE)</f>
        <v>#N/A</v>
      </c>
      <c r="F84" s="325"/>
      <c r="G84" s="157" t="str">
        <f>IF(ISBLANK(F84),"Please do not leave blank ",IF(F84=H84,"","Please review percentage"))</f>
        <v xml:space="preserve">Please do not leave blank </v>
      </c>
      <c r="H84" s="324">
        <f>ROUND(IFERROR((F83/F82)*100,0),1)</f>
        <v>0</v>
      </c>
      <c r="I84" s="272"/>
      <c r="J84" s="63"/>
    </row>
    <row r="85" spans="1:15" ht="75" x14ac:dyDescent="0.25">
      <c r="A85" s="154"/>
      <c r="B85" s="139"/>
      <c r="C85" s="139"/>
      <c r="D85" s="140" t="s">
        <v>5</v>
      </c>
      <c r="E85" s="269"/>
      <c r="F85" s="281"/>
      <c r="G85" s="9"/>
      <c r="H85" s="15"/>
      <c r="I85" s="31"/>
      <c r="K85" s="187"/>
      <c r="L85" s="187"/>
      <c r="M85" s="187"/>
      <c r="N85" s="187"/>
      <c r="O85" s="187"/>
    </row>
    <row r="86" spans="1:15" x14ac:dyDescent="0.25">
      <c r="A86" s="153"/>
      <c r="B86" s="145" t="s">
        <v>6</v>
      </c>
      <c r="C86" s="144"/>
      <c r="D86" s="141"/>
      <c r="E86" s="137"/>
      <c r="F86" s="278"/>
      <c r="G86" s="120"/>
      <c r="H86" s="15"/>
      <c r="I86" s="31"/>
    </row>
    <row r="87" spans="1:15" ht="45" x14ac:dyDescent="0.25">
      <c r="A87" s="153">
        <v>6</v>
      </c>
      <c r="B87" s="64"/>
      <c r="C87" s="143" t="s">
        <v>115</v>
      </c>
      <c r="D87" s="146" t="s">
        <v>114</v>
      </c>
      <c r="E87" s="262" t="e">
        <f>HLOOKUP($D$2,'2018 Data'!$D$1:$AF$150,6,FALSE)</f>
        <v>#N/A</v>
      </c>
      <c r="F87" s="276"/>
      <c r="G87" s="8">
        <f>IF(F87&lt;0,"Error: Enter as positive.",)</f>
        <v>0</v>
      </c>
      <c r="H87" s="15"/>
      <c r="I87" s="31"/>
    </row>
    <row r="88" spans="1:15" s="332" customFormat="1" x14ac:dyDescent="0.25">
      <c r="A88" s="255"/>
      <c r="B88" s="347" t="s">
        <v>376</v>
      </c>
      <c r="C88" s="346"/>
      <c r="D88" s="345"/>
      <c r="E88" s="344"/>
      <c r="F88" s="343"/>
      <c r="G88" s="342"/>
      <c r="H88" s="66"/>
      <c r="I88" s="31"/>
    </row>
    <row r="89" spans="1:15" s="332" customFormat="1" ht="60" x14ac:dyDescent="0.25">
      <c r="A89" s="255">
        <v>620</v>
      </c>
      <c r="B89" s="366" t="s">
        <v>30</v>
      </c>
      <c r="C89" s="367"/>
      <c r="D89" s="305" t="s">
        <v>377</v>
      </c>
      <c r="E89" s="262" t="e">
        <f>HLOOKUP($D$2,'2018 Data'!$D$1:$AF$150,150,FALSE)</f>
        <v>#N/A</v>
      </c>
      <c r="F89" s="276"/>
      <c r="G89" s="368" t="str">
        <f>IF(F89&lt;1,"Please answer this question","")</f>
        <v>Please answer this question</v>
      </c>
      <c r="H89" s="66"/>
      <c r="I89" s="31"/>
    </row>
    <row r="90" spans="1:15" ht="59.25" x14ac:dyDescent="0.25">
      <c r="A90" s="154"/>
      <c r="B90" s="44" t="s">
        <v>19</v>
      </c>
      <c r="C90" s="44"/>
      <c r="D90" s="52" t="s">
        <v>25</v>
      </c>
      <c r="E90" s="51"/>
      <c r="F90" s="51"/>
      <c r="G90" s="51"/>
      <c r="H90" s="54"/>
      <c r="I90" s="31"/>
    </row>
    <row r="91" spans="1:15" x14ac:dyDescent="0.25">
      <c r="A91" s="25"/>
      <c r="B91" s="43"/>
      <c r="C91" s="43"/>
      <c r="D91" s="2"/>
      <c r="F91" s="4"/>
      <c r="G91" s="7"/>
      <c r="H91" s="15"/>
    </row>
    <row r="92" spans="1:15" x14ac:dyDescent="0.25">
      <c r="A92" s="25"/>
      <c r="B92" s="20"/>
      <c r="C92" s="20"/>
      <c r="D92" s="2"/>
      <c r="E92" s="369"/>
      <c r="F92" s="4"/>
      <c r="G92" s="7"/>
      <c r="H92" s="15"/>
    </row>
    <row r="93" spans="1:15" x14ac:dyDescent="0.25">
      <c r="A93" s="25"/>
      <c r="B93" s="20"/>
      <c r="C93" s="20"/>
      <c r="D93" s="56"/>
      <c r="E93" s="57"/>
      <c r="F93" s="57"/>
      <c r="G93" s="7"/>
      <c r="H93" s="15"/>
    </row>
    <row r="94" spans="1:15" x14ac:dyDescent="0.25">
      <c r="A94" s="25"/>
      <c r="B94" s="20"/>
      <c r="C94" s="20"/>
      <c r="D94" s="56"/>
      <c r="E94" s="57"/>
      <c r="F94" s="57"/>
      <c r="G94" s="7"/>
      <c r="H94" s="15"/>
    </row>
    <row r="95" spans="1:15" x14ac:dyDescent="0.25">
      <c r="A95" s="25"/>
      <c r="B95" s="20"/>
      <c r="C95" s="20"/>
      <c r="D95" s="56"/>
      <c r="E95" s="57"/>
      <c r="F95" s="57"/>
      <c r="G95" s="7"/>
      <c r="H95" s="15"/>
    </row>
    <row r="96" spans="1:15" x14ac:dyDescent="0.25">
      <c r="A96" s="25"/>
      <c r="B96" s="20"/>
      <c r="C96" s="20"/>
      <c r="D96" s="56"/>
      <c r="E96" s="263"/>
      <c r="F96" s="57"/>
      <c r="G96" s="7"/>
      <c r="H96" s="15"/>
    </row>
    <row r="97" spans="4:8" x14ac:dyDescent="0.25">
      <c r="D97" s="58"/>
      <c r="E97" s="264"/>
      <c r="F97" s="58"/>
      <c r="H97" s="15"/>
    </row>
    <row r="98" spans="4:8" x14ac:dyDescent="0.25">
      <c r="D98" s="58"/>
      <c r="E98" s="264"/>
      <c r="F98" s="58"/>
      <c r="H98" s="15"/>
    </row>
    <row r="99" spans="4:8" x14ac:dyDescent="0.25">
      <c r="D99" s="58"/>
      <c r="E99" s="265"/>
      <c r="F99" s="58"/>
      <c r="H99" s="15"/>
    </row>
    <row r="100" spans="4:8" x14ac:dyDescent="0.25">
      <c r="D100" s="58"/>
      <c r="E100" s="265"/>
      <c r="F100" s="58"/>
      <c r="H100" s="15"/>
    </row>
    <row r="101" spans="4:8" x14ac:dyDescent="0.25">
      <c r="D101" s="58"/>
      <c r="E101" s="57"/>
      <c r="F101" s="58"/>
    </row>
  </sheetData>
  <sheetProtection algorithmName="SHA-512" hashValue="a+lv44X8k1pu9Z9dYORGVryc0HwMjPp3PU4fiz/e0OwSjCQIOk9sd/Kt1mTWm8r6UEQLpYqb3vkZjB6cmrBX1g==" saltValue="F+bT/+/I09UbfUmhDtDyqA==" spinCount="100000" sheet="1" formatCells="0" formatColumns="0" formatRows="0"/>
  <mergeCells count="2">
    <mergeCell ref="E2:G2"/>
    <mergeCell ref="B2:C2"/>
  </mergeCells>
  <conditionalFormatting sqref="H17">
    <cfRule type="cellIs" dxfId="12" priority="8" stopIfTrue="1" operator="notEqual">
      <formula>0</formula>
    </cfRule>
  </conditionalFormatting>
  <conditionalFormatting sqref="H30:H31">
    <cfRule type="cellIs" dxfId="11" priority="7" stopIfTrue="1" operator="notEqual">
      <formula>0</formula>
    </cfRule>
  </conditionalFormatting>
  <conditionalFormatting sqref="H45">
    <cfRule type="cellIs" dxfId="10" priority="6" stopIfTrue="1" operator="notEqual">
      <formula>0</formula>
    </cfRule>
  </conditionalFormatting>
  <conditionalFormatting sqref="H55:H56">
    <cfRule type="cellIs" dxfId="9" priority="5" stopIfTrue="1" operator="notEqual">
      <formula>0</formula>
    </cfRule>
  </conditionalFormatting>
  <dataValidations xWindow="756" yWindow="948" count="4">
    <dataValidation type="list" allowBlank="1" showInputMessage="1" showErrorMessage="1" error="Please select from the drop down list" prompt="Please select from the drop down list" sqref="F72" xr:uid="{00000000-0002-0000-0100-000000000000}">
      <formula1>$M$2:$M$5</formula1>
    </dataValidation>
    <dataValidation type="list" allowBlank="1" showInputMessage="1" showErrorMessage="1" prompt="Please select Yes or No from the drop down list" sqref="F70" xr:uid="{00000000-0002-0000-0100-000001000000}">
      <formula1>$K$1:$K$2</formula1>
    </dataValidation>
    <dataValidation type="list" allowBlank="1" showInputMessage="1" showErrorMessage="1" prompt="Click on cell D2 and select you unit name from the drop down box." sqref="D2" xr:uid="{00000000-0002-0000-0100-000002000000}">
      <formula1>$J$6:$J$36</formula1>
    </dataValidation>
    <dataValidation type="list" allowBlank="1" showInputMessage="1" showErrorMessage="1" sqref="F89" xr:uid="{00000000-0002-0000-0100-000003000000}">
      <formula1>$M$2:$M$3</formula1>
    </dataValidation>
  </dataValidations>
  <printOptions headings="1" gridLines="1"/>
  <pageMargins left="0.25" right="0.25" top="0.75" bottom="0.75" header="0.3" footer="0.3"/>
  <pageSetup scale="47" fitToHeight="0" orientation="portrait" r:id="rId1"/>
  <headerFooter>
    <oddFooter>&amp;LPage &amp;P&amp;R&amp;Z&amp;F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535"/>
  <sheetViews>
    <sheetView zoomScaleNormal="100" workbookViewId="0">
      <pane xSplit="3" ySplit="3" topLeftCell="D4" activePane="bottomRight" state="frozen"/>
      <selection activeCell="A2" sqref="A2"/>
      <selection pane="topRight" activeCell="A2" sqref="A2"/>
      <selection pane="bottomLeft" activeCell="A2" sqref="A2"/>
      <selection pane="bottomRight" activeCell="N82" sqref="N82"/>
    </sheetView>
  </sheetViews>
  <sheetFormatPr defaultRowHeight="15" x14ac:dyDescent="0.25"/>
  <cols>
    <col min="1" max="1" width="9" style="1" customWidth="1"/>
    <col min="2" max="2" width="11.28515625" style="194" customWidth="1"/>
    <col min="3" max="3" width="36.42578125" style="189" customWidth="1"/>
    <col min="4" max="4" width="12.7109375" style="1" customWidth="1"/>
    <col min="5" max="5" width="12.42578125" style="1" customWidth="1"/>
    <col min="6" max="6" width="20.85546875" style="1" customWidth="1"/>
    <col min="7" max="7" width="20.85546875" style="222" customWidth="1"/>
    <col min="8" max="8" width="11.5703125" style="1" customWidth="1"/>
    <col min="9" max="9" width="2.140625" style="161" customWidth="1"/>
    <col min="10" max="10" width="9.28515625" style="190" customWidth="1"/>
    <col min="11" max="11" width="31.85546875" style="47" customWidth="1"/>
    <col min="12" max="12" width="17.5703125" style="220" customWidth="1"/>
    <col min="13" max="13" width="2.140625" style="1" customWidth="1"/>
    <col min="14" max="14" width="19" style="1" customWidth="1"/>
    <col min="15" max="15" width="14" style="1" customWidth="1"/>
    <col min="16" max="16" width="21.85546875" style="1" customWidth="1"/>
    <col min="17" max="17" width="9.42578125" style="190" customWidth="1"/>
    <col min="18" max="19" width="9.140625" style="1" hidden="1" customWidth="1"/>
    <col min="20" max="21" width="9.140625" style="1" customWidth="1"/>
    <col min="22" max="16384" width="9.140625" style="1"/>
  </cols>
  <sheetData>
    <row r="1" spans="1:21" ht="18.75" x14ac:dyDescent="0.25">
      <c r="C1" s="191" t="s">
        <v>18</v>
      </c>
      <c r="D1" s="53">
        <f>L39-(L30+L31-L34-L35-L73)-L38</f>
        <v>0</v>
      </c>
      <c r="J1" s="202" t="s">
        <v>211</v>
      </c>
      <c r="K1" s="46"/>
      <c r="L1" s="221"/>
      <c r="M1" s="41"/>
      <c r="R1" s="295">
        <v>1</v>
      </c>
      <c r="S1" s="1">
        <v>1</v>
      </c>
    </row>
    <row r="2" spans="1:21" ht="18.75" x14ac:dyDescent="0.25">
      <c r="C2" s="234">
        <f>'Collection Worksheet'!D2</f>
        <v>0</v>
      </c>
      <c r="D2" s="50">
        <f>'Collection Worksheet'!F1</f>
        <v>2019</v>
      </c>
      <c r="E2" s="50">
        <f>D2</f>
        <v>2019</v>
      </c>
      <c r="F2" s="50"/>
      <c r="G2" s="223"/>
      <c r="H2" s="50"/>
      <c r="J2" s="183"/>
      <c r="K2" s="59" t="s">
        <v>26</v>
      </c>
      <c r="L2" s="212"/>
      <c r="R2" s="295">
        <v>2</v>
      </c>
      <c r="S2" s="1">
        <v>2</v>
      </c>
    </row>
    <row r="3" spans="1:21" ht="47.25" x14ac:dyDescent="0.25">
      <c r="A3" s="19" t="s">
        <v>21</v>
      </c>
      <c r="B3" s="195"/>
      <c r="C3" s="180" t="s">
        <v>1</v>
      </c>
      <c r="D3" s="60" t="s">
        <v>22</v>
      </c>
      <c r="E3" s="60" t="s">
        <v>23</v>
      </c>
      <c r="F3" s="61" t="s">
        <v>27</v>
      </c>
      <c r="G3" s="238" t="s">
        <v>207</v>
      </c>
      <c r="H3" s="61" t="s">
        <v>3</v>
      </c>
      <c r="J3" s="165" t="s">
        <v>21</v>
      </c>
      <c r="K3" s="45" t="s">
        <v>20</v>
      </c>
      <c r="L3" s="216" t="s">
        <v>7</v>
      </c>
      <c r="O3" s="1" t="s">
        <v>176</v>
      </c>
      <c r="Q3" s="239" t="s">
        <v>208</v>
      </c>
      <c r="R3" s="295">
        <v>3</v>
      </c>
      <c r="S3" s="1">
        <v>3</v>
      </c>
    </row>
    <row r="4" spans="1:21" ht="18.75" x14ac:dyDescent="0.3">
      <c r="A4" s="32"/>
      <c r="B4" s="196"/>
      <c r="C4" s="192"/>
      <c r="D4" s="33"/>
      <c r="E4" s="33"/>
      <c r="F4" s="33"/>
      <c r="G4" s="224"/>
      <c r="H4" s="33"/>
      <c r="J4" s="177"/>
      <c r="K4" s="49"/>
      <c r="L4" s="217"/>
      <c r="R4" s="295">
        <v>4</v>
      </c>
      <c r="S4" s="295">
        <v>4</v>
      </c>
    </row>
    <row r="5" spans="1:21" s="332" customFormat="1" ht="52.5" customHeight="1" x14ac:dyDescent="0.25">
      <c r="A5" s="182">
        <f>'Collection Worksheet'!A7</f>
        <v>333</v>
      </c>
      <c r="B5" s="201" t="str">
        <f>'Collection Worksheet'!C7</f>
        <v>Net Position-Governmental Activities</v>
      </c>
      <c r="C5" s="176" t="str">
        <f>'Collection Worksheet'!D7</f>
        <v xml:space="preserve"> All unrestricted Cash and investments.  
Exclude: restricted cash 
                   cash held by a third party. </v>
      </c>
      <c r="D5" s="381"/>
      <c r="E5" s="382">
        <f>'Collection Worksheet'!F7</f>
        <v>0</v>
      </c>
      <c r="F5" s="175"/>
      <c r="G5" s="225"/>
      <c r="H5" s="169"/>
      <c r="I5" s="327"/>
      <c r="J5" s="164">
        <v>333</v>
      </c>
      <c r="K5" s="334" t="s">
        <v>378</v>
      </c>
      <c r="L5" s="219">
        <f>IF(D5="",E5,D5)</f>
        <v>0</v>
      </c>
      <c r="P5" s="391"/>
      <c r="Q5" s="330"/>
      <c r="R5" s="332">
        <v>5</v>
      </c>
      <c r="S5" s="332">
        <v>5</v>
      </c>
    </row>
    <row r="6" spans="1:21" ht="33.75" x14ac:dyDescent="0.25">
      <c r="A6" s="188">
        <f>'Collection Worksheet'!A8</f>
        <v>500</v>
      </c>
      <c r="B6" s="197" t="str">
        <f>'Collection Worksheet'!C8</f>
        <v>Net Position-Governmental Activities</v>
      </c>
      <c r="C6" s="186" t="str">
        <f>'Collection Worksheet'!D8</f>
        <v xml:space="preserve"> All restricted Cash and investments</v>
      </c>
      <c r="D6" s="383"/>
      <c r="E6" s="384">
        <f>'Collection Worksheet'!F8</f>
        <v>0</v>
      </c>
      <c r="F6" s="175">
        <f>IF(L6&lt;0,"Error: Number is normally positive.",)</f>
        <v>0</v>
      </c>
      <c r="G6" s="226"/>
      <c r="H6" s="169">
        <f>'Collection Worksheet'!I8</f>
        <v>0</v>
      </c>
      <c r="I6" s="160"/>
      <c r="J6" s="163">
        <v>500</v>
      </c>
      <c r="K6" s="158" t="s">
        <v>119</v>
      </c>
      <c r="L6" s="219">
        <f>IF(D6="",E6,D6)</f>
        <v>0</v>
      </c>
      <c r="P6" s="391"/>
      <c r="R6" s="295">
        <v>6</v>
      </c>
      <c r="S6" s="331">
        <v>6</v>
      </c>
      <c r="U6" s="326" t="b">
        <f t="shared" ref="U6:U71" si="0">EXACT(A6,J6)</f>
        <v>1</v>
      </c>
    </row>
    <row r="7" spans="1:21" ht="54" customHeight="1" x14ac:dyDescent="0.25">
      <c r="A7" s="188">
        <f>'Collection Worksheet'!A9</f>
        <v>385</v>
      </c>
      <c r="B7" s="197" t="str">
        <f>'Collection Worksheet'!C9</f>
        <v>Net Position-Governmental Activities</v>
      </c>
      <c r="C7" s="186" t="str">
        <f>'Collection Worksheet'!D9</f>
        <v>Total Assets and deferred outflows</v>
      </c>
      <c r="D7" s="383"/>
      <c r="E7" s="384">
        <f>'Collection Worksheet'!F9</f>
        <v>0</v>
      </c>
      <c r="F7" s="292">
        <f>IF((L5+L6)&gt;L7,"Error: Please review accts (333 + 500) &gt; 385",)</f>
        <v>0</v>
      </c>
      <c r="G7" s="226"/>
      <c r="H7" s="169">
        <f>'Collection Worksheet'!I9</f>
        <v>0</v>
      </c>
      <c r="I7" s="160"/>
      <c r="J7" s="245">
        <v>385</v>
      </c>
      <c r="K7" s="246" t="s">
        <v>69</v>
      </c>
      <c r="L7" s="247">
        <f>IF(D7="",E7,D7)+IF(D9="",E9,D9)</f>
        <v>0</v>
      </c>
      <c r="N7" s="248" t="s">
        <v>203</v>
      </c>
      <c r="P7" s="391"/>
      <c r="R7" s="331">
        <v>7</v>
      </c>
      <c r="S7" s="331">
        <v>7</v>
      </c>
      <c r="U7" s="326" t="b">
        <f t="shared" si="0"/>
        <v>1</v>
      </c>
    </row>
    <row r="8" spans="1:21" s="187" customFormat="1" ht="80.25" customHeight="1" x14ac:dyDescent="0.25">
      <c r="A8" s="188">
        <f>'Collection Worksheet'!A10</f>
        <v>575</v>
      </c>
      <c r="B8" s="197" t="str">
        <f>'Collection Worksheet'!C10</f>
        <v>Net Position-Governmental Activities</v>
      </c>
      <c r="C8" s="260" t="str">
        <f>'Collection Worksheet'!D10</f>
        <v>Record any positive Internal balances on the net position statements that appear in the Asset Section of the Net Position Statement
enter as a positive</v>
      </c>
      <c r="D8" s="383"/>
      <c r="E8" s="384">
        <f>'Collection Worksheet'!F10</f>
        <v>0</v>
      </c>
      <c r="F8" s="175">
        <f>IF(L8&lt;0,"Error: Number is normally positive.",)</f>
        <v>0</v>
      </c>
      <c r="G8" s="226"/>
      <c r="H8" s="169">
        <f>'Collection Worksheet'!I10</f>
        <v>0</v>
      </c>
      <c r="I8" s="160"/>
      <c r="J8" s="163">
        <v>575</v>
      </c>
      <c r="K8" s="304" t="s">
        <v>205</v>
      </c>
      <c r="L8" s="286">
        <f>IF(D8="",E8,D8)</f>
        <v>0</v>
      </c>
      <c r="N8" s="214"/>
      <c r="P8" s="391"/>
      <c r="Q8" s="190"/>
      <c r="S8" s="271"/>
      <c r="U8" s="326" t="b">
        <f t="shared" si="0"/>
        <v>1</v>
      </c>
    </row>
    <row r="9" spans="1:21" s="187" customFormat="1" ht="80.25" customHeight="1" x14ac:dyDescent="0.25">
      <c r="A9" s="188">
        <f>'Collection Worksheet'!A11</f>
        <v>576</v>
      </c>
      <c r="B9" s="197" t="str">
        <f>'Collection Worksheet'!C11</f>
        <v>Net Position-Governmental Activities</v>
      </c>
      <c r="C9" s="260" t="str">
        <f>'Collection Worksheet'!D11</f>
        <v>Record any negative Internal balances on the net position statements that appear in the Asset Section of the Net Position Statement.
enter as a positive</v>
      </c>
      <c r="D9" s="383"/>
      <c r="E9" s="384">
        <f>'Collection Worksheet'!F11</f>
        <v>0</v>
      </c>
      <c r="F9" s="175">
        <f>IF(L9&lt;0,"Error: Number is normally positive.",)</f>
        <v>0</v>
      </c>
      <c r="G9" s="226"/>
      <c r="H9" s="169">
        <f>'Collection Worksheet'!I11</f>
        <v>0</v>
      </c>
      <c r="I9" s="160"/>
      <c r="J9" s="163">
        <v>576</v>
      </c>
      <c r="K9" s="304" t="s">
        <v>206</v>
      </c>
      <c r="L9" s="286">
        <f>IF(D9="",E9,D9)</f>
        <v>0</v>
      </c>
      <c r="N9" s="214"/>
      <c r="P9" s="391"/>
      <c r="Q9" s="190"/>
      <c r="S9" s="271"/>
      <c r="U9" s="326" t="b">
        <f t="shared" si="0"/>
        <v>1</v>
      </c>
    </row>
    <row r="10" spans="1:21" ht="167.25" customHeight="1" x14ac:dyDescent="0.25">
      <c r="A10" s="188">
        <f>'Collection Worksheet'!A12</f>
        <v>336</v>
      </c>
      <c r="B10" s="197" t="str">
        <f>'Collection Worksheet'!C12</f>
        <v>Net Position-Governmental Activities</v>
      </c>
      <c r="C10" s="186" t="str">
        <f>'Collection Worksheet'!D12</f>
        <v>Current liabilities
Include:  Current liabilities and current portion of long-term debt. 
Exclude:   Bond Anticipation Notes
                  Compensated  Absences
                  Pension liabilities
                  Liabilities payable from restricted assets
                  Other post employment liabilities (OPEB)
                  Deferred inflows.</v>
      </c>
      <c r="D10" s="383"/>
      <c r="E10" s="384">
        <f>'Collection Worksheet'!F12</f>
        <v>0</v>
      </c>
      <c r="F10" s="175">
        <f>IF(L10&lt;0,"Error: Enter as a positive.",)</f>
        <v>0</v>
      </c>
      <c r="G10" s="226"/>
      <c r="H10" s="169">
        <f>'Collection Worksheet'!I12</f>
        <v>0</v>
      </c>
      <c r="I10" s="160"/>
      <c r="J10" s="245">
        <v>336</v>
      </c>
      <c r="K10" s="246" t="s">
        <v>120</v>
      </c>
      <c r="L10" s="247">
        <f>IF(D10="",E10,D10)+IF(D9="",E9,D9)</f>
        <v>0</v>
      </c>
      <c r="N10" s="248" t="s">
        <v>203</v>
      </c>
      <c r="P10" s="391"/>
      <c r="S10" s="271"/>
      <c r="U10" s="326" t="b">
        <f t="shared" si="0"/>
        <v>1</v>
      </c>
    </row>
    <row r="11" spans="1:21" ht="33.75" x14ac:dyDescent="0.25">
      <c r="A11" s="188">
        <f>'Collection Worksheet'!A13</f>
        <v>338</v>
      </c>
      <c r="B11" s="197" t="str">
        <f>'Collection Worksheet'!C13</f>
        <v>Net Position-Governmental Activities</v>
      </c>
      <c r="C11" s="186" t="str">
        <f>'Collection Worksheet'!D13</f>
        <v>Total Liabilities and total deferred inflows</v>
      </c>
      <c r="D11" s="383"/>
      <c r="E11" s="384">
        <f>'Collection Worksheet'!F13</f>
        <v>0</v>
      </c>
      <c r="F11" s="175">
        <f>IF(L11&lt;0,"Error: Enter as a positive.",)</f>
        <v>0</v>
      </c>
      <c r="G11" s="226"/>
      <c r="H11" s="169">
        <f>'Collection Worksheet'!I13</f>
        <v>0</v>
      </c>
      <c r="I11" s="160"/>
      <c r="J11" s="245">
        <v>338</v>
      </c>
      <c r="K11" s="246" t="s">
        <v>70</v>
      </c>
      <c r="L11" s="247">
        <f>IF(D11="",E11,D11)+IF(D9="",E9,D9)</f>
        <v>0</v>
      </c>
      <c r="N11" s="248" t="s">
        <v>203</v>
      </c>
      <c r="P11" s="391"/>
      <c r="S11" s="271"/>
      <c r="U11" s="326" t="b">
        <f t="shared" si="0"/>
        <v>1</v>
      </c>
    </row>
    <row r="12" spans="1:21" ht="100.5" customHeight="1" x14ac:dyDescent="0.25">
      <c r="A12" s="188">
        <f>'Collection Worksheet'!A14</f>
        <v>335</v>
      </c>
      <c r="B12" s="197" t="str">
        <f>'Collection Worksheet'!C14</f>
        <v>Net Position-Governmental Activities</v>
      </c>
      <c r="C12" s="186" t="str">
        <f>'Collection Worksheet'!D14</f>
        <v>Unearned revenues that were included in current liabilities in your audit report or entered in acct # 336 above. 
Exclude - unearned revenues that are listed in deferred inflows.</v>
      </c>
      <c r="D12" s="383"/>
      <c r="E12" s="384">
        <f>'Collection Worksheet'!F14</f>
        <v>0</v>
      </c>
      <c r="F12" s="175">
        <f>IF(L12&lt;0,"Error: Enter as a positive.",)</f>
        <v>0</v>
      </c>
      <c r="G12" s="226"/>
      <c r="H12" s="169">
        <f>'Collection Worksheet'!I14</f>
        <v>0</v>
      </c>
      <c r="I12" s="160"/>
      <c r="J12" s="163">
        <v>335</v>
      </c>
      <c r="K12" s="158" t="s">
        <v>71</v>
      </c>
      <c r="L12" s="219">
        <f t="shared" ref="L12:L39" si="1">IF(D12="",E12,D12)</f>
        <v>0</v>
      </c>
      <c r="P12" s="391"/>
      <c r="S12" s="271"/>
      <c r="U12" s="326" t="b">
        <f t="shared" si="0"/>
        <v>1</v>
      </c>
    </row>
    <row r="13" spans="1:21" ht="33.75" x14ac:dyDescent="0.25">
      <c r="A13" s="188">
        <f>'Collection Worksheet'!A15</f>
        <v>252</v>
      </c>
      <c r="B13" s="197" t="str">
        <f>'Collection Worksheet'!C15</f>
        <v>Net Position-Governmental Activities</v>
      </c>
      <c r="C13" s="186" t="str">
        <f>'Collection Worksheet'!D15</f>
        <v xml:space="preserve"> Total Net investment in capital assets</v>
      </c>
      <c r="D13" s="383"/>
      <c r="E13" s="384">
        <f>'Collection Worksheet'!F15</f>
        <v>0</v>
      </c>
      <c r="F13" s="175"/>
      <c r="G13" s="226"/>
      <c r="H13" s="169">
        <f>'Collection Worksheet'!I15</f>
        <v>0</v>
      </c>
      <c r="I13" s="160"/>
      <c r="J13" s="163">
        <v>252</v>
      </c>
      <c r="K13" s="158" t="s">
        <v>63</v>
      </c>
      <c r="L13" s="219">
        <f t="shared" si="1"/>
        <v>0</v>
      </c>
      <c r="O13" s="151" t="e">
        <f>'Collection Worksheet'!E15</f>
        <v>#N/A</v>
      </c>
      <c r="P13" s="391"/>
      <c r="S13" s="271"/>
      <c r="U13" s="326" t="b">
        <f t="shared" si="0"/>
        <v>1</v>
      </c>
    </row>
    <row r="14" spans="1:21" ht="33.75" x14ac:dyDescent="0.25">
      <c r="A14" s="188">
        <f>'Collection Worksheet'!A16</f>
        <v>253</v>
      </c>
      <c r="B14" s="197" t="str">
        <f>'Collection Worksheet'!C16</f>
        <v>Net Position-Governmental Activities</v>
      </c>
      <c r="C14" s="186" t="str">
        <f>'Collection Worksheet'!D16</f>
        <v xml:space="preserve"> Total Net Position, Restricted</v>
      </c>
      <c r="D14" s="383"/>
      <c r="E14" s="384">
        <f>'Collection Worksheet'!F16</f>
        <v>0</v>
      </c>
      <c r="F14" s="175"/>
      <c r="G14" s="226"/>
      <c r="H14" s="169">
        <f>'Collection Worksheet'!I16</f>
        <v>0</v>
      </c>
      <c r="I14" s="160"/>
      <c r="J14" s="163">
        <v>253</v>
      </c>
      <c r="K14" s="158" t="s">
        <v>64</v>
      </c>
      <c r="L14" s="219">
        <f t="shared" si="1"/>
        <v>0</v>
      </c>
      <c r="O14" s="151" t="e">
        <f>'Collection Worksheet'!E16</f>
        <v>#N/A</v>
      </c>
      <c r="P14" s="391"/>
      <c r="S14" s="271"/>
      <c r="U14" s="326" t="b">
        <f t="shared" si="0"/>
        <v>1</v>
      </c>
    </row>
    <row r="15" spans="1:21" ht="73.5" customHeight="1" x14ac:dyDescent="0.25">
      <c r="A15" s="188">
        <f>'Collection Worksheet'!A17</f>
        <v>254</v>
      </c>
      <c r="B15" s="197" t="str">
        <f>'Collection Worksheet'!C17</f>
        <v>Net Position-Governmental Activities</v>
      </c>
      <c r="C15" s="186" t="str">
        <f>'Collection Worksheet'!D17</f>
        <v>Total Net Position, Unrestricted</v>
      </c>
      <c r="D15" s="383"/>
      <c r="E15" s="384">
        <f>'Collection Worksheet'!F17</f>
        <v>0</v>
      </c>
      <c r="F15" s="175">
        <f>IF((L7-L11-L13-L14-L15)=0,,"Error: Total assets and deferred outflows less total liabilities and deferred inflows do not equal total net position accts 385-338-252-253-254")</f>
        <v>0</v>
      </c>
      <c r="G15" s="294">
        <f>+L7-L11-L13-L14-L15</f>
        <v>0</v>
      </c>
      <c r="H15" s="169">
        <f>'Collection Worksheet'!I17</f>
        <v>0</v>
      </c>
      <c r="I15" s="160"/>
      <c r="J15" s="163">
        <v>254</v>
      </c>
      <c r="K15" s="158" t="s">
        <v>65</v>
      </c>
      <c r="L15" s="219">
        <f t="shared" si="1"/>
        <v>0</v>
      </c>
      <c r="O15" s="151" t="e">
        <f>'Collection Worksheet'!E17</f>
        <v>#N/A</v>
      </c>
      <c r="P15" s="391"/>
      <c r="Q15" s="190" t="b">
        <f>IF(G15&lt;&gt;0,1)</f>
        <v>0</v>
      </c>
      <c r="S15" s="271"/>
      <c r="U15" s="326" t="b">
        <f t="shared" si="0"/>
        <v>1</v>
      </c>
    </row>
    <row r="16" spans="1:21" ht="45" x14ac:dyDescent="0.25">
      <c r="A16" s="188">
        <f>'Collection Worksheet'!A19</f>
        <v>502</v>
      </c>
      <c r="B16" s="197" t="str">
        <f>'Collection Worksheet'!C19</f>
        <v>Net Position-Business Activities</v>
      </c>
      <c r="C16" s="186" t="str">
        <f>'Collection Worksheet'!D19</f>
        <v xml:space="preserve">All unrestricted Cash and investments. 
Exclude restricted cash and cash held by a third party. </v>
      </c>
      <c r="D16" s="383"/>
      <c r="E16" s="384">
        <f>'Collection Worksheet'!F19</f>
        <v>0</v>
      </c>
      <c r="F16" s="175">
        <f>IF(L16&lt;0,"Error: Number is normally positive.",)</f>
        <v>0</v>
      </c>
      <c r="G16" s="226"/>
      <c r="H16" s="169">
        <f>'Collection Worksheet'!I19</f>
        <v>0</v>
      </c>
      <c r="I16" s="160"/>
      <c r="J16" s="163">
        <v>502</v>
      </c>
      <c r="K16" s="158" t="s">
        <v>122</v>
      </c>
      <c r="L16" s="181">
        <f t="shared" si="1"/>
        <v>0</v>
      </c>
      <c r="P16" s="391"/>
      <c r="S16" s="271"/>
      <c r="U16" s="326" t="b">
        <f t="shared" si="0"/>
        <v>1</v>
      </c>
    </row>
    <row r="17" spans="1:21" ht="40.5" customHeight="1" x14ac:dyDescent="0.25">
      <c r="A17" s="188">
        <f>'Collection Worksheet'!A20</f>
        <v>503</v>
      </c>
      <c r="B17" s="197" t="str">
        <f>'Collection Worksheet'!C20</f>
        <v>Net Position-Business Activities</v>
      </c>
      <c r="C17" s="186" t="str">
        <f>'Collection Worksheet'!D20</f>
        <v>All restricted Cash and investments</v>
      </c>
      <c r="D17" s="383"/>
      <c r="E17" s="384">
        <f>'Collection Worksheet'!F20</f>
        <v>0</v>
      </c>
      <c r="F17" s="175">
        <f>IF(L17&lt;0,"Error: Number is normally positive.",)</f>
        <v>0</v>
      </c>
      <c r="G17" s="226"/>
      <c r="H17" s="169">
        <f>'Collection Worksheet'!I20</f>
        <v>0</v>
      </c>
      <c r="I17" s="160"/>
      <c r="J17" s="163">
        <v>503</v>
      </c>
      <c r="K17" s="158" t="s">
        <v>123</v>
      </c>
      <c r="L17" s="181">
        <f t="shared" si="1"/>
        <v>0</v>
      </c>
      <c r="P17" s="391"/>
      <c r="S17" s="271"/>
      <c r="U17" s="326" t="b">
        <f t="shared" si="0"/>
        <v>1</v>
      </c>
    </row>
    <row r="18" spans="1:21" ht="30.75" customHeight="1" x14ac:dyDescent="0.25">
      <c r="A18" s="188">
        <f>'Collection Worksheet'!A22</f>
        <v>388</v>
      </c>
      <c r="B18" s="197" t="str">
        <f>'Collection Worksheet'!C22</f>
        <v>Statement of Activities - Governmental</v>
      </c>
      <c r="C18" s="186" t="str">
        <f>'Collection Worksheet'!D22</f>
        <v>Total Expenses - Exclude Transfers</v>
      </c>
      <c r="D18" s="383"/>
      <c r="E18" s="384">
        <f>'Collection Worksheet'!F22</f>
        <v>0</v>
      </c>
      <c r="F18" s="175">
        <f t="shared" ref="F18:F23" si="2">IF(L18&lt;0,"Error: Number is normally positive.",)</f>
        <v>0</v>
      </c>
      <c r="G18" s="226"/>
      <c r="H18" s="169">
        <f>'Collection Worksheet'!I22</f>
        <v>0</v>
      </c>
      <c r="I18" s="160"/>
      <c r="J18" s="163">
        <v>388</v>
      </c>
      <c r="K18" s="158" t="s">
        <v>124</v>
      </c>
      <c r="L18" s="181">
        <f t="shared" si="1"/>
        <v>0</v>
      </c>
      <c r="P18" s="391"/>
      <c r="S18" s="271"/>
      <c r="U18" s="326" t="b">
        <f t="shared" si="0"/>
        <v>1</v>
      </c>
    </row>
    <row r="19" spans="1:21" ht="29.25" customHeight="1" x14ac:dyDescent="0.25">
      <c r="A19" s="188">
        <f>'Collection Worksheet'!A23</f>
        <v>339</v>
      </c>
      <c r="B19" s="197" t="str">
        <f>'Collection Worksheet'!C23</f>
        <v>Statement of Activities - Governmental</v>
      </c>
      <c r="C19" s="186" t="str">
        <f>'Collection Worksheet'!D23</f>
        <v xml:space="preserve">Charges for services </v>
      </c>
      <c r="D19" s="383"/>
      <c r="E19" s="384">
        <f>'Collection Worksheet'!F23</f>
        <v>0</v>
      </c>
      <c r="F19" s="175">
        <f t="shared" si="2"/>
        <v>0</v>
      </c>
      <c r="G19" s="226"/>
      <c r="H19" s="169">
        <f>'Collection Worksheet'!I23</f>
        <v>0</v>
      </c>
      <c r="I19" s="160"/>
      <c r="J19" s="163">
        <v>339</v>
      </c>
      <c r="K19" s="158" t="s">
        <v>125</v>
      </c>
      <c r="L19" s="181">
        <f t="shared" si="1"/>
        <v>0</v>
      </c>
      <c r="P19" s="391"/>
      <c r="S19" s="271"/>
      <c r="U19" s="326" t="b">
        <f t="shared" si="0"/>
        <v>1</v>
      </c>
    </row>
    <row r="20" spans="1:21" ht="33.75" x14ac:dyDescent="0.25">
      <c r="A20" s="188">
        <f>'Collection Worksheet'!A24</f>
        <v>504</v>
      </c>
      <c r="B20" s="197" t="str">
        <f>'Collection Worksheet'!C24</f>
        <v>Statement of Activities - Governmental</v>
      </c>
      <c r="C20" s="186" t="str">
        <f>'Collection Worksheet'!D24</f>
        <v>Operating grants and contributions</v>
      </c>
      <c r="D20" s="383"/>
      <c r="E20" s="384">
        <f>'Collection Worksheet'!F24</f>
        <v>0</v>
      </c>
      <c r="F20" s="175">
        <f t="shared" si="2"/>
        <v>0</v>
      </c>
      <c r="G20" s="226"/>
      <c r="H20" s="169">
        <f>'Collection Worksheet'!I24</f>
        <v>0</v>
      </c>
      <c r="I20" s="160"/>
      <c r="J20" s="163">
        <v>504</v>
      </c>
      <c r="K20" s="158" t="s">
        <v>126</v>
      </c>
      <c r="L20" s="181">
        <f t="shared" si="1"/>
        <v>0</v>
      </c>
      <c r="P20" s="391"/>
      <c r="S20" s="271"/>
      <c r="U20" s="326" t="b">
        <f t="shared" si="0"/>
        <v>1</v>
      </c>
    </row>
    <row r="21" spans="1:21" ht="33.75" x14ac:dyDescent="0.25">
      <c r="A21" s="188">
        <f>'Collection Worksheet'!A25</f>
        <v>505</v>
      </c>
      <c r="B21" s="197" t="str">
        <f>'Collection Worksheet'!C25</f>
        <v>Statement of Activities - Governmental</v>
      </c>
      <c r="C21" s="186" t="str">
        <f>'Collection Worksheet'!D25</f>
        <v>Capital grants and contributions</v>
      </c>
      <c r="D21" s="383"/>
      <c r="E21" s="384">
        <f>'Collection Worksheet'!F25</f>
        <v>0</v>
      </c>
      <c r="F21" s="175">
        <f t="shared" si="2"/>
        <v>0</v>
      </c>
      <c r="G21" s="226"/>
      <c r="H21" s="169">
        <f>'Collection Worksheet'!I25</f>
        <v>0</v>
      </c>
      <c r="I21" s="160"/>
      <c r="J21" s="163">
        <v>505</v>
      </c>
      <c r="K21" s="158" t="s">
        <v>127</v>
      </c>
      <c r="L21" s="181">
        <f t="shared" si="1"/>
        <v>0</v>
      </c>
      <c r="P21" s="391"/>
      <c r="S21" s="271"/>
      <c r="U21" s="326" t="b">
        <f t="shared" si="0"/>
        <v>1</v>
      </c>
    </row>
    <row r="22" spans="1:21" ht="72" customHeight="1" x14ac:dyDescent="0.25">
      <c r="A22" s="188">
        <f>'Collection Worksheet'!A26</f>
        <v>341</v>
      </c>
      <c r="B22" s="197" t="str">
        <f>'Collection Worksheet'!C26</f>
        <v>Statement of Activities - Governmental</v>
      </c>
      <c r="C22" s="186" t="str">
        <f>'Collection Worksheet'!D26</f>
        <v>Total General revenues
Exclude: transfers-in or out,
                 special items,
                 extraordinary amounts</v>
      </c>
      <c r="D22" s="383"/>
      <c r="E22" s="384">
        <f>'Collection Worksheet'!F26</f>
        <v>0</v>
      </c>
      <c r="F22" s="175">
        <f t="shared" si="2"/>
        <v>0</v>
      </c>
      <c r="G22" s="226"/>
      <c r="H22" s="169">
        <f>'Collection Worksheet'!I26</f>
        <v>0</v>
      </c>
      <c r="I22" s="160"/>
      <c r="J22" s="163">
        <v>341</v>
      </c>
      <c r="K22" s="158" t="s">
        <v>128</v>
      </c>
      <c r="L22" s="181">
        <f t="shared" si="1"/>
        <v>0</v>
      </c>
      <c r="P22" s="391"/>
      <c r="S22" s="271"/>
      <c r="U22" s="326" t="b">
        <f t="shared" si="0"/>
        <v>1</v>
      </c>
    </row>
    <row r="23" spans="1:21" ht="45" x14ac:dyDescent="0.25">
      <c r="A23" s="188">
        <f>'Collection Worksheet'!A27</f>
        <v>386</v>
      </c>
      <c r="B23" s="197" t="str">
        <f>'Collection Worksheet'!C27</f>
        <v>Statement of Activities - Governmental</v>
      </c>
      <c r="C23" s="186" t="str">
        <f>'Collection Worksheet'!D27</f>
        <v>Total Transfers in    (Preference is that transfers-in  are not netted against transfers-out)</v>
      </c>
      <c r="D23" s="383"/>
      <c r="E23" s="384">
        <f>'Collection Worksheet'!F27</f>
        <v>0</v>
      </c>
      <c r="F23" s="175">
        <f t="shared" si="2"/>
        <v>0</v>
      </c>
      <c r="G23" s="226"/>
      <c r="H23" s="169">
        <f>'Collection Worksheet'!I27</f>
        <v>0</v>
      </c>
      <c r="I23" s="160"/>
      <c r="J23" s="163">
        <v>386</v>
      </c>
      <c r="K23" s="158" t="s">
        <v>129</v>
      </c>
      <c r="L23" s="181">
        <f t="shared" si="1"/>
        <v>0</v>
      </c>
      <c r="P23" s="391"/>
      <c r="S23" s="271"/>
      <c r="U23" s="326" t="b">
        <f t="shared" si="0"/>
        <v>1</v>
      </c>
    </row>
    <row r="24" spans="1:21" ht="45" x14ac:dyDescent="0.25">
      <c r="A24" s="188">
        <f>'Collection Worksheet'!A28</f>
        <v>387</v>
      </c>
      <c r="B24" s="197" t="str">
        <f>'Collection Worksheet'!C28</f>
        <v>Statement of Activities - Governmental</v>
      </c>
      <c r="C24" s="186" t="str">
        <f>'Collection Worksheet'!D28</f>
        <v>Total Transfers out    (Preference is that transfers-in  are not netted against transfers-out)</v>
      </c>
      <c r="D24" s="383"/>
      <c r="E24" s="384">
        <f>'Collection Worksheet'!F28</f>
        <v>0</v>
      </c>
      <c r="F24" s="175">
        <f>IF(L24&lt;0,"Error: Enter as a positive.",)</f>
        <v>0</v>
      </c>
      <c r="G24" s="226"/>
      <c r="H24" s="169">
        <f>'Collection Worksheet'!I28</f>
        <v>0</v>
      </c>
      <c r="I24" s="160"/>
      <c r="J24" s="163">
        <v>387</v>
      </c>
      <c r="K24" s="158" t="s">
        <v>130</v>
      </c>
      <c r="L24" s="181">
        <f t="shared" si="1"/>
        <v>0</v>
      </c>
      <c r="P24" s="391"/>
      <c r="S24" s="271"/>
      <c r="U24" s="326" t="b">
        <f t="shared" si="0"/>
        <v>1</v>
      </c>
    </row>
    <row r="25" spans="1:21" ht="88.5" customHeight="1" x14ac:dyDescent="0.25">
      <c r="A25" s="188">
        <f>'Collection Worksheet'!A29</f>
        <v>389</v>
      </c>
      <c r="B25" s="197" t="str">
        <f>'Collection Worksheet'!C29</f>
        <v>Statement of Activities - Governmental</v>
      </c>
      <c r="C25" s="186" t="str">
        <f>'Collection Worksheet'!D29</f>
        <v>Total Special and Extraordinary items.    (Amounts that increase net position are recorded as positive and amounts that decrease net position are recorded as negative)</v>
      </c>
      <c r="D25" s="383"/>
      <c r="E25" s="384">
        <f>'Collection Worksheet'!F29</f>
        <v>0</v>
      </c>
      <c r="F25" s="175"/>
      <c r="G25" s="226"/>
      <c r="H25" s="169">
        <f>'Collection Worksheet'!I29</f>
        <v>0</v>
      </c>
      <c r="I25" s="160"/>
      <c r="J25" s="163">
        <v>389</v>
      </c>
      <c r="K25" s="158" t="s">
        <v>131</v>
      </c>
      <c r="L25" s="181">
        <f t="shared" si="1"/>
        <v>0</v>
      </c>
      <c r="P25" s="391"/>
      <c r="S25" s="271"/>
      <c r="U25" s="326" t="b">
        <f t="shared" si="0"/>
        <v>1</v>
      </c>
    </row>
    <row r="26" spans="1:21" ht="79.5" customHeight="1" x14ac:dyDescent="0.25">
      <c r="A26" s="188">
        <f>'Collection Worksheet'!A30</f>
        <v>255</v>
      </c>
      <c r="B26" s="197" t="str">
        <f>'Collection Worksheet'!C30</f>
        <v>Statement of Activities - Governmental</v>
      </c>
      <c r="C26" s="186" t="str">
        <f>'Collection Worksheet'!D30</f>
        <v>Total Change in net position - (Increase in net position is recorded as a positive and a decrease in net position is recorded as a negative)</v>
      </c>
      <c r="D26" s="383"/>
      <c r="E26" s="384">
        <f>'Collection Worksheet'!F30</f>
        <v>0</v>
      </c>
      <c r="F26" s="175">
        <f>IF((L19+L20+L21+L22+L23-L24+L25-L18-L26)=0,,"Total revenues less total expenses do not equal total change in net position. Acct 339+504+505+341+386-387+389-388-255=0")</f>
        <v>0</v>
      </c>
      <c r="G26" s="294">
        <f>L19+L20+L21+L22+L23-L24+L25-L18-L26</f>
        <v>0</v>
      </c>
      <c r="H26" s="169">
        <f>'Collection Worksheet'!I30</f>
        <v>0</v>
      </c>
      <c r="I26" s="160"/>
      <c r="J26" s="163">
        <v>255</v>
      </c>
      <c r="K26" s="158" t="s">
        <v>132</v>
      </c>
      <c r="L26" s="181">
        <f t="shared" si="1"/>
        <v>0</v>
      </c>
      <c r="O26" s="151" t="e">
        <f>'Collection Worksheet'!E30</f>
        <v>#N/A</v>
      </c>
      <c r="P26" s="391"/>
      <c r="Q26" s="190" t="b">
        <f>IF(G26&lt;&gt;0,1)</f>
        <v>0</v>
      </c>
      <c r="S26" s="271"/>
      <c r="U26" s="326" t="b">
        <f t="shared" si="0"/>
        <v>1</v>
      </c>
    </row>
    <row r="27" spans="1:21" ht="89.25" customHeight="1" x14ac:dyDescent="0.25">
      <c r="A27" s="188">
        <f>'Collection Worksheet'!A31</f>
        <v>376</v>
      </c>
      <c r="B27" s="197" t="str">
        <f>'Collection Worksheet'!C31</f>
        <v>Statement of Activities - Governmental</v>
      </c>
      <c r="C27" s="186" t="str">
        <f>'Collection Worksheet'!D31</f>
        <v>Any adjustment to beginning net position including rounding, prior period adjustments and restatements.   (Increases to net position are positive; decreases to net position are negative)</v>
      </c>
      <c r="D27" s="383"/>
      <c r="E27" s="384">
        <f>'Collection Worksheet'!F31</f>
        <v>0</v>
      </c>
      <c r="F27" s="175" t="e">
        <f>IF(L13+L14+L15-L26-L27=O13+O14+O15,,"Beginning Balance does not agree with our records acct (252+253+254-255-376=252+253+254)")</f>
        <v>#N/A</v>
      </c>
      <c r="G27" s="293" t="e">
        <f>L13+L14+L15-L26-L27-(O13+O14+O15)</f>
        <v>#N/A</v>
      </c>
      <c r="H27" s="169">
        <f>'Collection Worksheet'!I31</f>
        <v>0</v>
      </c>
      <c r="I27" s="160"/>
      <c r="J27" s="163">
        <v>376</v>
      </c>
      <c r="K27" s="158" t="s">
        <v>66</v>
      </c>
      <c r="L27" s="181">
        <f t="shared" si="1"/>
        <v>0</v>
      </c>
      <c r="O27" s="151" t="e">
        <f>'Collection Worksheet'!E31</f>
        <v>#N/A</v>
      </c>
      <c r="P27" s="391"/>
      <c r="Q27" s="190" t="e">
        <f>IF(G27&lt;&gt;0,1)</f>
        <v>#N/A</v>
      </c>
      <c r="S27" s="271"/>
      <c r="U27" s="326" t="b">
        <f t="shared" si="0"/>
        <v>1</v>
      </c>
    </row>
    <row r="28" spans="1:21" s="271" customFormat="1" ht="89.25" customHeight="1" x14ac:dyDescent="0.25">
      <c r="A28" s="188">
        <f>'Collection Worksheet'!A33</f>
        <v>591</v>
      </c>
      <c r="B28" s="197" t="str">
        <f>'Collection Worksheet'!C33</f>
        <v>Statement of Activities - Business Activities</v>
      </c>
      <c r="C28" s="260" t="str">
        <f>'Collection Worksheet'!D33</f>
        <v>Total Expenses - Exclude Transfers</v>
      </c>
      <c r="D28" s="383"/>
      <c r="E28" s="384">
        <f>'Collection Worksheet'!F33</f>
        <v>0</v>
      </c>
      <c r="F28" s="174"/>
      <c r="G28" s="233"/>
      <c r="H28" s="169">
        <f>'Collection Worksheet'!I33</f>
        <v>0</v>
      </c>
      <c r="I28" s="160"/>
      <c r="J28" s="163">
        <v>591</v>
      </c>
      <c r="K28" s="284" t="s">
        <v>337</v>
      </c>
      <c r="L28" s="213">
        <f t="shared" si="1"/>
        <v>0</v>
      </c>
      <c r="O28" s="151"/>
      <c r="P28" s="391"/>
      <c r="Q28" s="190"/>
      <c r="U28" s="326" t="b">
        <f t="shared" si="0"/>
        <v>1</v>
      </c>
    </row>
    <row r="29" spans="1:21" s="271" customFormat="1" ht="89.25" customHeight="1" x14ac:dyDescent="0.25">
      <c r="A29" s="188">
        <f>'Collection Worksheet'!A34</f>
        <v>592</v>
      </c>
      <c r="B29" s="197" t="str">
        <f>'Collection Worksheet'!C34</f>
        <v>Statement of activities - Business-Type</v>
      </c>
      <c r="C29" s="260" t="str">
        <f>'Collection Worksheet'!D34</f>
        <v>Total change in Net Position - Business-Type
(Increases to net position are positive; decreases to net position are negative)</v>
      </c>
      <c r="D29" s="383"/>
      <c r="E29" s="384">
        <f>'Collection Worksheet'!F34</f>
        <v>0</v>
      </c>
      <c r="F29" s="174"/>
      <c r="G29" s="233"/>
      <c r="H29" s="169">
        <f>'Collection Worksheet'!I34</f>
        <v>0</v>
      </c>
      <c r="I29" s="160"/>
      <c r="J29" s="163">
        <v>592</v>
      </c>
      <c r="K29" s="284" t="s">
        <v>336</v>
      </c>
      <c r="L29" s="213">
        <f t="shared" si="1"/>
        <v>0</v>
      </c>
      <c r="O29" s="151"/>
      <c r="P29" s="391"/>
      <c r="Q29" s="190"/>
      <c r="U29" s="326" t="b">
        <f t="shared" si="0"/>
        <v>1</v>
      </c>
    </row>
    <row r="30" spans="1:21" ht="54" customHeight="1" x14ac:dyDescent="0.25">
      <c r="A30" s="188">
        <f>'Collection Worksheet'!A36</f>
        <v>506</v>
      </c>
      <c r="B30" s="198" t="str">
        <f>'Collection Worksheet'!C36</f>
        <v>General Fund-Balance Sheet</v>
      </c>
      <c r="C30" s="179" t="str">
        <f>'Collection Worksheet'!D36</f>
        <v xml:space="preserve">All unrestricted cash and investments.  
Exclude restricted cash and cash held by a third party. </v>
      </c>
      <c r="D30" s="383"/>
      <c r="E30" s="385">
        <f>'Collection Worksheet'!F36</f>
        <v>0</v>
      </c>
      <c r="F30" s="159">
        <f>IF(L30&lt;0,"Error: Number is normally positive.",)</f>
        <v>0</v>
      </c>
      <c r="G30" s="227"/>
      <c r="H30" s="169">
        <f>'Collection Worksheet'!I36</f>
        <v>0</v>
      </c>
      <c r="I30" s="160"/>
      <c r="J30" s="162">
        <v>506</v>
      </c>
      <c r="K30" s="158" t="s">
        <v>133</v>
      </c>
      <c r="L30" s="218">
        <f t="shared" si="1"/>
        <v>0</v>
      </c>
      <c r="P30" s="391"/>
      <c r="S30" s="271"/>
      <c r="U30" s="326" t="b">
        <f t="shared" si="0"/>
        <v>1</v>
      </c>
    </row>
    <row r="31" spans="1:21" ht="45.75" customHeight="1" x14ac:dyDescent="0.25">
      <c r="A31" s="188">
        <v>536</v>
      </c>
      <c r="B31" s="198" t="str">
        <f>'Collection Worksheet'!C37</f>
        <v>General Fund-Balance Sheet</v>
      </c>
      <c r="C31" s="179" t="str">
        <f>'Collection Worksheet'!D37</f>
        <v>All restricted cash and investments</v>
      </c>
      <c r="D31" s="383"/>
      <c r="E31" s="385">
        <f>'Collection Worksheet'!F37</f>
        <v>0</v>
      </c>
      <c r="F31" s="159">
        <f>IF(L31&lt;0,"Error: Number is normally positive.",)</f>
        <v>0</v>
      </c>
      <c r="G31" s="227"/>
      <c r="H31" s="169">
        <f>'Collection Worksheet'!I37</f>
        <v>0</v>
      </c>
      <c r="I31" s="160"/>
      <c r="J31" s="162">
        <v>536</v>
      </c>
      <c r="K31" s="158" t="s">
        <v>134</v>
      </c>
      <c r="L31" s="218">
        <f t="shared" si="1"/>
        <v>0</v>
      </c>
      <c r="P31" s="391"/>
      <c r="S31" s="271"/>
      <c r="U31" s="326" t="b">
        <f t="shared" si="0"/>
        <v>1</v>
      </c>
    </row>
    <row r="32" spans="1:21" s="187" customFormat="1" ht="45.75" customHeight="1" x14ac:dyDescent="0.25">
      <c r="A32" s="188">
        <v>586</v>
      </c>
      <c r="B32" s="197" t="str">
        <f>'Collection Worksheet'!C38</f>
        <v>General Fund-Balance Sheet</v>
      </c>
      <c r="C32" s="260" t="str">
        <f>'Collection Worksheet'!D38</f>
        <v>Advance To: Interfund loan receivable-portion of repayment plan longer than 12 months</v>
      </c>
      <c r="D32" s="383"/>
      <c r="E32" s="384">
        <f>'Collection Worksheet'!F38</f>
        <v>0</v>
      </c>
      <c r="F32" s="175"/>
      <c r="G32" s="226"/>
      <c r="H32" s="169"/>
      <c r="I32" s="160"/>
      <c r="J32" s="163">
        <v>586</v>
      </c>
      <c r="K32" s="260" t="s">
        <v>223</v>
      </c>
      <c r="L32" s="213">
        <f t="shared" si="1"/>
        <v>0</v>
      </c>
      <c r="P32" s="391"/>
      <c r="Q32" s="190"/>
      <c r="S32" s="271"/>
      <c r="U32" s="326" t="b">
        <f t="shared" si="0"/>
        <v>1</v>
      </c>
    </row>
    <row r="33" spans="1:21" ht="30" x14ac:dyDescent="0.25">
      <c r="A33" s="188">
        <f>'Collection Worksheet'!A39</f>
        <v>379</v>
      </c>
      <c r="B33" s="197" t="str">
        <f>'Collection Worksheet'!C39</f>
        <v>General Fund-Balance Sheet</v>
      </c>
      <c r="C33" s="186" t="str">
        <f>'Collection Worksheet'!D39</f>
        <v>Total Assets and deferred outflows</v>
      </c>
      <c r="D33" s="383"/>
      <c r="E33" s="384">
        <f>'Collection Worksheet'!F39</f>
        <v>0</v>
      </c>
      <c r="F33" s="292">
        <f>IF((L30+L31)&gt;L33,"Error: Please review accts (506+536)&gt;379",)</f>
        <v>0</v>
      </c>
      <c r="G33" s="226" t="str">
        <f>IF(Q33=1," Included in error count"," ")</f>
        <v xml:space="preserve"> </v>
      </c>
      <c r="H33" s="169">
        <f>'Collection Worksheet'!I39</f>
        <v>0</v>
      </c>
      <c r="I33" s="160"/>
      <c r="J33" s="163">
        <v>379</v>
      </c>
      <c r="K33" s="158" t="s">
        <v>72</v>
      </c>
      <c r="L33" s="181">
        <f t="shared" si="1"/>
        <v>0</v>
      </c>
      <c r="P33" s="391"/>
      <c r="Q33" s="190" t="b">
        <f>IF(L30+L31&gt;L33,1)</f>
        <v>0</v>
      </c>
      <c r="S33" s="271"/>
      <c r="U33" s="326" t="b">
        <f t="shared" si="0"/>
        <v>1</v>
      </c>
    </row>
    <row r="34" spans="1:21" ht="70.5" customHeight="1" x14ac:dyDescent="0.25">
      <c r="A34" s="188">
        <f>'Collection Worksheet'!A40</f>
        <v>4</v>
      </c>
      <c r="B34" s="198" t="str">
        <f>'Collection Worksheet'!C40</f>
        <v>General Fund-Balance Sheet</v>
      </c>
      <c r="C34" s="179" t="str">
        <f>'Collection Worksheet'!D40</f>
        <v>Current Liabilities 
Exclude all deferred inflows. 
Include advance from(long-term portion of interfund loans)</v>
      </c>
      <c r="D34" s="383"/>
      <c r="E34" s="385">
        <f>'Collection Worksheet'!F40</f>
        <v>0</v>
      </c>
      <c r="F34" s="159">
        <f>IF(L34&lt;0,"Error: Enter as a positive.",)</f>
        <v>0</v>
      </c>
      <c r="G34" s="227"/>
      <c r="H34" s="169">
        <f>'Collection Worksheet'!I40</f>
        <v>0</v>
      </c>
      <c r="I34" s="160"/>
      <c r="J34" s="162">
        <v>4</v>
      </c>
      <c r="K34" s="158" t="s">
        <v>73</v>
      </c>
      <c r="L34" s="218">
        <f t="shared" si="1"/>
        <v>0</v>
      </c>
      <c r="P34" s="391"/>
      <c r="S34" s="271"/>
      <c r="U34" s="326" t="b">
        <f t="shared" si="0"/>
        <v>1</v>
      </c>
    </row>
    <row r="35" spans="1:21" ht="131.25" customHeight="1" x14ac:dyDescent="0.25">
      <c r="A35" s="188">
        <f>'Collection Worksheet'!A41</f>
        <v>5</v>
      </c>
      <c r="B35" s="198" t="str">
        <f>'Collection Worksheet'!C41</f>
        <v>General Fund-Balance Sheet</v>
      </c>
      <c r="C35" s="179" t="str">
        <f>'Collection Worksheet'!D41</f>
        <v>General fund deferred inflows derived from cash receipts. 
 Prepaid taxes is a common item listed.  Deferred inflows on the face of the statements can include cash and non-cash.  You may have to refer to the note disclosure where the cash and non-cash is broken out.</v>
      </c>
      <c r="D35" s="383"/>
      <c r="E35" s="385">
        <f>'Collection Worksheet'!F41</f>
        <v>0</v>
      </c>
      <c r="F35" s="159">
        <f>IF(L35&lt;0,"Error: Enter as a positive.",)</f>
        <v>0</v>
      </c>
      <c r="G35" s="227"/>
      <c r="H35" s="169">
        <f>'Collection Worksheet'!I41</f>
        <v>0</v>
      </c>
      <c r="I35" s="160"/>
      <c r="J35" s="162">
        <v>5</v>
      </c>
      <c r="K35" s="158" t="s">
        <v>74</v>
      </c>
      <c r="L35" s="218">
        <f t="shared" si="1"/>
        <v>0</v>
      </c>
      <c r="P35" s="391"/>
      <c r="S35" s="271"/>
      <c r="U35" s="326" t="b">
        <f t="shared" si="0"/>
        <v>1</v>
      </c>
    </row>
    <row r="36" spans="1:21" ht="104.25" customHeight="1" x14ac:dyDescent="0.25">
      <c r="A36" s="188">
        <f>'Collection Worksheet'!A42</f>
        <v>380</v>
      </c>
      <c r="B36" s="197" t="str">
        <f>'Collection Worksheet'!C42</f>
        <v>General Fund-Balance Sheet</v>
      </c>
      <c r="C36" s="186" t="str">
        <f>'Collection Worksheet'!D42</f>
        <v>Total Deferred inflows not derived from cash receipts.  Deferred inflows on the face of the statements can include cash and non-cash.  You may have to refer to the note disclosure where the cash and non-cash is broken out.</v>
      </c>
      <c r="D36" s="383"/>
      <c r="E36" s="384">
        <f>'Collection Worksheet'!F42</f>
        <v>0</v>
      </c>
      <c r="F36" s="175">
        <f>IF(L36&lt;0,"Error: Enter as a positive.",)</f>
        <v>0</v>
      </c>
      <c r="G36" s="226"/>
      <c r="H36" s="169">
        <f>'Collection Worksheet'!I42</f>
        <v>0</v>
      </c>
      <c r="I36" s="160"/>
      <c r="J36" s="163">
        <v>380</v>
      </c>
      <c r="K36" s="158" t="s">
        <v>75</v>
      </c>
      <c r="L36" s="181">
        <f t="shared" si="1"/>
        <v>0</v>
      </c>
      <c r="P36" s="391"/>
      <c r="S36" s="271"/>
      <c r="U36" s="326" t="b">
        <f t="shared" si="0"/>
        <v>1</v>
      </c>
    </row>
    <row r="37" spans="1:21" ht="30" x14ac:dyDescent="0.25">
      <c r="A37" s="188">
        <f>'Collection Worksheet'!A43</f>
        <v>391</v>
      </c>
      <c r="B37" s="197" t="str">
        <f>'Collection Worksheet'!C43</f>
        <v>General Fund-Balance Sheet</v>
      </c>
      <c r="C37" s="186" t="str">
        <f>'Collection Worksheet'!D43</f>
        <v xml:space="preserve">Fund balance, Restricted for Stabilization by State Statute </v>
      </c>
      <c r="D37" s="383"/>
      <c r="E37" s="384">
        <f>'Collection Worksheet'!F43</f>
        <v>0</v>
      </c>
      <c r="F37" s="175">
        <f>IF(L37&lt;0,"Error: Enter as a positive.",)</f>
        <v>0</v>
      </c>
      <c r="G37" s="226" t="str">
        <f>IF(Q37=1, "included in error count", "")</f>
        <v/>
      </c>
      <c r="H37" s="169">
        <f>'Collection Worksheet'!I43</f>
        <v>0</v>
      </c>
      <c r="I37" s="160"/>
      <c r="J37" s="163">
        <v>391</v>
      </c>
      <c r="K37" s="158" t="s">
        <v>135</v>
      </c>
      <c r="L37" s="181">
        <f t="shared" si="1"/>
        <v>0</v>
      </c>
      <c r="P37" s="391"/>
      <c r="S37" s="271"/>
      <c r="U37" s="326" t="b">
        <f t="shared" si="0"/>
        <v>1</v>
      </c>
    </row>
    <row r="38" spans="1:21" ht="30" x14ac:dyDescent="0.25">
      <c r="A38" s="188">
        <f>'Collection Worksheet'!A44</f>
        <v>7</v>
      </c>
      <c r="B38" s="198" t="str">
        <f>'Collection Worksheet'!C44</f>
        <v>General Fund-Balance Sheet</v>
      </c>
      <c r="C38" s="179" t="str">
        <f>'Collection Worksheet'!D44</f>
        <v>Fund balance, Nonspendable-  inventory/prepaids/etc.</v>
      </c>
      <c r="D38" s="383"/>
      <c r="E38" s="385">
        <f>'Collection Worksheet'!F44</f>
        <v>0</v>
      </c>
      <c r="F38" s="159">
        <f>IF(L38&lt;0,"Error: Enter as a positive.",)</f>
        <v>0</v>
      </c>
      <c r="G38" s="227"/>
      <c r="H38" s="169">
        <f>'Collection Worksheet'!I44</f>
        <v>0</v>
      </c>
      <c r="I38" s="160"/>
      <c r="J38" s="162">
        <v>7</v>
      </c>
      <c r="K38" s="158" t="s">
        <v>136</v>
      </c>
      <c r="L38" s="218">
        <f t="shared" si="1"/>
        <v>0</v>
      </c>
      <c r="P38" s="391"/>
      <c r="S38" s="271"/>
      <c r="U38" s="326" t="b">
        <f t="shared" si="0"/>
        <v>1</v>
      </c>
    </row>
    <row r="39" spans="1:21" ht="55.5" customHeight="1" x14ac:dyDescent="0.25">
      <c r="A39" s="188">
        <f>'Collection Worksheet'!A45</f>
        <v>9</v>
      </c>
      <c r="B39" s="198" t="str">
        <f>'Collection Worksheet'!C45</f>
        <v>General Fund-Balance Sheet</v>
      </c>
      <c r="C39" s="179" t="str">
        <f>'Collection Worksheet'!D45</f>
        <v>Total Fund balance (enter fund deficits as negative)</v>
      </c>
      <c r="D39" s="383"/>
      <c r="E39" s="385">
        <f>'Collection Worksheet'!F45</f>
        <v>0</v>
      </c>
      <c r="F39" s="185">
        <f>IF(L33-L34-L35-L36-L39=0,,"Error: Total assets less total liabilities do not equal Acct +379-4-5-380-9=0")</f>
        <v>0</v>
      </c>
      <c r="G39" s="291">
        <f>L33-L34-L35-L36-L39</f>
        <v>0</v>
      </c>
      <c r="H39" s="169">
        <f>'Collection Worksheet'!I45</f>
        <v>0</v>
      </c>
      <c r="I39" s="160"/>
      <c r="J39" s="162">
        <v>9</v>
      </c>
      <c r="K39" s="158" t="s">
        <v>137</v>
      </c>
      <c r="L39" s="218">
        <f t="shared" si="1"/>
        <v>0</v>
      </c>
      <c r="O39" s="151" t="e">
        <f>'Collection Worksheet'!E45</f>
        <v>#N/A</v>
      </c>
      <c r="P39" s="391"/>
      <c r="Q39" s="190" t="b">
        <f>IF(G39&lt;&gt;0,1)</f>
        <v>0</v>
      </c>
      <c r="S39" s="271"/>
      <c r="U39" s="326" t="b">
        <f t="shared" si="0"/>
        <v>1</v>
      </c>
    </row>
    <row r="40" spans="1:21" ht="45" x14ac:dyDescent="0.25">
      <c r="A40" s="188">
        <f>'Collection Worksheet'!A47</f>
        <v>16</v>
      </c>
      <c r="B40" s="197" t="str">
        <f>'Collection Worksheet'!C47</f>
        <v>General Fund-Rev, Exp. Change in Fund Balance</v>
      </c>
      <c r="C40" s="186" t="str">
        <f>'Collection Worksheet'!D47</f>
        <v>Total revenues</v>
      </c>
      <c r="D40" s="383"/>
      <c r="E40" s="384">
        <f>'Collection Worksheet'!F47</f>
        <v>0</v>
      </c>
      <c r="F40" s="175"/>
      <c r="G40" s="226"/>
      <c r="H40" s="169">
        <f>'Collection Worksheet'!I47</f>
        <v>0</v>
      </c>
      <c r="I40" s="160"/>
      <c r="J40" s="163">
        <v>16</v>
      </c>
      <c r="K40" s="158" t="s">
        <v>138</v>
      </c>
      <c r="L40" s="213">
        <f t="shared" ref="L40:L56" si="3">IF(D40="",E40,D40)</f>
        <v>0</v>
      </c>
      <c r="P40" s="391"/>
      <c r="S40" s="271"/>
      <c r="U40" s="326" t="b">
        <f t="shared" si="0"/>
        <v>1</v>
      </c>
    </row>
    <row r="41" spans="1:21" ht="60" x14ac:dyDescent="0.25">
      <c r="A41" s="188">
        <f>'Collection Worksheet'!A48</f>
        <v>532</v>
      </c>
      <c r="B41" s="197" t="str">
        <f>'Collection Worksheet'!C48</f>
        <v>General Fund-Rev, Exp. Change in Fund Balance</v>
      </c>
      <c r="C41" s="186" t="str">
        <f>'Collection Worksheet'!D48</f>
        <v xml:space="preserve">Total expenditures  
Exclude expenditures in the "other financing sources (uses)" section.
</v>
      </c>
      <c r="D41" s="383"/>
      <c r="E41" s="384">
        <f>'Collection Worksheet'!F48</f>
        <v>0</v>
      </c>
      <c r="F41" s="175">
        <f t="shared" ref="F41:F46" si="4">IF(L41&lt;0,"Error: Enter as a positive.",)</f>
        <v>0</v>
      </c>
      <c r="G41" s="226"/>
      <c r="H41" s="169">
        <f>'Collection Worksheet'!I48</f>
        <v>0</v>
      </c>
      <c r="I41" s="160"/>
      <c r="J41" s="163">
        <v>532</v>
      </c>
      <c r="K41" s="173" t="s">
        <v>140</v>
      </c>
      <c r="L41" s="213">
        <f t="shared" si="3"/>
        <v>0</v>
      </c>
      <c r="P41" s="391"/>
      <c r="S41" s="271"/>
      <c r="U41" s="326" t="b">
        <f t="shared" si="0"/>
        <v>1</v>
      </c>
    </row>
    <row r="42" spans="1:21" ht="45" x14ac:dyDescent="0.25">
      <c r="A42" s="188">
        <f>'Collection Worksheet'!A49</f>
        <v>17</v>
      </c>
      <c r="B42" s="197" t="str">
        <f>'Collection Worksheet'!C49</f>
        <v>General Fund-Rev, Exp. Change in Fund Balance</v>
      </c>
      <c r="C42" s="186" t="str">
        <f>'Collection Worksheet'!D49</f>
        <v>Total Transfers in    (Preference is that transfers-in  are not netted against transfers-out)</v>
      </c>
      <c r="D42" s="383"/>
      <c r="E42" s="384">
        <f>'Collection Worksheet'!F49</f>
        <v>0</v>
      </c>
      <c r="F42" s="175">
        <f t="shared" si="4"/>
        <v>0</v>
      </c>
      <c r="G42" s="226"/>
      <c r="H42" s="169">
        <f>'Collection Worksheet'!I49</f>
        <v>0</v>
      </c>
      <c r="I42" s="160"/>
      <c r="J42" s="163">
        <v>17</v>
      </c>
      <c r="K42" s="158" t="s">
        <v>141</v>
      </c>
      <c r="L42" s="213">
        <f t="shared" si="3"/>
        <v>0</v>
      </c>
      <c r="P42" s="391"/>
      <c r="S42" s="271"/>
      <c r="U42" s="326" t="b">
        <f t="shared" si="0"/>
        <v>1</v>
      </c>
    </row>
    <row r="43" spans="1:21" ht="45" x14ac:dyDescent="0.25">
      <c r="A43" s="188">
        <f>'Collection Worksheet'!A50</f>
        <v>20</v>
      </c>
      <c r="B43" s="197" t="str">
        <f>'Collection Worksheet'!C50</f>
        <v>General Fund-Rev, Exp. Change in Fund Balance</v>
      </c>
      <c r="C43" s="186" t="str">
        <f>'Collection Worksheet'!D50</f>
        <v>Total Transfers out    (Preference is that transfers-in  are not netted against transfers-out)</v>
      </c>
      <c r="D43" s="383"/>
      <c r="E43" s="384">
        <f>'Collection Worksheet'!F50</f>
        <v>0</v>
      </c>
      <c r="F43" s="175">
        <f t="shared" si="4"/>
        <v>0</v>
      </c>
      <c r="G43" s="226"/>
      <c r="H43" s="169">
        <f>'Collection Worksheet'!I50</f>
        <v>0</v>
      </c>
      <c r="I43" s="160"/>
      <c r="J43" s="163">
        <v>20</v>
      </c>
      <c r="K43" s="158" t="s">
        <v>142</v>
      </c>
      <c r="L43" s="213">
        <f t="shared" si="3"/>
        <v>0</v>
      </c>
      <c r="P43" s="391"/>
      <c r="S43" s="271"/>
      <c r="U43" s="326" t="b">
        <f t="shared" si="0"/>
        <v>1</v>
      </c>
    </row>
    <row r="44" spans="1:21" ht="45" x14ac:dyDescent="0.25">
      <c r="A44" s="188">
        <f>'Collection Worksheet'!A51</f>
        <v>533</v>
      </c>
      <c r="B44" s="197" t="str">
        <f>'Collection Worksheet'!C51</f>
        <v>General Fund-Rev, Exp. Change in Fund Balance</v>
      </c>
      <c r="C44" s="186" t="str">
        <f>'Collection Worksheet'!D51</f>
        <v>Total Proceeds from all long-term debt issuances 
Exclude proceeds from refundings</v>
      </c>
      <c r="D44" s="383"/>
      <c r="E44" s="384">
        <f>'Collection Worksheet'!F51</f>
        <v>0</v>
      </c>
      <c r="F44" s="175">
        <f t="shared" si="4"/>
        <v>0</v>
      </c>
      <c r="G44" s="226"/>
      <c r="H44" s="169">
        <f>'Collection Worksheet'!I51</f>
        <v>0</v>
      </c>
      <c r="I44" s="160"/>
      <c r="J44" s="163">
        <v>533</v>
      </c>
      <c r="K44" s="173" t="s">
        <v>143</v>
      </c>
      <c r="L44" s="213">
        <f t="shared" si="3"/>
        <v>0</v>
      </c>
      <c r="P44" s="391"/>
      <c r="S44" s="271"/>
      <c r="U44" s="326" t="b">
        <f t="shared" si="0"/>
        <v>1</v>
      </c>
    </row>
    <row r="45" spans="1:21" ht="45" x14ac:dyDescent="0.25">
      <c r="A45" s="188">
        <f>'Collection Worksheet'!A52</f>
        <v>508</v>
      </c>
      <c r="B45" s="197" t="str">
        <f>'Collection Worksheet'!C52</f>
        <v>General Fund-Rev, Exp. Change in Fund Balance</v>
      </c>
      <c r="C45" s="186" t="str">
        <f>'Collection Worksheet'!D52</f>
        <v>Debt Refunding - Net refunding proceeds against debt payoff and if positive place results on this line.</v>
      </c>
      <c r="D45" s="383"/>
      <c r="E45" s="384">
        <f>'Collection Worksheet'!F52</f>
        <v>0</v>
      </c>
      <c r="F45" s="175">
        <f t="shared" si="4"/>
        <v>0</v>
      </c>
      <c r="G45" s="226"/>
      <c r="H45" s="169">
        <f>'Collection Worksheet'!I52</f>
        <v>0</v>
      </c>
      <c r="I45" s="160"/>
      <c r="J45" s="163">
        <v>508</v>
      </c>
      <c r="K45" s="158" t="s">
        <v>145</v>
      </c>
      <c r="L45" s="213">
        <f t="shared" si="3"/>
        <v>0</v>
      </c>
      <c r="P45" s="391"/>
      <c r="S45" s="271"/>
      <c r="U45" s="326" t="b">
        <f t="shared" si="0"/>
        <v>1</v>
      </c>
    </row>
    <row r="46" spans="1:21" ht="45" x14ac:dyDescent="0.25">
      <c r="A46" s="188">
        <f>'Collection Worksheet'!A53</f>
        <v>509</v>
      </c>
      <c r="B46" s="197" t="str">
        <f>'Collection Worksheet'!C53</f>
        <v>General Fund-Rev, Exp. Change in Fund Balance</v>
      </c>
      <c r="C46" s="186" t="str">
        <f>'Collection Worksheet'!D53</f>
        <v>Debt Refunding - Net refunding proceeds against debt payoff and if negative place results on this line.</v>
      </c>
      <c r="D46" s="383"/>
      <c r="E46" s="384">
        <f>'Collection Worksheet'!F53</f>
        <v>0</v>
      </c>
      <c r="F46" s="175">
        <f t="shared" si="4"/>
        <v>0</v>
      </c>
      <c r="G46" s="226"/>
      <c r="H46" s="169">
        <f>'Collection Worksheet'!I53</f>
        <v>0</v>
      </c>
      <c r="I46" s="160"/>
      <c r="J46" s="163">
        <v>509</v>
      </c>
      <c r="K46" s="158" t="s">
        <v>146</v>
      </c>
      <c r="L46" s="213">
        <f t="shared" si="3"/>
        <v>0</v>
      </c>
      <c r="P46" s="391"/>
      <c r="S46" s="271"/>
      <c r="U46" s="326" t="b">
        <f t="shared" si="0"/>
        <v>1</v>
      </c>
    </row>
    <row r="47" spans="1:21" ht="75" x14ac:dyDescent="0.25">
      <c r="A47" s="188">
        <f>'Collection Worksheet'!A54</f>
        <v>22</v>
      </c>
      <c r="B47" s="197" t="str">
        <f>'Collection Worksheet'!C54</f>
        <v>General Fund-Rev, Exp. Change in Fund Balance</v>
      </c>
      <c r="C47" s="186" t="str">
        <f>'Collection Worksheet'!D54</f>
        <v xml:space="preserve">All other items on this statement that were not included in total revenues, total expenditures, transfers in or out, or proceeds from long-term debt above.  </v>
      </c>
      <c r="D47" s="383"/>
      <c r="E47" s="384">
        <f>'Collection Worksheet'!F54</f>
        <v>0</v>
      </c>
      <c r="F47" s="175"/>
      <c r="G47" s="226"/>
      <c r="H47" s="169">
        <f>'Collection Worksheet'!I54</f>
        <v>0</v>
      </c>
      <c r="I47" s="160"/>
      <c r="J47" s="163">
        <v>22</v>
      </c>
      <c r="K47" s="158" t="s">
        <v>144</v>
      </c>
      <c r="L47" s="213">
        <f t="shared" si="3"/>
        <v>0</v>
      </c>
      <c r="P47" s="391"/>
      <c r="S47" s="271"/>
      <c r="U47" s="326" t="b">
        <f t="shared" si="0"/>
        <v>1</v>
      </c>
    </row>
    <row r="48" spans="1:21" ht="66.75" customHeight="1" x14ac:dyDescent="0.25">
      <c r="A48" s="188">
        <f>'Collection Worksheet'!A55</f>
        <v>23</v>
      </c>
      <c r="B48" s="197" t="str">
        <f>'Collection Worksheet'!C55</f>
        <v>General Fund-Rev, Exp. Change in Fund Balance</v>
      </c>
      <c r="C48" s="186" t="str">
        <f>'Collection Worksheet'!D55</f>
        <v>Change in fund balance - (Increase in Fund balance is recorded as a positive and a decrease in fund balance is recorded as a negative)</v>
      </c>
      <c r="D48" s="383"/>
      <c r="E48" s="384">
        <f>'Collection Worksheet'!F55</f>
        <v>0</v>
      </c>
      <c r="F48" s="175">
        <f>IF(+L40-L41+L42-L43+L44+L45-L46+L47-L48=0,,"Error:Total revenues less toal Expenditures do not equal change in fund balance")</f>
        <v>0</v>
      </c>
      <c r="G48" s="294">
        <f>+L40-L41+L42-L43+L44+L47+L45+L46-L48</f>
        <v>0</v>
      </c>
      <c r="H48" s="169">
        <f>'Collection Worksheet'!I55</f>
        <v>0</v>
      </c>
      <c r="I48" s="160"/>
      <c r="J48" s="163">
        <v>23</v>
      </c>
      <c r="K48" s="158" t="s">
        <v>147</v>
      </c>
      <c r="L48" s="213">
        <f t="shared" si="3"/>
        <v>0</v>
      </c>
      <c r="P48" s="391"/>
      <c r="Q48" s="190" t="b">
        <f>IF(G48&lt;&gt;0,1)</f>
        <v>0</v>
      </c>
      <c r="S48" s="271"/>
      <c r="U48" s="326" t="b">
        <f t="shared" si="0"/>
        <v>1</v>
      </c>
    </row>
    <row r="49" spans="1:21" ht="111.75" customHeight="1" x14ac:dyDescent="0.25">
      <c r="A49" s="188">
        <f>'Collection Worksheet'!A56</f>
        <v>507</v>
      </c>
      <c r="B49" s="197" t="str">
        <f>'Collection Worksheet'!C56</f>
        <v>General Fund-Rev, Exp. Change in Fund Balance</v>
      </c>
      <c r="C49" s="186" t="str">
        <f>'Collection Worksheet'!D56</f>
        <v>Any adjustment to beginning fund balance including rounding, prior period adjustments and restatements.   (Amounts that increase fund balance are recorded as positive and amounts that decrease fund balance are recorded as negative)</v>
      </c>
      <c r="D49" s="383"/>
      <c r="E49" s="384">
        <f>'Collection Worksheet'!F56</f>
        <v>0</v>
      </c>
      <c r="F49" s="175" t="e">
        <f>IF(+L39-L48-L49=O39,,"Error: Beginning Fund Bal does not equal our records Accts 9-23-507= prior year 9")</f>
        <v>#N/A</v>
      </c>
      <c r="G49" s="294" t="e">
        <f>L39-L48-L49-O39</f>
        <v>#N/A</v>
      </c>
      <c r="H49" s="169">
        <f>'Collection Worksheet'!I56</f>
        <v>0</v>
      </c>
      <c r="I49" s="160"/>
      <c r="J49" s="163">
        <v>507</v>
      </c>
      <c r="K49" s="158" t="s">
        <v>148</v>
      </c>
      <c r="L49" s="213">
        <f t="shared" si="3"/>
        <v>0</v>
      </c>
      <c r="O49" s="151"/>
      <c r="P49" s="391"/>
      <c r="Q49" s="190" t="e">
        <f>IF(G49&lt;&gt;0,1)</f>
        <v>#N/A</v>
      </c>
      <c r="S49" s="271"/>
      <c r="U49" s="326" t="b">
        <f t="shared" si="0"/>
        <v>1</v>
      </c>
    </row>
    <row r="50" spans="1:21" s="4" customFormat="1" ht="67.5" x14ac:dyDescent="0.25">
      <c r="A50" s="188">
        <f>'Collection Worksheet'!A58</f>
        <v>534</v>
      </c>
      <c r="B50" s="197" t="str">
        <f>'Collection Worksheet'!C58</f>
        <v>Statement of Net Position - combined totals from all Proprietary Funds</v>
      </c>
      <c r="C50" s="260" t="str">
        <f>'Collection Worksheet'!D58</f>
        <v>Combined Totals of all Proprietary Funds - Amount of Inventories and Prepaids in current assets</v>
      </c>
      <c r="D50" s="383"/>
      <c r="E50" s="384">
        <f>'Collection Worksheet'!F58</f>
        <v>0</v>
      </c>
      <c r="F50" s="175">
        <f>IF(L50&lt;0,"Error: Number is normally positive.",)</f>
        <v>0</v>
      </c>
      <c r="G50" s="175">
        <f>'Collection Worksheet'!G58</f>
        <v>0</v>
      </c>
      <c r="H50" s="169">
        <f>'Collection Worksheet'!I58</f>
        <v>0</v>
      </c>
      <c r="I50" s="289"/>
      <c r="J50" s="163">
        <v>534</v>
      </c>
      <c r="K50" s="284" t="s">
        <v>160</v>
      </c>
      <c r="L50" s="213">
        <f t="shared" si="3"/>
        <v>0</v>
      </c>
      <c r="P50" s="391"/>
      <c r="Q50" s="240"/>
      <c r="U50" s="326" t="b">
        <f t="shared" si="0"/>
        <v>1</v>
      </c>
    </row>
    <row r="51" spans="1:21" s="4" customFormat="1" ht="67.5" x14ac:dyDescent="0.25">
      <c r="A51" s="188">
        <f>'Collection Worksheet'!A59</f>
        <v>13</v>
      </c>
      <c r="B51" s="197" t="str">
        <f>'Collection Worksheet'!C59</f>
        <v>Statement of Net Position - combined totals from all Proprietary Funds</v>
      </c>
      <c r="C51" s="260" t="str">
        <f>'Collection Worksheet'!D59</f>
        <v>Comb-Proprietary Funds-Current Assets 
Exclude: any restricted assets
                  deferred outflows.</v>
      </c>
      <c r="D51" s="383"/>
      <c r="E51" s="384">
        <f>'Collection Worksheet'!F59</f>
        <v>0</v>
      </c>
      <c r="F51" s="175">
        <f>IF(L51&lt;0,"Error: Number is normally positive.",)</f>
        <v>0</v>
      </c>
      <c r="G51" s="226"/>
      <c r="H51" s="169">
        <f>'Collection Worksheet'!I59</f>
        <v>0</v>
      </c>
      <c r="I51" s="289"/>
      <c r="J51" s="163">
        <v>13</v>
      </c>
      <c r="K51" s="284" t="s">
        <v>327</v>
      </c>
      <c r="L51" s="213">
        <f t="shared" si="3"/>
        <v>0</v>
      </c>
      <c r="P51" s="391"/>
      <c r="Q51" s="240"/>
      <c r="U51" s="326" t="b">
        <f t="shared" si="0"/>
        <v>1</v>
      </c>
    </row>
    <row r="52" spans="1:21" s="187" customFormat="1" ht="180" x14ac:dyDescent="0.25">
      <c r="A52" s="188">
        <f>'Collection Worksheet'!A60</f>
        <v>14</v>
      </c>
      <c r="B52" s="197" t="str">
        <f>'Collection Worksheet'!C60</f>
        <v>Statement of Net Position - combined totals from all Proprietary Funds</v>
      </c>
      <c r="C52" s="260" t="str">
        <f>'Collection Worksheet'!D60</f>
        <v>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v>
      </c>
      <c r="D52" s="383"/>
      <c r="E52" s="384">
        <f>'Collection Worksheet'!F60</f>
        <v>0</v>
      </c>
      <c r="F52" s="175"/>
      <c r="G52" s="226"/>
      <c r="H52" s="169"/>
      <c r="I52" s="160"/>
      <c r="J52" s="163">
        <v>14</v>
      </c>
      <c r="K52" s="284" t="s">
        <v>328</v>
      </c>
      <c r="L52" s="213">
        <f t="shared" si="3"/>
        <v>0</v>
      </c>
      <c r="P52" s="391"/>
      <c r="Q52" s="190"/>
      <c r="S52" s="271"/>
      <c r="U52" s="326" t="b">
        <f t="shared" si="0"/>
        <v>1</v>
      </c>
    </row>
    <row r="53" spans="1:21" ht="78.75" x14ac:dyDescent="0.25">
      <c r="A53" s="188">
        <f>'Collection Worksheet'!A61</f>
        <v>32</v>
      </c>
      <c r="B53" s="197" t="str">
        <f>'Collection Worksheet'!C61</f>
        <v>Rev,, Exp. &amp; Changes in Net Position-combined totals from all proprietary funds</v>
      </c>
      <c r="C53" s="186" t="str">
        <f>'Collection Worksheet'!D61</f>
        <v>Combined Totals of all Proprietary Funds - Depreciation &amp; Amortization Expense (Enter as a Positive)</v>
      </c>
      <c r="D53" s="383"/>
      <c r="E53" s="384">
        <f>'Collection Worksheet'!F61</f>
        <v>0</v>
      </c>
      <c r="F53" s="175"/>
      <c r="G53" s="226"/>
      <c r="H53" s="169">
        <f>'Collection Worksheet'!I61</f>
        <v>0</v>
      </c>
      <c r="I53" s="160"/>
      <c r="J53" s="163">
        <v>32</v>
      </c>
      <c r="K53" s="158" t="s">
        <v>325</v>
      </c>
      <c r="L53" s="213">
        <f t="shared" si="3"/>
        <v>0</v>
      </c>
      <c r="P53" s="391"/>
      <c r="S53" s="271"/>
      <c r="U53" s="326" t="b">
        <f t="shared" si="0"/>
        <v>1</v>
      </c>
    </row>
    <row r="54" spans="1:21" ht="78.75" x14ac:dyDescent="0.25">
      <c r="A54" s="188">
        <f>'Collection Worksheet'!A62</f>
        <v>31</v>
      </c>
      <c r="B54" s="197" t="str">
        <f>'Collection Worksheet'!C62</f>
        <v>Rev,, Exp. &amp; Changes in Net Position-combined totals from all proprietary funds</v>
      </c>
      <c r="C54" s="186" t="str">
        <f>'Collection Worksheet'!D62</f>
        <v>Combined Totals of all Proprietary Funds - Change in net position - (increase in net position is recorded as a positive and a decrease in net position is recorded as a negative)</v>
      </c>
      <c r="D54" s="383"/>
      <c r="E54" s="384">
        <f>'Collection Worksheet'!F62</f>
        <v>0</v>
      </c>
      <c r="F54" s="175"/>
      <c r="G54" s="226"/>
      <c r="H54" s="169">
        <f>'Collection Worksheet'!I62</f>
        <v>0</v>
      </c>
      <c r="I54" s="160"/>
      <c r="J54" s="163">
        <v>31</v>
      </c>
      <c r="K54" s="158" t="s">
        <v>324</v>
      </c>
      <c r="L54" s="213">
        <f t="shared" si="3"/>
        <v>0</v>
      </c>
      <c r="P54" s="391"/>
      <c r="Q54" s="175">
        <f>IF((+L50+L51+L53)&lt;=L54,,"")</f>
        <v>0</v>
      </c>
      <c r="S54" s="271"/>
      <c r="U54" s="326" t="b">
        <f t="shared" si="0"/>
        <v>1</v>
      </c>
    </row>
    <row r="55" spans="1:21" ht="64.150000000000006" customHeight="1" x14ac:dyDescent="0.25">
      <c r="A55" s="188">
        <f>'Collection Worksheet'!A63</f>
        <v>193</v>
      </c>
      <c r="B55" s="197" t="str">
        <f>'Collection Worksheet'!C63</f>
        <v>Rev,, Exp. &amp; Changes in Net Position-combined totals from all proprietary funds</v>
      </c>
      <c r="C55" s="186" t="str">
        <f>'Collection Worksheet'!D63</f>
        <v>Combined Totals of all Proprietary Funds - Capital Contributions</v>
      </c>
      <c r="D55" s="383"/>
      <c r="E55" s="384">
        <f>'Collection Worksheet'!F63</f>
        <v>0</v>
      </c>
      <c r="F55" s="175"/>
      <c r="G55" s="226"/>
      <c r="H55" s="169">
        <f>'Collection Worksheet'!I63</f>
        <v>0</v>
      </c>
      <c r="I55" s="160"/>
      <c r="J55" s="163">
        <v>193</v>
      </c>
      <c r="K55" s="158" t="s">
        <v>178</v>
      </c>
      <c r="L55" s="213">
        <f t="shared" si="3"/>
        <v>0</v>
      </c>
      <c r="P55" s="391"/>
      <c r="Q55" s="175">
        <f>IF(L54&lt;=L55,,"1")</f>
        <v>0</v>
      </c>
      <c r="S55" s="271"/>
      <c r="U55" s="326" t="b">
        <f t="shared" si="0"/>
        <v>1</v>
      </c>
    </row>
    <row r="56" spans="1:21" s="4" customFormat="1" ht="42.75" customHeight="1" x14ac:dyDescent="0.25">
      <c r="A56" s="283">
        <f>'Collection Worksheet'!A64</f>
        <v>33</v>
      </c>
      <c r="B56" s="197" t="str">
        <f>'Collection Worksheet'!C64</f>
        <v>Cash Flows- all proprietary funds</v>
      </c>
      <c r="C56" s="260" t="str">
        <f>'Collection Worksheet'!D64</f>
        <v>Combined Totals of all Proprietary Funds - Cash Flow from Operating</v>
      </c>
      <c r="D56" s="383"/>
      <c r="E56" s="384">
        <f>'Collection Worksheet'!F64</f>
        <v>0</v>
      </c>
      <c r="F56" s="175"/>
      <c r="G56" s="226"/>
      <c r="H56" s="169"/>
      <c r="I56" s="160"/>
      <c r="J56" s="163">
        <v>33</v>
      </c>
      <c r="K56" s="284" t="s">
        <v>177</v>
      </c>
      <c r="L56" s="213">
        <f t="shared" si="3"/>
        <v>0</v>
      </c>
      <c r="P56" s="391"/>
      <c r="Q56" s="244"/>
      <c r="U56" s="326" t="b">
        <f t="shared" si="0"/>
        <v>1</v>
      </c>
    </row>
    <row r="57" spans="1:21" s="68" customFormat="1" ht="60" x14ac:dyDescent="0.25">
      <c r="A57" s="188">
        <f>'Collection Worksheet'!A66</f>
        <v>512</v>
      </c>
      <c r="B57" s="197" t="str">
        <f>'Collection Worksheet'!C66</f>
        <v>Fiduciary Statements</v>
      </c>
      <c r="C57" s="186" t="str">
        <f>'Collection Worksheet'!D66</f>
        <v>Cash and investments.  
Include:  unrestricted and restricted.  
                 cash and investments held by a third party</v>
      </c>
      <c r="D57" s="383"/>
      <c r="E57" s="384">
        <f>'Collection Worksheet'!F66</f>
        <v>0</v>
      </c>
      <c r="F57" s="175">
        <f>IF(L57&lt;0,"Error: Number is normally positive.",)</f>
        <v>0</v>
      </c>
      <c r="G57" s="226"/>
      <c r="H57" s="169">
        <f>'Collection Worksheet'!I66</f>
        <v>0</v>
      </c>
      <c r="I57" s="160"/>
      <c r="J57" s="163">
        <v>512</v>
      </c>
      <c r="K57" s="158" t="s">
        <v>151</v>
      </c>
      <c r="L57" s="181">
        <f t="shared" ref="L57:L73" si="5">IF(D57="",E57,D57)</f>
        <v>0</v>
      </c>
      <c r="P57" s="391"/>
      <c r="Q57" s="190"/>
      <c r="S57" s="271"/>
      <c r="U57" s="326" t="b">
        <f t="shared" si="0"/>
        <v>1</v>
      </c>
    </row>
    <row r="58" spans="1:21" s="332" customFormat="1" ht="119.25" customHeight="1" x14ac:dyDescent="0.25">
      <c r="A58" s="341">
        <f>'Collection Worksheet'!A68</f>
        <v>622</v>
      </c>
      <c r="B58" s="340" t="str">
        <f>'Collection Worksheet'!C68</f>
        <v>FS., Pension note or RSI</v>
      </c>
      <c r="C58" s="339" t="str">
        <f>'Collection Worksheet'!D68</f>
        <v xml:space="preserve">Unit's Share of Net Pension Liability ($s)
- unit of government is a participating employer in the State's TSERS (Teachers' and State Employees' Retirement System) or the LGERS (Local Governmental Employees' Retirement System).  </v>
      </c>
      <c r="D58" s="383"/>
      <c r="E58" s="386">
        <f>'Collection Worksheet'!F68</f>
        <v>0</v>
      </c>
      <c r="F58" s="353"/>
      <c r="G58" s="354"/>
      <c r="H58" s="355"/>
      <c r="I58" s="327"/>
      <c r="J58" s="370">
        <v>622</v>
      </c>
      <c r="K58" s="371" t="s">
        <v>397</v>
      </c>
      <c r="L58" s="356">
        <f t="shared" si="5"/>
        <v>0</v>
      </c>
      <c r="P58" s="391"/>
      <c r="Q58" s="330"/>
      <c r="U58" s="332" t="b">
        <f t="shared" si="0"/>
        <v>1</v>
      </c>
    </row>
    <row r="59" spans="1:21" s="332" customFormat="1" ht="240" x14ac:dyDescent="0.25">
      <c r="A59" s="188">
        <f>'Collection Worksheet'!A70</f>
        <v>577</v>
      </c>
      <c r="B59" s="197" t="str">
        <f>'Collection Worksheet'!C70</f>
        <v>Pension Notes</v>
      </c>
      <c r="C59" s="260" t="str">
        <f>'Collection Worksheet'!D70</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59" s="387"/>
      <c r="E59" s="388">
        <f>'Collection Worksheet'!F70</f>
        <v>0</v>
      </c>
      <c r="F59" s="207" t="str">
        <f>'Collection Worksheet'!G70</f>
        <v xml:space="preserve"> </v>
      </c>
      <c r="G59" s="226"/>
      <c r="H59" s="169">
        <f>'Collection Worksheet'!I70</f>
        <v>0</v>
      </c>
      <c r="I59" s="160"/>
      <c r="J59" s="163">
        <v>577</v>
      </c>
      <c r="K59" s="304" t="s">
        <v>338</v>
      </c>
      <c r="L59" s="213" t="str">
        <f>IF(E59="Yes",1,IF(E59="No",,""))</f>
        <v/>
      </c>
      <c r="P59" s="391"/>
      <c r="Q59" s="330"/>
    </row>
    <row r="60" spans="1:21" s="4" customFormat="1" ht="136.5" customHeight="1" x14ac:dyDescent="0.25">
      <c r="A60" s="210">
        <f>'Collection Worksheet'!A72</f>
        <v>547</v>
      </c>
      <c r="B60" s="197" t="str">
        <f>'Collection Worksheet'!C72</f>
        <v>OPEB Note</v>
      </c>
      <c r="C60" s="309" t="str">
        <f>'Collection Worksheet'!D72</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60" s="383"/>
      <c r="E60" s="384">
        <f>'Collection Worksheet'!F72</f>
        <v>0</v>
      </c>
      <c r="F60" s="175" t="str">
        <f>IF(L60&lt;1,"Please answer this question","")</f>
        <v>Please answer this question</v>
      </c>
      <c r="G60" s="226"/>
      <c r="H60" s="169">
        <f>'Collection Worksheet'!I72</f>
        <v>0</v>
      </c>
      <c r="I60" s="160"/>
      <c r="J60" s="163">
        <v>547</v>
      </c>
      <c r="K60" s="211" t="s">
        <v>201</v>
      </c>
      <c r="L60" s="181">
        <f t="shared" si="5"/>
        <v>0</v>
      </c>
      <c r="M60" s="57"/>
      <c r="P60" s="391"/>
      <c r="Q60" s="240"/>
      <c r="S60" s="271"/>
      <c r="U60" s="326" t="b">
        <f t="shared" si="0"/>
        <v>1</v>
      </c>
    </row>
    <row r="61" spans="1:21" s="314" customFormat="1" ht="30" x14ac:dyDescent="0.25">
      <c r="A61" s="210">
        <f>'Collection Worksheet'!A73</f>
        <v>607</v>
      </c>
      <c r="B61" s="197" t="str">
        <f>'Collection Worksheet'!C73</f>
        <v>OPEB
 Note or RSI</v>
      </c>
      <c r="C61" s="309" t="str">
        <f>'Collection Worksheet'!D73</f>
        <v>Health benefits - total OPEB liability</v>
      </c>
      <c r="D61" s="383"/>
      <c r="E61" s="384">
        <f>'Collection Worksheet'!F73</f>
        <v>0</v>
      </c>
      <c r="F61" s="175">
        <f>IF(L61&lt;0,"Error: Enter as a positive.",)</f>
        <v>0</v>
      </c>
      <c r="G61" s="226"/>
      <c r="H61" s="169">
        <f>'Collection Worksheet'!I73</f>
        <v>0</v>
      </c>
      <c r="I61" s="316"/>
      <c r="J61" s="373">
        <v>607</v>
      </c>
      <c r="K61" s="374" t="s">
        <v>357</v>
      </c>
      <c r="L61" s="213">
        <f>IF(D61="",E61,D61)</f>
        <v>0</v>
      </c>
      <c r="M61" s="315"/>
      <c r="P61" s="391"/>
      <c r="Q61" s="317"/>
      <c r="S61" s="313"/>
      <c r="U61" s="326" t="b">
        <f t="shared" si="0"/>
        <v>1</v>
      </c>
    </row>
    <row r="62" spans="1:21" s="314" customFormat="1" ht="30" x14ac:dyDescent="0.25">
      <c r="A62" s="210">
        <f>'Collection Worksheet'!A74</f>
        <v>608</v>
      </c>
      <c r="B62" s="197" t="str">
        <f>'Collection Worksheet'!C74</f>
        <v>OPEB
 Note or RSI</v>
      </c>
      <c r="C62" s="309" t="str">
        <f>'Collection Worksheet'!D74</f>
        <v>Health benefits- OPEB plan fiduciary net position</v>
      </c>
      <c r="D62" s="383"/>
      <c r="E62" s="384">
        <f>'Collection Worksheet'!F74</f>
        <v>0</v>
      </c>
      <c r="F62" s="175">
        <f>IF(L62&lt;0,"Note: Number is normally positive.",)</f>
        <v>0</v>
      </c>
      <c r="G62" s="226"/>
      <c r="H62" s="169">
        <f>'Collection Worksheet'!I74</f>
        <v>0</v>
      </c>
      <c r="I62" s="316"/>
      <c r="J62" s="329">
        <v>608</v>
      </c>
      <c r="K62" s="328" t="s">
        <v>358</v>
      </c>
      <c r="L62" s="213">
        <f t="shared" si="5"/>
        <v>0</v>
      </c>
      <c r="M62" s="315"/>
      <c r="P62" s="391"/>
      <c r="Q62" s="317"/>
      <c r="S62" s="313"/>
      <c r="U62" s="326" t="b">
        <f t="shared" si="0"/>
        <v>1</v>
      </c>
    </row>
    <row r="63" spans="1:21" s="314" customFormat="1" ht="89.25" x14ac:dyDescent="0.25">
      <c r="A63" s="210">
        <f>'Collection Worksheet'!A75</f>
        <v>609</v>
      </c>
      <c r="B63" s="197" t="str">
        <f>'Collection Worksheet'!C75</f>
        <v>OPEB
RSI</v>
      </c>
      <c r="C63" s="309" t="str">
        <f>'Collection Worksheet'!D75</f>
        <v>Health benefits - What is the plan’s fiduciary net position as a percentage of the total OPEB liability?  Please enter as percentage value; for example, 83.5% should be entered as 83.5.  If assets have not been set aside in a trust, please enter 0.0</v>
      </c>
      <c r="D63" s="389"/>
      <c r="E63" s="390">
        <f>'Collection Worksheet'!F75</f>
        <v>0</v>
      </c>
      <c r="F63" s="175" t="str">
        <f>IF(H63=L63,"","Column L does not equal Column H")</f>
        <v/>
      </c>
      <c r="G63" s="226"/>
      <c r="H63" s="372">
        <f>ROUND(IFERROR((L62/L61)*100,0),1)</f>
        <v>0</v>
      </c>
      <c r="I63" s="316"/>
      <c r="J63" s="329">
        <v>609</v>
      </c>
      <c r="K63" s="374" t="s">
        <v>379</v>
      </c>
      <c r="L63" s="375">
        <f t="shared" si="5"/>
        <v>0</v>
      </c>
      <c r="M63" s="315"/>
      <c r="P63" s="391"/>
      <c r="Q63" s="323" t="str">
        <f>IF(H63=L63,"",1)</f>
        <v/>
      </c>
      <c r="S63" s="313"/>
      <c r="U63" s="326" t="b">
        <f t="shared" si="0"/>
        <v>1</v>
      </c>
    </row>
    <row r="64" spans="1:21" s="314" customFormat="1" ht="30" x14ac:dyDescent="0.25">
      <c r="A64" s="210">
        <f>'Collection Worksheet'!A76</f>
        <v>610</v>
      </c>
      <c r="B64" s="197" t="str">
        <f>'Collection Worksheet'!C76</f>
        <v>OPEB
 Note or RSI</v>
      </c>
      <c r="C64" s="309" t="str">
        <f>'Collection Worksheet'!D76</f>
        <v>Vision benefits - total OPEB liability</v>
      </c>
      <c r="D64" s="383"/>
      <c r="E64" s="384">
        <f>'Collection Worksheet'!F76</f>
        <v>0</v>
      </c>
      <c r="F64" s="175">
        <f>IF(L64&lt;0,"Error: Enter as a positive.",)</f>
        <v>0</v>
      </c>
      <c r="G64" s="226"/>
      <c r="H64" s="169">
        <f>'Collection Worksheet'!I76</f>
        <v>0</v>
      </c>
      <c r="I64" s="316"/>
      <c r="J64" s="329">
        <v>610</v>
      </c>
      <c r="K64" s="328" t="s">
        <v>361</v>
      </c>
      <c r="L64" s="213">
        <f t="shared" si="5"/>
        <v>0</v>
      </c>
      <c r="M64" s="315"/>
      <c r="P64" s="391"/>
      <c r="Q64" s="317"/>
      <c r="S64" s="313"/>
      <c r="U64" s="326" t="b">
        <f t="shared" si="0"/>
        <v>1</v>
      </c>
    </row>
    <row r="65" spans="1:21" s="314" customFormat="1" ht="30" x14ac:dyDescent="0.25">
      <c r="A65" s="210">
        <f>'Collection Worksheet'!A77</f>
        <v>611</v>
      </c>
      <c r="B65" s="197" t="str">
        <f>'Collection Worksheet'!C77</f>
        <v>OPEB
 Note or RSI</v>
      </c>
      <c r="C65" s="309" t="str">
        <f>'Collection Worksheet'!D77</f>
        <v>Vision benefits - OPEB plan fiduciary net position</v>
      </c>
      <c r="D65" s="383"/>
      <c r="E65" s="384">
        <f>'Collection Worksheet'!F77</f>
        <v>0</v>
      </c>
      <c r="F65" s="175">
        <f>IF(L65&lt;0,"Note: Number is normally positive.",)</f>
        <v>0</v>
      </c>
      <c r="G65" s="226"/>
      <c r="H65" s="169">
        <f>'Collection Worksheet'!I77</f>
        <v>0</v>
      </c>
      <c r="I65" s="316"/>
      <c r="J65" s="329">
        <v>611</v>
      </c>
      <c r="K65" s="328" t="s">
        <v>362</v>
      </c>
      <c r="L65" s="213">
        <f t="shared" si="5"/>
        <v>0</v>
      </c>
      <c r="M65" s="315"/>
      <c r="P65" s="391"/>
      <c r="Q65" s="317"/>
      <c r="S65" s="313"/>
      <c r="U65" s="326" t="b">
        <f t="shared" si="0"/>
        <v>1</v>
      </c>
    </row>
    <row r="66" spans="1:21" s="314" customFormat="1" ht="89.25" x14ac:dyDescent="0.25">
      <c r="A66" s="210">
        <f>'Collection Worksheet'!A78</f>
        <v>612</v>
      </c>
      <c r="B66" s="197" t="str">
        <f>'Collection Worksheet'!C78</f>
        <v>OPEB
RSI</v>
      </c>
      <c r="C66" s="309" t="str">
        <f>'Collection Worksheet'!D78</f>
        <v>Vision benefits - What is the plan’s fiduciary net position as a percentage of the total OPEB liability?  Please enter as percentage value; for example, 83.5% should be entered as 83.5.  If assets have not been set aside in a trust, please enter 0.0</v>
      </c>
      <c r="D66" s="389"/>
      <c r="E66" s="390">
        <f>'Collection Worksheet'!F78</f>
        <v>0</v>
      </c>
      <c r="F66" s="175" t="str">
        <f>IF(H66=L66,"","Column L does not equal Column H")</f>
        <v/>
      </c>
      <c r="G66" s="226"/>
      <c r="H66" s="372">
        <f>ROUND(IFERROR((L65/L64)*100,0),1)</f>
        <v>0</v>
      </c>
      <c r="I66" s="316"/>
      <c r="J66" s="329">
        <v>612</v>
      </c>
      <c r="K66" s="374" t="s">
        <v>380</v>
      </c>
      <c r="L66" s="375">
        <f t="shared" si="5"/>
        <v>0</v>
      </c>
      <c r="M66" s="315"/>
      <c r="P66" s="391"/>
      <c r="Q66" s="323" t="str">
        <f>IF(H66=L66,"",1)</f>
        <v/>
      </c>
      <c r="S66" s="313"/>
      <c r="U66" s="326" t="b">
        <f t="shared" si="0"/>
        <v>1</v>
      </c>
    </row>
    <row r="67" spans="1:21" s="314" customFormat="1" ht="30" x14ac:dyDescent="0.25">
      <c r="A67" s="210">
        <f>'Collection Worksheet'!A79</f>
        <v>613</v>
      </c>
      <c r="B67" s="197" t="str">
        <f>'Collection Worksheet'!C79</f>
        <v>OPEB
 Note or RSI</v>
      </c>
      <c r="C67" s="309" t="str">
        <f>'Collection Worksheet'!D79</f>
        <v>Dental benefits - total OPEB liability</v>
      </c>
      <c r="D67" s="383"/>
      <c r="E67" s="384">
        <f>'Collection Worksheet'!F79</f>
        <v>0</v>
      </c>
      <c r="F67" s="175">
        <f>IF(L67&lt;0,"Error: Enter as a positive.",)</f>
        <v>0</v>
      </c>
      <c r="G67" s="226"/>
      <c r="H67" s="169">
        <f>'Collection Worksheet'!I79</f>
        <v>0</v>
      </c>
      <c r="I67" s="316"/>
      <c r="J67" s="329">
        <v>613</v>
      </c>
      <c r="K67" s="328" t="s">
        <v>364</v>
      </c>
      <c r="L67" s="213">
        <f t="shared" si="5"/>
        <v>0</v>
      </c>
      <c r="M67" s="315"/>
      <c r="P67" s="391"/>
      <c r="Q67" s="317"/>
      <c r="S67" s="313"/>
      <c r="U67" s="326" t="b">
        <f t="shared" si="0"/>
        <v>1</v>
      </c>
    </row>
    <row r="68" spans="1:21" s="314" customFormat="1" ht="30" x14ac:dyDescent="0.25">
      <c r="A68" s="210">
        <f>'Collection Worksheet'!A80</f>
        <v>614</v>
      </c>
      <c r="B68" s="197" t="str">
        <f>'Collection Worksheet'!C80</f>
        <v>OPEB
 Note or RSI</v>
      </c>
      <c r="C68" s="309" t="str">
        <f>'Collection Worksheet'!D80</f>
        <v>Dental benefits - OPEB plan fiduciary net position</v>
      </c>
      <c r="D68" s="383"/>
      <c r="E68" s="384">
        <f>'Collection Worksheet'!F80</f>
        <v>0</v>
      </c>
      <c r="F68" s="175">
        <f>IF(L68&lt;0,"Note: Number is normally positive.",)</f>
        <v>0</v>
      </c>
      <c r="G68" s="226"/>
      <c r="H68" s="169">
        <f>'Collection Worksheet'!I80</f>
        <v>0</v>
      </c>
      <c r="I68" s="316"/>
      <c r="J68" s="329">
        <v>614</v>
      </c>
      <c r="K68" s="328" t="s">
        <v>365</v>
      </c>
      <c r="L68" s="213">
        <f t="shared" si="5"/>
        <v>0</v>
      </c>
      <c r="M68" s="315"/>
      <c r="P68" s="391"/>
      <c r="Q68" s="317"/>
      <c r="S68" s="313"/>
      <c r="U68" s="326" t="b">
        <f t="shared" si="0"/>
        <v>1</v>
      </c>
    </row>
    <row r="69" spans="1:21" s="314" customFormat="1" ht="89.25" x14ac:dyDescent="0.25">
      <c r="A69" s="210">
        <f>'Collection Worksheet'!A81</f>
        <v>615</v>
      </c>
      <c r="B69" s="197" t="str">
        <f>'Collection Worksheet'!C81</f>
        <v>OPEB
RSI</v>
      </c>
      <c r="C69" s="309" t="str">
        <f>'Collection Worksheet'!D81</f>
        <v>Dental benefits - What is the plan’s fiduciary net position as a percentage of the total OPEB liability?  Please enter as percentage value; for example, 83.5% should be entered as 83.5.  If assets have not been set aside in a trust, please enter 0.0</v>
      </c>
      <c r="D69" s="389"/>
      <c r="E69" s="390">
        <f>'Collection Worksheet'!F81</f>
        <v>0</v>
      </c>
      <c r="F69" s="175" t="str">
        <f>IF(H69=L69,"","Column L does not equal Column H")</f>
        <v/>
      </c>
      <c r="G69" s="226"/>
      <c r="H69" s="372">
        <f>ROUND(IFERROR((L68/L67)*100,0),1)</f>
        <v>0</v>
      </c>
      <c r="I69" s="316"/>
      <c r="J69" s="329">
        <v>615</v>
      </c>
      <c r="K69" s="374" t="s">
        <v>381</v>
      </c>
      <c r="L69" s="375">
        <f t="shared" si="5"/>
        <v>0</v>
      </c>
      <c r="M69" s="315"/>
      <c r="P69" s="391"/>
      <c r="Q69" s="323" t="str">
        <f>IF(H69=L69,"",1)</f>
        <v/>
      </c>
      <c r="S69" s="313"/>
      <c r="U69" s="326" t="b">
        <f t="shared" si="0"/>
        <v>1</v>
      </c>
    </row>
    <row r="70" spans="1:21" s="314" customFormat="1" ht="30" x14ac:dyDescent="0.25">
      <c r="A70" s="210">
        <f>'Collection Worksheet'!A82</f>
        <v>616</v>
      </c>
      <c r="B70" s="197" t="str">
        <f>'Collection Worksheet'!C82</f>
        <v>OPEB
 Note or RSI</v>
      </c>
      <c r="C70" s="309" t="str">
        <f>'Collection Worksheet'!D82</f>
        <v>Other benefits - total OPEB liability</v>
      </c>
      <c r="D70" s="383"/>
      <c r="E70" s="384">
        <f>'Collection Worksheet'!F82</f>
        <v>0</v>
      </c>
      <c r="F70" s="175">
        <f>IF(L70&lt;0,"Error: Enter as a positive.",)</f>
        <v>0</v>
      </c>
      <c r="G70" s="226"/>
      <c r="H70" s="169">
        <f>'Collection Worksheet'!I82</f>
        <v>0</v>
      </c>
      <c r="I70" s="316"/>
      <c r="J70" s="329">
        <v>616</v>
      </c>
      <c r="K70" s="328" t="s">
        <v>367</v>
      </c>
      <c r="L70" s="213">
        <f t="shared" si="5"/>
        <v>0</v>
      </c>
      <c r="M70" s="315"/>
      <c r="P70" s="391"/>
      <c r="Q70" s="317"/>
      <c r="S70" s="313"/>
      <c r="U70" s="326" t="b">
        <f t="shared" si="0"/>
        <v>1</v>
      </c>
    </row>
    <row r="71" spans="1:21" s="314" customFormat="1" ht="30" x14ac:dyDescent="0.25">
      <c r="A71" s="210">
        <f>'Collection Worksheet'!A83</f>
        <v>617</v>
      </c>
      <c r="B71" s="197" t="str">
        <f>'Collection Worksheet'!C83</f>
        <v>OPEB
 Note or RSI</v>
      </c>
      <c r="C71" s="309" t="str">
        <f>'Collection Worksheet'!D83</f>
        <v>Other benefits - OPEB plan fiduciary net position</v>
      </c>
      <c r="D71" s="383"/>
      <c r="E71" s="384">
        <f>'Collection Worksheet'!F83</f>
        <v>0</v>
      </c>
      <c r="F71" s="175">
        <f>IF(L71&lt;0,"Note: Number is normally positive.",)</f>
        <v>0</v>
      </c>
      <c r="G71" s="226"/>
      <c r="H71" s="169">
        <f>'Collection Worksheet'!I83</f>
        <v>0</v>
      </c>
      <c r="I71" s="316"/>
      <c r="J71" s="329">
        <v>617</v>
      </c>
      <c r="K71" s="328" t="s">
        <v>368</v>
      </c>
      <c r="L71" s="213">
        <f t="shared" si="5"/>
        <v>0</v>
      </c>
      <c r="M71" s="315"/>
      <c r="P71" s="391"/>
      <c r="Q71" s="317"/>
      <c r="S71" s="313"/>
      <c r="U71" s="326" t="b">
        <f t="shared" si="0"/>
        <v>1</v>
      </c>
    </row>
    <row r="72" spans="1:21" s="314" customFormat="1" ht="89.25" x14ac:dyDescent="0.25">
      <c r="A72" s="210">
        <f>'Collection Worksheet'!A84</f>
        <v>618</v>
      </c>
      <c r="B72" s="197" t="str">
        <f>'Collection Worksheet'!C84</f>
        <v>OPEB
RSI</v>
      </c>
      <c r="C72" s="309" t="str">
        <f>'Collection Worksheet'!D84</f>
        <v>Other benefits  - What is the plan’s fiduciary net position as a percentage of the total OPEB liability?  Please enter as percentage value; for example, 83.5% should be entered as 83.5.  If assets have not been set aside in a trust, please enter 0.0</v>
      </c>
      <c r="D72" s="389"/>
      <c r="E72" s="390">
        <f>'Collection Worksheet'!F84</f>
        <v>0</v>
      </c>
      <c r="F72" s="175" t="str">
        <f>IF(H72=L72,"","Column L does not equal Column H")</f>
        <v/>
      </c>
      <c r="G72" s="226"/>
      <c r="H72" s="372">
        <f>ROUND(IFERROR((L71/L70)*100,0),1)</f>
        <v>0</v>
      </c>
      <c r="I72" s="316"/>
      <c r="J72" s="329">
        <v>618</v>
      </c>
      <c r="K72" s="374" t="s">
        <v>382</v>
      </c>
      <c r="L72" s="375">
        <f t="shared" si="5"/>
        <v>0</v>
      </c>
      <c r="M72" s="315"/>
      <c r="P72" s="391"/>
      <c r="Q72" s="323" t="str">
        <f>IF(H72=L72,"",1)</f>
        <v/>
      </c>
      <c r="S72" s="313"/>
      <c r="U72" s="326" t="b">
        <f>EXACT(A72,J72)</f>
        <v>1</v>
      </c>
    </row>
    <row r="73" spans="1:21" ht="60" x14ac:dyDescent="0.25">
      <c r="A73" s="172">
        <f>'Collection Worksheet'!A87</f>
        <v>6</v>
      </c>
      <c r="B73" s="198" t="str">
        <f>'Collection Worksheet'!C87</f>
        <v>Fund Balance Note</v>
      </c>
      <c r="C73" s="179" t="str">
        <f>'Collection Worksheet'!D87</f>
        <v>General Fund -  Total Encumbrances.  You will probably have to refer to the note disclosure where the amount of encumbrances is listed.</v>
      </c>
      <c r="D73" s="383"/>
      <c r="E73" s="385">
        <f>'Collection Worksheet'!F87</f>
        <v>0</v>
      </c>
      <c r="F73" s="159">
        <f>IF(L73&lt;0,"Error: Enter as a positive.",)</f>
        <v>0</v>
      </c>
      <c r="G73" s="227"/>
      <c r="H73" s="169">
        <f>'Collection Worksheet'!I87</f>
        <v>0</v>
      </c>
      <c r="I73" s="160"/>
      <c r="J73" s="319">
        <v>6</v>
      </c>
      <c r="K73" s="333" t="s">
        <v>155</v>
      </c>
      <c r="L73" s="318">
        <f t="shared" si="5"/>
        <v>0</v>
      </c>
      <c r="P73" s="391"/>
      <c r="S73" s="271"/>
      <c r="U73" s="326" t="b">
        <f>EXACT(A73,J73)</f>
        <v>1</v>
      </c>
    </row>
    <row r="74" spans="1:21" s="348" customFormat="1" ht="86.25" x14ac:dyDescent="0.25">
      <c r="A74" s="341">
        <f>'Collection Worksheet'!A89</f>
        <v>620</v>
      </c>
      <c r="B74" s="340"/>
      <c r="C74" s="339" t="str">
        <f>'Collection Worksheet'!D89</f>
        <v>Do you expect to issue debt requiring LGC approval within 12 months from the date that the audit is submitted - select "1" for year and "2" for no</v>
      </c>
      <c r="D74" s="383"/>
      <c r="E74" s="386">
        <f>'Collection Worksheet'!F89</f>
        <v>0</v>
      </c>
      <c r="F74" s="353"/>
      <c r="G74" s="354"/>
      <c r="H74" s="355">
        <f>'Collection Worksheet'!I89</f>
        <v>0</v>
      </c>
      <c r="I74" s="327"/>
      <c r="J74" s="350">
        <v>620</v>
      </c>
      <c r="K74" s="351" t="s">
        <v>377</v>
      </c>
      <c r="L74" s="357">
        <f>IF(D74="",E74,D74)</f>
        <v>0</v>
      </c>
      <c r="P74" s="391"/>
      <c r="Q74" s="349"/>
    </row>
    <row r="75" spans="1:21" s="187" customFormat="1" ht="200.25" x14ac:dyDescent="0.25">
      <c r="A75" s="188"/>
      <c r="B75" s="199"/>
      <c r="C75" s="205"/>
      <c r="D75" s="175"/>
      <c r="E75" s="175"/>
      <c r="F75" s="175"/>
      <c r="G75" s="226"/>
      <c r="H75" s="168"/>
      <c r="I75" s="160"/>
      <c r="J75" s="376" t="s">
        <v>370</v>
      </c>
      <c r="K75" s="377" t="s">
        <v>371</v>
      </c>
      <c r="L75" s="378"/>
      <c r="M75" s="321"/>
      <c r="P75" s="391"/>
      <c r="Q75" s="190"/>
      <c r="S75" s="271"/>
    </row>
    <row r="76" spans="1:21" s="271" customFormat="1" ht="146.25" customHeight="1" x14ac:dyDescent="0.25">
      <c r="A76" s="188"/>
      <c r="B76" s="199"/>
      <c r="C76" s="260"/>
      <c r="D76" s="175"/>
      <c r="E76" s="175"/>
      <c r="F76" s="175"/>
      <c r="G76" s="226"/>
      <c r="H76" s="168"/>
      <c r="I76" s="160"/>
      <c r="J76" s="311">
        <v>625</v>
      </c>
      <c r="K76" s="380" t="s">
        <v>398</v>
      </c>
      <c r="L76" s="312"/>
      <c r="M76" s="321"/>
      <c r="P76" s="391"/>
      <c r="Q76" s="190"/>
    </row>
    <row r="77" spans="1:21" s="326" customFormat="1" ht="60" customHeight="1" x14ac:dyDescent="0.25">
      <c r="A77" s="329"/>
      <c r="B77" s="199"/>
      <c r="C77" s="328"/>
      <c r="D77" s="175"/>
      <c r="E77" s="175"/>
      <c r="F77" s="175"/>
      <c r="G77" s="226"/>
      <c r="H77" s="168"/>
      <c r="I77" s="327"/>
      <c r="J77" s="376" t="s">
        <v>373</v>
      </c>
      <c r="K77" s="377" t="s">
        <v>400</v>
      </c>
      <c r="L77" s="379"/>
      <c r="M77" s="322"/>
      <c r="P77" s="391"/>
      <c r="Q77" s="330"/>
    </row>
    <row r="78" spans="1:21" x14ac:dyDescent="0.25">
      <c r="A78" s="297"/>
      <c r="B78" s="298"/>
      <c r="C78" s="299"/>
      <c r="D78" s="171"/>
      <c r="E78" s="184"/>
      <c r="F78" s="184"/>
      <c r="G78" s="228"/>
      <c r="H78" s="167"/>
      <c r="I78" s="160"/>
      <c r="J78" s="310" t="s">
        <v>191</v>
      </c>
      <c r="K78" s="334" t="s">
        <v>174</v>
      </c>
      <c r="L78" s="320" t="e">
        <f>HLOOKUP('Collection Worksheet'!$D$2,'2018 Data'!$D$1:$AF$203,119,FALSE)</f>
        <v>#N/A</v>
      </c>
      <c r="P78" s="391"/>
      <c r="S78" s="271"/>
    </row>
    <row r="79" spans="1:21" x14ac:dyDescent="0.25">
      <c r="A79" s="300"/>
      <c r="B79" s="301"/>
      <c r="C79" s="302"/>
      <c r="D79" s="178"/>
      <c r="E79" s="170"/>
      <c r="F79" s="170"/>
      <c r="G79" s="229"/>
      <c r="H79" s="166"/>
      <c r="I79" s="160"/>
      <c r="J79" s="303" t="s">
        <v>192</v>
      </c>
      <c r="K79" s="284" t="s">
        <v>175</v>
      </c>
      <c r="L79" s="290" t="e">
        <f>HLOOKUP('Collection Worksheet'!$D$2,'2018 Data'!$D$1:$AF$203,120,FALSE)</f>
        <v>#N/A</v>
      </c>
      <c r="P79" s="391"/>
      <c r="S79" s="271"/>
    </row>
    <row r="80" spans="1:21" x14ac:dyDescent="0.25">
      <c r="A80" s="21"/>
      <c r="B80" s="200"/>
      <c r="C80" s="193"/>
      <c r="D80" s="30"/>
      <c r="E80" s="26"/>
      <c r="F80" s="26"/>
      <c r="G80" s="230"/>
      <c r="H80" s="26"/>
      <c r="I80" s="160"/>
      <c r="K80" s="48"/>
      <c r="L80" s="215"/>
      <c r="P80" s="271"/>
      <c r="S80" s="271"/>
    </row>
    <row r="81" spans="1:19" x14ac:dyDescent="0.25">
      <c r="D81" s="30"/>
      <c r="E81" s="26"/>
      <c r="F81" s="26"/>
      <c r="G81" s="230"/>
      <c r="H81" s="26"/>
      <c r="I81" s="160"/>
      <c r="L81" s="215"/>
      <c r="P81" s="271"/>
      <c r="S81" s="271"/>
    </row>
    <row r="82" spans="1:19" x14ac:dyDescent="0.25">
      <c r="D82" s="30"/>
      <c r="E82" s="26"/>
      <c r="F82" s="26"/>
      <c r="G82" s="230"/>
      <c r="H82" s="26"/>
      <c r="I82" s="160"/>
      <c r="K82" s="48"/>
      <c r="L82" s="215"/>
      <c r="P82" s="271"/>
      <c r="S82" s="271"/>
    </row>
    <row r="83" spans="1:19" ht="45" x14ac:dyDescent="0.55000000000000004">
      <c r="A83" s="1">
        <f>'Collection Worksheet'!A69</f>
        <v>623</v>
      </c>
      <c r="C83" s="189" t="str">
        <f>'Collection Worksheet'!D69</f>
        <v>Please provide the name of any additional agencies included in the above net pension liability</v>
      </c>
      <c r="D83" s="30"/>
      <c r="E83" s="26">
        <f>'Collection Worksheet'!F69</f>
        <v>0</v>
      </c>
      <c r="F83" s="26"/>
      <c r="G83" s="230"/>
      <c r="H83" s="26"/>
      <c r="I83" s="160"/>
      <c r="J83" s="235" t="e">
        <f>SUM(Q4:Q82)</f>
        <v>#N/A</v>
      </c>
      <c r="K83" s="232" t="s">
        <v>210</v>
      </c>
      <c r="L83" s="308" t="e">
        <f>SUM(G5:G73)</f>
        <v>#N/A</v>
      </c>
      <c r="P83" s="271"/>
      <c r="Q83" s="241"/>
      <c r="S83" s="271"/>
    </row>
    <row r="84" spans="1:19" x14ac:dyDescent="0.25">
      <c r="D84" s="30"/>
      <c r="E84" s="26"/>
      <c r="F84" s="26"/>
      <c r="G84" s="230"/>
      <c r="H84" s="26"/>
      <c r="I84" s="160"/>
      <c r="K84" s="48"/>
      <c r="L84" s="215"/>
      <c r="P84" s="271"/>
      <c r="S84" s="271"/>
    </row>
    <row r="85" spans="1:19" x14ac:dyDescent="0.25">
      <c r="D85" s="30"/>
      <c r="E85" s="26"/>
      <c r="F85" s="26"/>
      <c r="G85" s="230"/>
      <c r="H85" s="26"/>
      <c r="I85" s="160"/>
      <c r="K85" s="48"/>
      <c r="L85" s="215"/>
      <c r="P85" s="271"/>
      <c r="S85" s="271"/>
    </row>
    <row r="86" spans="1:19" x14ac:dyDescent="0.25">
      <c r="A86" s="21"/>
      <c r="B86" s="200"/>
      <c r="C86" s="193"/>
      <c r="D86" s="30"/>
      <c r="E86" s="26"/>
      <c r="F86" s="26"/>
      <c r="G86" s="230"/>
      <c r="H86" s="26"/>
      <c r="I86" s="160"/>
      <c r="K86" s="48"/>
      <c r="L86" s="215"/>
      <c r="P86" s="271"/>
    </row>
    <row r="87" spans="1:19" x14ac:dyDescent="0.25">
      <c r="A87" s="21"/>
      <c r="B87" s="200"/>
      <c r="C87" s="193"/>
      <c r="D87" s="30"/>
      <c r="E87" s="26"/>
      <c r="F87" s="26"/>
      <c r="G87" s="230"/>
      <c r="H87" s="26"/>
      <c r="I87" s="160"/>
      <c r="K87" s="48"/>
      <c r="L87" s="215"/>
      <c r="P87" s="271"/>
    </row>
    <row r="88" spans="1:19" x14ac:dyDescent="0.25">
      <c r="A88" s="21"/>
      <c r="B88" s="200"/>
      <c r="C88" s="193"/>
      <c r="D88" s="30"/>
      <c r="E88" s="26"/>
      <c r="F88" s="26"/>
      <c r="G88" s="230"/>
      <c r="H88" s="26"/>
      <c r="I88" s="160"/>
      <c r="K88" s="48"/>
      <c r="L88" s="215"/>
      <c r="P88" s="271"/>
    </row>
    <row r="89" spans="1:19" x14ac:dyDescent="0.25">
      <c r="D89" s="30"/>
      <c r="E89" s="26"/>
      <c r="F89" s="26"/>
      <c r="G89" s="230"/>
      <c r="H89" s="26"/>
      <c r="I89" s="160"/>
      <c r="K89" s="48"/>
      <c r="L89" s="215"/>
      <c r="P89" s="271"/>
    </row>
    <row r="90" spans="1:19" x14ac:dyDescent="0.25">
      <c r="D90" s="30"/>
      <c r="E90" s="26"/>
      <c r="F90" s="26"/>
      <c r="G90" s="230"/>
      <c r="H90" s="26"/>
      <c r="I90" s="160"/>
      <c r="K90" s="48"/>
      <c r="L90" s="215"/>
      <c r="P90" s="271"/>
    </row>
    <row r="91" spans="1:19" x14ac:dyDescent="0.25">
      <c r="A91" s="21"/>
      <c r="B91" s="200"/>
      <c r="C91" s="193"/>
      <c r="D91" s="30"/>
      <c r="E91" s="26"/>
      <c r="F91" s="26"/>
      <c r="G91" s="230"/>
      <c r="H91" s="26"/>
      <c r="I91" s="160"/>
      <c r="K91" s="48"/>
      <c r="L91" s="215"/>
      <c r="P91" s="271"/>
    </row>
    <row r="92" spans="1:19" x14ac:dyDescent="0.25">
      <c r="A92" s="21"/>
      <c r="B92" s="200"/>
      <c r="C92" s="193"/>
      <c r="D92" s="30"/>
      <c r="E92" s="26"/>
      <c r="F92" s="26"/>
      <c r="G92" s="230"/>
      <c r="H92" s="26"/>
      <c r="I92" s="160"/>
      <c r="K92" s="48"/>
      <c r="L92" s="215"/>
      <c r="P92" s="271"/>
    </row>
    <row r="93" spans="1:19" x14ac:dyDescent="0.25">
      <c r="A93" s="21"/>
      <c r="B93" s="200"/>
      <c r="C93" s="203"/>
      <c r="D93" s="204"/>
      <c r="E93" s="204"/>
      <c r="F93" s="205"/>
      <c r="G93" s="231"/>
      <c r="H93" s="26"/>
      <c r="I93" s="160"/>
      <c r="K93" s="48"/>
      <c r="L93" s="215"/>
      <c r="P93" s="271"/>
    </row>
    <row r="94" spans="1:19" x14ac:dyDescent="0.25">
      <c r="D94" s="31"/>
      <c r="P94" s="271"/>
    </row>
    <row r="95" spans="1:19" x14ac:dyDescent="0.25">
      <c r="D95" s="31"/>
      <c r="P95" s="271"/>
    </row>
    <row r="96" spans="1:19" x14ac:dyDescent="0.25">
      <c r="A96" s="21"/>
      <c r="B96" s="200"/>
      <c r="C96" s="193"/>
      <c r="D96" s="31"/>
      <c r="P96" s="271"/>
    </row>
    <row r="97" spans="1:16" x14ac:dyDescent="0.25">
      <c r="A97" s="21"/>
      <c r="B97" s="200"/>
      <c r="C97" s="193"/>
      <c r="D97" s="31"/>
      <c r="P97" s="271"/>
    </row>
    <row r="98" spans="1:16" x14ac:dyDescent="0.25">
      <c r="A98" s="21"/>
      <c r="B98" s="200"/>
      <c r="C98" s="193"/>
      <c r="D98" s="31"/>
      <c r="P98" s="271"/>
    </row>
    <row r="99" spans="1:16" x14ac:dyDescent="0.25">
      <c r="D99" s="31"/>
      <c r="P99" s="271"/>
    </row>
    <row r="100" spans="1:16" x14ac:dyDescent="0.25">
      <c r="D100" s="31"/>
      <c r="P100" s="271"/>
    </row>
    <row r="101" spans="1:16" x14ac:dyDescent="0.25">
      <c r="D101" s="31"/>
      <c r="P101" s="271"/>
    </row>
    <row r="102" spans="1:16" x14ac:dyDescent="0.25">
      <c r="D102" s="31"/>
      <c r="P102" s="271"/>
    </row>
    <row r="103" spans="1:16" x14ac:dyDescent="0.25">
      <c r="A103" s="21"/>
      <c r="B103" s="200"/>
      <c r="C103" s="193"/>
      <c r="D103" s="31"/>
      <c r="P103" s="271"/>
    </row>
    <row r="104" spans="1:16" x14ac:dyDescent="0.25">
      <c r="A104" s="21"/>
      <c r="B104" s="200"/>
      <c r="C104" s="193"/>
      <c r="D104" s="31"/>
      <c r="P104" s="271"/>
    </row>
    <row r="105" spans="1:16" x14ac:dyDescent="0.25">
      <c r="D105" s="31"/>
      <c r="P105" s="271"/>
    </row>
    <row r="106" spans="1:16" x14ac:dyDescent="0.25">
      <c r="D106" s="31"/>
      <c r="P106" s="271"/>
    </row>
    <row r="107" spans="1:16" x14ac:dyDescent="0.25">
      <c r="D107" s="31"/>
      <c r="P107" s="271"/>
    </row>
    <row r="108" spans="1:16" x14ac:dyDescent="0.25">
      <c r="D108" s="31"/>
      <c r="P108" s="271"/>
    </row>
    <row r="109" spans="1:16" x14ac:dyDescent="0.25">
      <c r="A109" s="21"/>
      <c r="B109" s="200"/>
      <c r="C109" s="193"/>
      <c r="D109" s="31"/>
      <c r="P109" s="271"/>
    </row>
    <row r="110" spans="1:16" x14ac:dyDescent="0.25">
      <c r="A110" s="21"/>
      <c r="B110" s="200"/>
      <c r="C110" s="193"/>
      <c r="D110" s="31"/>
      <c r="P110" s="271"/>
    </row>
    <row r="111" spans="1:16" x14ac:dyDescent="0.25">
      <c r="D111" s="31"/>
      <c r="P111" s="271"/>
    </row>
    <row r="112" spans="1:16" x14ac:dyDescent="0.25">
      <c r="D112" s="31"/>
      <c r="P112" s="271"/>
    </row>
    <row r="113" spans="1:16" x14ac:dyDescent="0.25">
      <c r="D113" s="31"/>
      <c r="P113" s="271"/>
    </row>
    <row r="114" spans="1:16" x14ac:dyDescent="0.25">
      <c r="D114" s="31"/>
      <c r="P114" s="271"/>
    </row>
    <row r="115" spans="1:16" x14ac:dyDescent="0.25">
      <c r="A115" s="21"/>
      <c r="B115" s="200"/>
      <c r="C115" s="193"/>
      <c r="D115" s="31"/>
      <c r="P115" s="271"/>
    </row>
    <row r="116" spans="1:16" x14ac:dyDescent="0.25">
      <c r="A116" s="21"/>
      <c r="B116" s="200"/>
      <c r="C116" s="193"/>
      <c r="D116" s="31"/>
      <c r="P116" s="271"/>
    </row>
    <row r="117" spans="1:16" x14ac:dyDescent="0.25">
      <c r="A117" s="21"/>
      <c r="B117" s="200"/>
      <c r="C117" s="193"/>
      <c r="D117" s="31"/>
      <c r="P117" s="271"/>
    </row>
    <row r="118" spans="1:16" x14ac:dyDescent="0.25">
      <c r="A118" s="21"/>
      <c r="B118" s="200"/>
      <c r="C118" s="193"/>
      <c r="D118" s="31"/>
      <c r="P118" s="271"/>
    </row>
    <row r="119" spans="1:16" x14ac:dyDescent="0.25">
      <c r="D119" s="31"/>
      <c r="P119" s="271"/>
    </row>
    <row r="120" spans="1:16" x14ac:dyDescent="0.25">
      <c r="D120" s="31"/>
      <c r="P120" s="271"/>
    </row>
    <row r="121" spans="1:16" x14ac:dyDescent="0.25">
      <c r="D121" s="31"/>
      <c r="P121" s="271"/>
    </row>
    <row r="122" spans="1:16" x14ac:dyDescent="0.25">
      <c r="A122" s="21"/>
      <c r="B122" s="200"/>
      <c r="C122" s="193"/>
      <c r="D122" s="31"/>
      <c r="P122" s="271"/>
    </row>
    <row r="123" spans="1:16" x14ac:dyDescent="0.25">
      <c r="A123" s="21"/>
      <c r="B123" s="200"/>
      <c r="C123" s="193"/>
      <c r="D123" s="31"/>
      <c r="P123" s="271"/>
    </row>
    <row r="124" spans="1:16" x14ac:dyDescent="0.25">
      <c r="A124" s="21"/>
      <c r="B124" s="200"/>
      <c r="C124" s="193"/>
      <c r="D124" s="31"/>
      <c r="P124" s="271"/>
    </row>
    <row r="125" spans="1:16" x14ac:dyDescent="0.25">
      <c r="A125" s="21"/>
      <c r="B125" s="200"/>
      <c r="C125" s="193"/>
      <c r="D125" s="31"/>
      <c r="P125" s="271"/>
    </row>
    <row r="126" spans="1:16" x14ac:dyDescent="0.25">
      <c r="A126" s="21"/>
      <c r="B126" s="200"/>
      <c r="C126" s="193"/>
      <c r="D126" s="31"/>
      <c r="P126" s="271"/>
    </row>
    <row r="127" spans="1:16" x14ac:dyDescent="0.25">
      <c r="A127" s="21"/>
      <c r="B127" s="200"/>
      <c r="C127" s="193"/>
      <c r="D127" s="31"/>
      <c r="P127" s="271"/>
    </row>
    <row r="128" spans="1:16" x14ac:dyDescent="0.25">
      <c r="A128" s="21"/>
      <c r="B128" s="200"/>
      <c r="C128" s="193"/>
      <c r="D128" s="31"/>
      <c r="P128" s="271"/>
    </row>
    <row r="129" spans="1:16" x14ac:dyDescent="0.25">
      <c r="A129" s="21"/>
      <c r="B129" s="200"/>
      <c r="C129" s="193"/>
      <c r="D129" s="31"/>
      <c r="P129" s="271"/>
    </row>
    <row r="130" spans="1:16" x14ac:dyDescent="0.25">
      <c r="A130" s="21"/>
      <c r="B130" s="200"/>
      <c r="C130" s="193"/>
      <c r="D130" s="31"/>
      <c r="P130" s="271"/>
    </row>
    <row r="131" spans="1:16" x14ac:dyDescent="0.25">
      <c r="A131" s="21"/>
      <c r="B131" s="200"/>
      <c r="C131" s="193"/>
      <c r="D131" s="31"/>
      <c r="P131" s="271"/>
    </row>
    <row r="132" spans="1:16" x14ac:dyDescent="0.25">
      <c r="A132" s="21"/>
      <c r="B132" s="200"/>
      <c r="C132" s="193"/>
      <c r="D132" s="31"/>
      <c r="P132" s="271"/>
    </row>
    <row r="133" spans="1:16" x14ac:dyDescent="0.25">
      <c r="A133" s="21"/>
      <c r="B133" s="200"/>
      <c r="C133" s="193"/>
      <c r="D133" s="31"/>
      <c r="P133" s="271"/>
    </row>
    <row r="134" spans="1:16" x14ac:dyDescent="0.25">
      <c r="A134" s="21"/>
      <c r="B134" s="200"/>
      <c r="C134" s="193"/>
      <c r="D134" s="31"/>
      <c r="P134" s="271"/>
    </row>
    <row r="135" spans="1:16" x14ac:dyDescent="0.25">
      <c r="A135" s="21"/>
      <c r="B135" s="200"/>
      <c r="C135" s="193"/>
      <c r="D135" s="31"/>
      <c r="P135" s="271"/>
    </row>
    <row r="136" spans="1:16" x14ac:dyDescent="0.25">
      <c r="A136" s="21"/>
      <c r="B136" s="200"/>
      <c r="C136" s="193"/>
      <c r="D136" s="31"/>
      <c r="P136" s="271"/>
    </row>
    <row r="137" spans="1:16" x14ac:dyDescent="0.25">
      <c r="A137" s="21"/>
      <c r="B137" s="200"/>
      <c r="C137" s="193"/>
      <c r="D137" s="31"/>
      <c r="P137" s="271"/>
    </row>
    <row r="138" spans="1:16" x14ac:dyDescent="0.25">
      <c r="A138" s="21"/>
      <c r="B138" s="200"/>
      <c r="C138" s="193"/>
      <c r="D138" s="31"/>
      <c r="P138" s="271"/>
    </row>
    <row r="139" spans="1:16" x14ac:dyDescent="0.25">
      <c r="A139" s="21"/>
      <c r="B139" s="200"/>
      <c r="C139" s="193"/>
      <c r="D139" s="31"/>
      <c r="P139" s="271"/>
    </row>
    <row r="140" spans="1:16" x14ac:dyDescent="0.25">
      <c r="A140" s="21"/>
      <c r="B140" s="200"/>
      <c r="C140" s="193"/>
      <c r="D140" s="31"/>
      <c r="P140" s="271"/>
    </row>
    <row r="141" spans="1:16" x14ac:dyDescent="0.25">
      <c r="A141" s="21"/>
      <c r="B141" s="200"/>
      <c r="C141" s="193"/>
      <c r="D141" s="31"/>
      <c r="P141" s="271"/>
    </row>
    <row r="142" spans="1:16" x14ac:dyDescent="0.25">
      <c r="A142" s="21"/>
      <c r="B142" s="200"/>
      <c r="C142" s="193"/>
      <c r="D142" s="31"/>
      <c r="P142" s="271"/>
    </row>
    <row r="143" spans="1:16" x14ac:dyDescent="0.25">
      <c r="A143" s="21"/>
      <c r="B143" s="200"/>
      <c r="C143" s="193"/>
      <c r="D143" s="31"/>
      <c r="P143" s="271"/>
    </row>
    <row r="144" spans="1:16" x14ac:dyDescent="0.25">
      <c r="A144" s="21"/>
      <c r="B144" s="200"/>
      <c r="C144" s="193"/>
      <c r="D144" s="31"/>
      <c r="P144" s="271"/>
    </row>
    <row r="145" spans="1:16" x14ac:dyDescent="0.25">
      <c r="A145" s="21"/>
      <c r="B145" s="200"/>
      <c r="C145" s="193"/>
      <c r="D145" s="31"/>
      <c r="P145" s="271"/>
    </row>
    <row r="146" spans="1:16" x14ac:dyDescent="0.25">
      <c r="A146" s="21"/>
      <c r="B146" s="200"/>
      <c r="C146" s="193"/>
      <c r="D146" s="31"/>
      <c r="P146" s="271"/>
    </row>
    <row r="147" spans="1:16" x14ac:dyDescent="0.25">
      <c r="A147" s="21"/>
      <c r="B147" s="200"/>
      <c r="C147" s="193"/>
      <c r="D147" s="31"/>
      <c r="P147" s="271"/>
    </row>
    <row r="148" spans="1:16" x14ac:dyDescent="0.25">
      <c r="A148" s="21"/>
      <c r="B148" s="200"/>
      <c r="C148" s="193"/>
      <c r="D148" s="31"/>
      <c r="P148" s="271"/>
    </row>
    <row r="149" spans="1:16" x14ac:dyDescent="0.25">
      <c r="A149" s="21"/>
      <c r="B149" s="200"/>
      <c r="C149" s="193"/>
      <c r="D149" s="31"/>
      <c r="P149" s="271"/>
    </row>
    <row r="150" spans="1:16" x14ac:dyDescent="0.25">
      <c r="A150" s="21"/>
      <c r="B150" s="200"/>
      <c r="C150" s="193"/>
      <c r="D150" s="31"/>
      <c r="P150" s="271"/>
    </row>
    <row r="151" spans="1:16" x14ac:dyDescent="0.25">
      <c r="A151" s="21"/>
      <c r="B151" s="200"/>
      <c r="C151" s="193"/>
      <c r="D151" s="31"/>
      <c r="P151" s="271"/>
    </row>
    <row r="152" spans="1:16" x14ac:dyDescent="0.25">
      <c r="A152" s="21"/>
      <c r="B152" s="200"/>
      <c r="C152" s="193"/>
      <c r="D152" s="31"/>
      <c r="P152" s="271"/>
    </row>
    <row r="153" spans="1:16" x14ac:dyDescent="0.25">
      <c r="A153" s="21"/>
      <c r="B153" s="200"/>
      <c r="C153" s="193"/>
      <c r="D153" s="31"/>
      <c r="P153" s="271"/>
    </row>
    <row r="154" spans="1:16" x14ac:dyDescent="0.25">
      <c r="A154" s="21"/>
      <c r="B154" s="200"/>
      <c r="C154" s="193"/>
      <c r="D154" s="31"/>
    </row>
    <row r="155" spans="1:16" x14ac:dyDescent="0.25">
      <c r="A155" s="21"/>
      <c r="B155" s="200"/>
      <c r="C155" s="193"/>
      <c r="D155" s="31"/>
    </row>
    <row r="156" spans="1:16" x14ac:dyDescent="0.25">
      <c r="A156" s="21"/>
      <c r="B156" s="200"/>
      <c r="C156" s="193"/>
      <c r="D156" s="31"/>
    </row>
    <row r="157" spans="1:16" x14ac:dyDescent="0.25">
      <c r="A157" s="21"/>
      <c r="B157" s="200"/>
      <c r="C157" s="193"/>
      <c r="D157" s="31"/>
    </row>
    <row r="158" spans="1:16" x14ac:dyDescent="0.25">
      <c r="A158" s="21"/>
      <c r="B158" s="200"/>
      <c r="C158" s="193"/>
      <c r="D158" s="31"/>
    </row>
    <row r="159" spans="1:16" x14ac:dyDescent="0.25">
      <c r="A159" s="21"/>
      <c r="B159" s="200"/>
      <c r="C159" s="193"/>
      <c r="D159" s="31"/>
    </row>
    <row r="160" spans="1:16" x14ac:dyDescent="0.25">
      <c r="A160" s="21"/>
      <c r="B160" s="200"/>
      <c r="C160" s="193"/>
      <c r="D160" s="31"/>
    </row>
    <row r="161" spans="1:4" x14ac:dyDescent="0.25">
      <c r="A161" s="21"/>
      <c r="B161" s="200"/>
      <c r="C161" s="193"/>
      <c r="D161" s="31"/>
    </row>
    <row r="162" spans="1:4" x14ac:dyDescent="0.25">
      <c r="A162" s="21"/>
      <c r="B162" s="200"/>
      <c r="C162" s="193"/>
      <c r="D162" s="31"/>
    </row>
    <row r="163" spans="1:4" x14ac:dyDescent="0.25">
      <c r="A163" s="21"/>
      <c r="B163" s="200"/>
      <c r="C163" s="193"/>
      <c r="D163" s="31"/>
    </row>
    <row r="164" spans="1:4" x14ac:dyDescent="0.25">
      <c r="A164" s="21"/>
      <c r="B164" s="200"/>
      <c r="C164" s="193"/>
      <c r="D164" s="31"/>
    </row>
    <row r="165" spans="1:4" x14ac:dyDescent="0.25">
      <c r="A165" s="21"/>
      <c r="B165" s="200"/>
      <c r="C165" s="193"/>
      <c r="D165" s="31"/>
    </row>
    <row r="166" spans="1:4" x14ac:dyDescent="0.25">
      <c r="A166" s="21"/>
      <c r="B166" s="200"/>
      <c r="C166" s="193"/>
      <c r="D166" s="31"/>
    </row>
    <row r="167" spans="1:4" x14ac:dyDescent="0.25">
      <c r="A167" s="21"/>
      <c r="B167" s="200"/>
      <c r="C167" s="193"/>
      <c r="D167" s="31"/>
    </row>
    <row r="168" spans="1:4" x14ac:dyDescent="0.25">
      <c r="A168" s="21"/>
      <c r="B168" s="200"/>
      <c r="C168" s="193"/>
      <c r="D168" s="31"/>
    </row>
    <row r="169" spans="1:4" x14ac:dyDescent="0.25">
      <c r="A169" s="21"/>
      <c r="B169" s="200"/>
      <c r="C169" s="193"/>
      <c r="D169" s="31"/>
    </row>
    <row r="170" spans="1:4" x14ac:dyDescent="0.25">
      <c r="A170" s="21"/>
      <c r="B170" s="200"/>
      <c r="C170" s="193"/>
      <c r="D170" s="31"/>
    </row>
    <row r="171" spans="1:4" x14ac:dyDescent="0.25">
      <c r="A171" s="21"/>
      <c r="B171" s="200"/>
      <c r="C171" s="193"/>
      <c r="D171" s="31"/>
    </row>
    <row r="172" spans="1:4" x14ac:dyDescent="0.25">
      <c r="A172" s="21"/>
      <c r="B172" s="200"/>
      <c r="C172" s="193"/>
      <c r="D172" s="31"/>
    </row>
    <row r="173" spans="1:4" x14ac:dyDescent="0.25">
      <c r="A173" s="21"/>
      <c r="B173" s="200"/>
      <c r="C173" s="193"/>
      <c r="D173" s="31"/>
    </row>
    <row r="174" spans="1:4" x14ac:dyDescent="0.25">
      <c r="A174" s="21"/>
      <c r="B174" s="200"/>
      <c r="C174" s="193"/>
      <c r="D174" s="31"/>
    </row>
    <row r="175" spans="1:4" x14ac:dyDescent="0.25">
      <c r="A175" s="21"/>
      <c r="B175" s="200"/>
      <c r="C175" s="193"/>
      <c r="D175" s="31"/>
    </row>
    <row r="176" spans="1:4" x14ac:dyDescent="0.25">
      <c r="A176" s="21"/>
      <c r="B176" s="200"/>
      <c r="C176" s="193"/>
      <c r="D176" s="31"/>
    </row>
    <row r="177" spans="1:4" x14ac:dyDescent="0.25">
      <c r="A177" s="21"/>
      <c r="B177" s="200"/>
      <c r="C177" s="193"/>
      <c r="D177" s="31"/>
    </row>
    <row r="178" spans="1:4" x14ac:dyDescent="0.25">
      <c r="A178" s="21"/>
      <c r="B178" s="200"/>
      <c r="C178" s="193"/>
      <c r="D178" s="31"/>
    </row>
    <row r="179" spans="1:4" x14ac:dyDescent="0.25">
      <c r="A179" s="21"/>
      <c r="B179" s="200"/>
      <c r="C179" s="193"/>
      <c r="D179" s="31"/>
    </row>
    <row r="180" spans="1:4" x14ac:dyDescent="0.25">
      <c r="A180" s="21"/>
      <c r="B180" s="200"/>
      <c r="C180" s="193"/>
      <c r="D180" s="31"/>
    </row>
    <row r="181" spans="1:4" x14ac:dyDescent="0.25">
      <c r="A181" s="21"/>
      <c r="B181" s="200"/>
      <c r="C181" s="193"/>
      <c r="D181" s="31"/>
    </row>
    <row r="182" spans="1:4" x14ac:dyDescent="0.25">
      <c r="A182" s="21"/>
      <c r="B182" s="200"/>
      <c r="C182" s="193"/>
      <c r="D182" s="31"/>
    </row>
    <row r="183" spans="1:4" x14ac:dyDescent="0.25">
      <c r="A183" s="21"/>
      <c r="B183" s="200"/>
      <c r="C183" s="193"/>
      <c r="D183" s="31"/>
    </row>
    <row r="184" spans="1:4" x14ac:dyDescent="0.25">
      <c r="A184" s="21"/>
      <c r="B184" s="200"/>
      <c r="C184" s="193"/>
      <c r="D184" s="31"/>
    </row>
    <row r="185" spans="1:4" x14ac:dyDescent="0.25">
      <c r="A185" s="21"/>
      <c r="B185" s="200"/>
      <c r="C185" s="193"/>
      <c r="D185" s="31"/>
    </row>
    <row r="186" spans="1:4" x14ac:dyDescent="0.25">
      <c r="A186" s="21"/>
      <c r="B186" s="200"/>
      <c r="C186" s="193"/>
      <c r="D186" s="31"/>
    </row>
    <row r="187" spans="1:4" x14ac:dyDescent="0.25">
      <c r="A187" s="21"/>
      <c r="B187" s="200"/>
      <c r="C187" s="193"/>
      <c r="D187" s="31"/>
    </row>
    <row r="188" spans="1:4" x14ac:dyDescent="0.25">
      <c r="A188" s="21"/>
      <c r="B188" s="200"/>
      <c r="C188" s="193"/>
      <c r="D188" s="31"/>
    </row>
    <row r="189" spans="1:4" x14ac:dyDescent="0.25">
      <c r="A189" s="21"/>
      <c r="B189" s="200"/>
      <c r="C189" s="193"/>
      <c r="D189" s="31"/>
    </row>
    <row r="190" spans="1:4" x14ac:dyDescent="0.25">
      <c r="A190" s="21"/>
      <c r="B190" s="200"/>
      <c r="C190" s="193"/>
      <c r="D190" s="31"/>
    </row>
    <row r="191" spans="1:4" x14ac:dyDescent="0.25">
      <c r="A191" s="21"/>
      <c r="B191" s="200"/>
      <c r="C191" s="193"/>
      <c r="D191" s="31"/>
    </row>
    <row r="192" spans="1:4" x14ac:dyDescent="0.25">
      <c r="A192" s="21"/>
      <c r="B192" s="200"/>
      <c r="C192" s="193"/>
      <c r="D192" s="31"/>
    </row>
    <row r="193" spans="1:4" x14ac:dyDescent="0.25">
      <c r="A193" s="21"/>
      <c r="B193" s="200"/>
      <c r="C193" s="193"/>
      <c r="D193" s="31"/>
    </row>
    <row r="194" spans="1:4" x14ac:dyDescent="0.25">
      <c r="A194" s="21"/>
      <c r="B194" s="200"/>
      <c r="C194" s="193"/>
      <c r="D194" s="31"/>
    </row>
    <row r="195" spans="1:4" x14ac:dyDescent="0.25">
      <c r="A195" s="21"/>
      <c r="B195" s="200"/>
      <c r="C195" s="193"/>
      <c r="D195" s="31"/>
    </row>
    <row r="196" spans="1:4" x14ac:dyDescent="0.25">
      <c r="A196" s="21"/>
      <c r="B196" s="200"/>
      <c r="C196" s="193"/>
      <c r="D196" s="31"/>
    </row>
    <row r="197" spans="1:4" x14ac:dyDescent="0.25">
      <c r="A197" s="21"/>
      <c r="B197" s="200"/>
      <c r="C197" s="193"/>
      <c r="D197" s="31"/>
    </row>
    <row r="198" spans="1:4" x14ac:dyDescent="0.25">
      <c r="A198" s="21"/>
      <c r="B198" s="200"/>
      <c r="C198" s="193"/>
      <c r="D198" s="31"/>
    </row>
    <row r="199" spans="1:4" x14ac:dyDescent="0.25">
      <c r="A199" s="21"/>
      <c r="B199" s="200"/>
      <c r="C199" s="193"/>
      <c r="D199" s="31"/>
    </row>
    <row r="200" spans="1:4" x14ac:dyDescent="0.25">
      <c r="A200" s="21"/>
      <c r="B200" s="200"/>
      <c r="C200" s="193"/>
      <c r="D200" s="31"/>
    </row>
    <row r="201" spans="1:4" x14ac:dyDescent="0.25">
      <c r="A201" s="21"/>
      <c r="B201" s="200"/>
      <c r="C201" s="193"/>
      <c r="D201" s="31"/>
    </row>
    <row r="202" spans="1:4" x14ac:dyDescent="0.25">
      <c r="A202" s="21"/>
      <c r="B202" s="200"/>
      <c r="C202" s="193"/>
      <c r="D202" s="31"/>
    </row>
    <row r="203" spans="1:4" x14ac:dyDescent="0.25">
      <c r="A203" s="21"/>
      <c r="B203" s="200"/>
      <c r="C203" s="193"/>
      <c r="D203" s="31"/>
    </row>
    <row r="204" spans="1:4" x14ac:dyDescent="0.25">
      <c r="A204" s="21"/>
      <c r="B204" s="200"/>
      <c r="C204" s="193"/>
      <c r="D204" s="31"/>
    </row>
    <row r="205" spans="1:4" x14ac:dyDescent="0.25">
      <c r="A205" s="21"/>
      <c r="B205" s="200"/>
      <c r="C205" s="193"/>
      <c r="D205" s="31"/>
    </row>
    <row r="206" spans="1:4" x14ac:dyDescent="0.25">
      <c r="A206" s="21"/>
      <c r="B206" s="200"/>
      <c r="C206" s="193"/>
      <c r="D206" s="31"/>
    </row>
    <row r="207" spans="1:4" x14ac:dyDescent="0.25">
      <c r="A207" s="21"/>
      <c r="B207" s="200"/>
      <c r="C207" s="193"/>
      <c r="D207" s="31"/>
    </row>
    <row r="208" spans="1:4" x14ac:dyDescent="0.25">
      <c r="A208" s="21"/>
      <c r="B208" s="200"/>
      <c r="C208" s="193"/>
      <c r="D208" s="31"/>
    </row>
    <row r="209" spans="1:4" x14ac:dyDescent="0.25">
      <c r="A209" s="21"/>
      <c r="B209" s="200"/>
      <c r="C209" s="193"/>
      <c r="D209" s="31"/>
    </row>
    <row r="210" spans="1:4" x14ac:dyDescent="0.25">
      <c r="A210" s="21"/>
      <c r="B210" s="200"/>
      <c r="C210" s="193"/>
      <c r="D210" s="31"/>
    </row>
    <row r="211" spans="1:4" x14ac:dyDescent="0.25">
      <c r="A211" s="21"/>
      <c r="B211" s="200"/>
      <c r="C211" s="193"/>
      <c r="D211" s="31"/>
    </row>
    <row r="212" spans="1:4" x14ac:dyDescent="0.25">
      <c r="A212" s="21"/>
      <c r="B212" s="200"/>
      <c r="C212" s="193"/>
      <c r="D212" s="31"/>
    </row>
    <row r="213" spans="1:4" x14ac:dyDescent="0.25">
      <c r="A213" s="21"/>
      <c r="B213" s="200"/>
      <c r="C213" s="193"/>
      <c r="D213" s="31"/>
    </row>
    <row r="214" spans="1:4" x14ac:dyDescent="0.25">
      <c r="A214" s="21"/>
      <c r="B214" s="200"/>
      <c r="C214" s="193"/>
      <c r="D214" s="31"/>
    </row>
    <row r="215" spans="1:4" x14ac:dyDescent="0.25">
      <c r="A215" s="21"/>
      <c r="B215" s="200"/>
      <c r="C215" s="193"/>
      <c r="D215" s="31"/>
    </row>
    <row r="216" spans="1:4" x14ac:dyDescent="0.25">
      <c r="A216" s="21"/>
      <c r="B216" s="200"/>
      <c r="C216" s="193"/>
      <c r="D216" s="31"/>
    </row>
    <row r="217" spans="1:4" x14ac:dyDescent="0.25">
      <c r="A217" s="21"/>
      <c r="B217" s="200"/>
      <c r="C217" s="193"/>
      <c r="D217" s="31"/>
    </row>
    <row r="218" spans="1:4" x14ac:dyDescent="0.25">
      <c r="A218" s="21"/>
      <c r="B218" s="200"/>
      <c r="C218" s="193"/>
      <c r="D218" s="31"/>
    </row>
    <row r="219" spans="1:4" x14ac:dyDescent="0.25">
      <c r="A219" s="21"/>
      <c r="B219" s="200"/>
      <c r="C219" s="193"/>
      <c r="D219" s="31"/>
    </row>
    <row r="220" spans="1:4" x14ac:dyDescent="0.25">
      <c r="A220" s="21"/>
      <c r="B220" s="200"/>
      <c r="C220" s="193"/>
      <c r="D220" s="31"/>
    </row>
    <row r="221" spans="1:4" x14ac:dyDescent="0.25">
      <c r="A221" s="21"/>
      <c r="B221" s="200"/>
      <c r="C221" s="193"/>
      <c r="D221" s="31"/>
    </row>
    <row r="222" spans="1:4" x14ac:dyDescent="0.25">
      <c r="A222" s="21"/>
      <c r="B222" s="200"/>
      <c r="C222" s="193"/>
      <c r="D222" s="31"/>
    </row>
    <row r="223" spans="1:4" x14ac:dyDescent="0.25">
      <c r="A223" s="21"/>
      <c r="B223" s="200"/>
      <c r="C223" s="193"/>
      <c r="D223" s="31"/>
    </row>
    <row r="224" spans="1:4" x14ac:dyDescent="0.25">
      <c r="A224" s="21"/>
      <c r="B224" s="200"/>
      <c r="C224" s="193"/>
      <c r="D224" s="31"/>
    </row>
    <row r="225" spans="1:4" x14ac:dyDescent="0.25">
      <c r="A225" s="21"/>
      <c r="B225" s="200"/>
      <c r="C225" s="193"/>
      <c r="D225" s="31"/>
    </row>
    <row r="226" spans="1:4" x14ac:dyDescent="0.25">
      <c r="A226" s="21"/>
      <c r="B226" s="200"/>
      <c r="C226" s="193"/>
      <c r="D226" s="31"/>
    </row>
    <row r="227" spans="1:4" x14ac:dyDescent="0.25">
      <c r="A227" s="21"/>
      <c r="B227" s="200"/>
      <c r="C227" s="193"/>
      <c r="D227" s="31"/>
    </row>
    <row r="228" spans="1:4" x14ac:dyDescent="0.25">
      <c r="A228" s="21"/>
      <c r="B228" s="200"/>
      <c r="C228" s="193"/>
      <c r="D228" s="31"/>
    </row>
    <row r="229" spans="1:4" x14ac:dyDescent="0.25">
      <c r="A229" s="21"/>
      <c r="B229" s="200"/>
      <c r="C229" s="193"/>
      <c r="D229" s="31"/>
    </row>
    <row r="230" spans="1:4" x14ac:dyDescent="0.25">
      <c r="A230" s="21"/>
      <c r="B230" s="200"/>
      <c r="C230" s="193"/>
      <c r="D230" s="31"/>
    </row>
    <row r="231" spans="1:4" x14ac:dyDescent="0.25">
      <c r="A231" s="21"/>
      <c r="B231" s="200"/>
      <c r="C231" s="193"/>
      <c r="D231" s="31"/>
    </row>
    <row r="232" spans="1:4" x14ac:dyDescent="0.25">
      <c r="A232" s="21"/>
      <c r="B232" s="200"/>
      <c r="C232" s="193"/>
      <c r="D232" s="31"/>
    </row>
    <row r="233" spans="1:4" x14ac:dyDescent="0.25">
      <c r="A233" s="21"/>
      <c r="B233" s="200"/>
      <c r="C233" s="193"/>
      <c r="D233" s="31"/>
    </row>
    <row r="234" spans="1:4" x14ac:dyDescent="0.25">
      <c r="D234" s="31"/>
    </row>
    <row r="235" spans="1:4" x14ac:dyDescent="0.25">
      <c r="D235" s="31"/>
    </row>
    <row r="236" spans="1:4" x14ac:dyDescent="0.25">
      <c r="D236" s="31"/>
    </row>
    <row r="237" spans="1:4" x14ac:dyDescent="0.25">
      <c r="D237" s="31"/>
    </row>
    <row r="238" spans="1:4" x14ac:dyDescent="0.25">
      <c r="D238" s="31"/>
    </row>
    <row r="239" spans="1:4" x14ac:dyDescent="0.25">
      <c r="D239" s="31"/>
    </row>
    <row r="240" spans="1:4" x14ac:dyDescent="0.25">
      <c r="D240" s="31"/>
    </row>
    <row r="241" spans="4:4" x14ac:dyDescent="0.25">
      <c r="D241" s="31"/>
    </row>
    <row r="242" spans="4:4" x14ac:dyDescent="0.25">
      <c r="D242" s="31"/>
    </row>
    <row r="243" spans="4:4" x14ac:dyDescent="0.25">
      <c r="D243" s="31"/>
    </row>
    <row r="244" spans="4:4" x14ac:dyDescent="0.25">
      <c r="D244" s="31"/>
    </row>
    <row r="245" spans="4:4" x14ac:dyDescent="0.25">
      <c r="D245" s="31"/>
    </row>
    <row r="246" spans="4:4" x14ac:dyDescent="0.25">
      <c r="D246" s="31"/>
    </row>
    <row r="247" spans="4:4" x14ac:dyDescent="0.25">
      <c r="D247" s="31"/>
    </row>
    <row r="248" spans="4:4" x14ac:dyDescent="0.25">
      <c r="D248" s="31"/>
    </row>
    <row r="249" spans="4:4" x14ac:dyDescent="0.25">
      <c r="D249" s="31"/>
    </row>
    <row r="250" spans="4:4" x14ac:dyDescent="0.25">
      <c r="D250" s="31"/>
    </row>
    <row r="251" spans="4:4" x14ac:dyDescent="0.25">
      <c r="D251" s="31"/>
    </row>
    <row r="252" spans="4:4" x14ac:dyDescent="0.25">
      <c r="D252" s="31"/>
    </row>
    <row r="253" spans="4:4" x14ac:dyDescent="0.25">
      <c r="D253" s="31"/>
    </row>
    <row r="254" spans="4:4" x14ac:dyDescent="0.25">
      <c r="D254" s="31"/>
    </row>
    <row r="255" spans="4:4" x14ac:dyDescent="0.25">
      <c r="D255" s="31"/>
    </row>
    <row r="256" spans="4:4" x14ac:dyDescent="0.25">
      <c r="D256" s="31"/>
    </row>
    <row r="257" spans="4:4" x14ac:dyDescent="0.25">
      <c r="D257" s="31"/>
    </row>
    <row r="258" spans="4:4" x14ac:dyDescent="0.25">
      <c r="D258" s="31"/>
    </row>
    <row r="259" spans="4:4" x14ac:dyDescent="0.25">
      <c r="D259" s="31"/>
    </row>
    <row r="260" spans="4:4" x14ac:dyDescent="0.25">
      <c r="D260" s="31"/>
    </row>
    <row r="261" spans="4:4" x14ac:dyDescent="0.25">
      <c r="D261" s="31"/>
    </row>
    <row r="262" spans="4:4" x14ac:dyDescent="0.25">
      <c r="D262" s="31"/>
    </row>
    <row r="263" spans="4:4" x14ac:dyDescent="0.25">
      <c r="D263" s="31"/>
    </row>
    <row r="264" spans="4:4" x14ac:dyDescent="0.25">
      <c r="D264" s="31"/>
    </row>
    <row r="265" spans="4:4" x14ac:dyDescent="0.25">
      <c r="D265" s="31"/>
    </row>
    <row r="266" spans="4:4" x14ac:dyDescent="0.25">
      <c r="D266" s="31"/>
    </row>
    <row r="267" spans="4:4" x14ac:dyDescent="0.25">
      <c r="D267" s="31"/>
    </row>
    <row r="268" spans="4:4" x14ac:dyDescent="0.25">
      <c r="D268" s="31"/>
    </row>
    <row r="269" spans="4:4" x14ac:dyDescent="0.25">
      <c r="D269" s="31"/>
    </row>
    <row r="270" spans="4:4" x14ac:dyDescent="0.25">
      <c r="D270" s="31"/>
    </row>
    <row r="271" spans="4:4" x14ac:dyDescent="0.25">
      <c r="D271" s="31"/>
    </row>
    <row r="272" spans="4:4" x14ac:dyDescent="0.25">
      <c r="D272" s="31"/>
    </row>
    <row r="273" spans="4:4" x14ac:dyDescent="0.25">
      <c r="D273" s="31"/>
    </row>
    <row r="274" spans="4:4" x14ac:dyDescent="0.25">
      <c r="D274" s="31"/>
    </row>
    <row r="275" spans="4:4" x14ac:dyDescent="0.25">
      <c r="D275" s="31"/>
    </row>
    <row r="276" spans="4:4" x14ac:dyDescent="0.25">
      <c r="D276" s="31"/>
    </row>
    <row r="277" spans="4:4" x14ac:dyDescent="0.25">
      <c r="D277" s="31"/>
    </row>
    <row r="278" spans="4:4" x14ac:dyDescent="0.25">
      <c r="D278" s="31"/>
    </row>
    <row r="279" spans="4:4" x14ac:dyDescent="0.25">
      <c r="D279" s="31"/>
    </row>
    <row r="280" spans="4:4" x14ac:dyDescent="0.25">
      <c r="D280" s="31"/>
    </row>
    <row r="281" spans="4:4" x14ac:dyDescent="0.25">
      <c r="D281" s="31"/>
    </row>
    <row r="282" spans="4:4" x14ac:dyDescent="0.25">
      <c r="D282" s="31"/>
    </row>
    <row r="283" spans="4:4" x14ac:dyDescent="0.25">
      <c r="D283" s="31"/>
    </row>
    <row r="284" spans="4:4" x14ac:dyDescent="0.25">
      <c r="D284" s="31"/>
    </row>
    <row r="285" spans="4:4" x14ac:dyDescent="0.25">
      <c r="D285" s="31"/>
    </row>
    <row r="286" spans="4:4" x14ac:dyDescent="0.25">
      <c r="D286" s="31"/>
    </row>
    <row r="287" spans="4:4" x14ac:dyDescent="0.25">
      <c r="D287" s="31"/>
    </row>
    <row r="288" spans="4:4" x14ac:dyDescent="0.25">
      <c r="D288" s="31"/>
    </row>
    <row r="289" spans="4:4" x14ac:dyDescent="0.25">
      <c r="D289" s="31"/>
    </row>
    <row r="290" spans="4:4" x14ac:dyDescent="0.25">
      <c r="D290" s="31"/>
    </row>
    <row r="291" spans="4:4" x14ac:dyDescent="0.25">
      <c r="D291" s="31"/>
    </row>
    <row r="292" spans="4:4" x14ac:dyDescent="0.25">
      <c r="D292" s="31"/>
    </row>
    <row r="293" spans="4:4" x14ac:dyDescent="0.25">
      <c r="D293" s="31"/>
    </row>
    <row r="294" spans="4:4" x14ac:dyDescent="0.25">
      <c r="D294" s="31"/>
    </row>
    <row r="295" spans="4:4" x14ac:dyDescent="0.25">
      <c r="D295" s="31"/>
    </row>
    <row r="296" spans="4:4" x14ac:dyDescent="0.25">
      <c r="D296" s="31"/>
    </row>
    <row r="297" spans="4:4" x14ac:dyDescent="0.25">
      <c r="D297" s="31"/>
    </row>
    <row r="298" spans="4:4" x14ac:dyDescent="0.25">
      <c r="D298" s="31"/>
    </row>
    <row r="299" spans="4:4" x14ac:dyDescent="0.25">
      <c r="D299" s="31"/>
    </row>
    <row r="300" spans="4:4" x14ac:dyDescent="0.25">
      <c r="D300" s="31"/>
    </row>
    <row r="301" spans="4:4" x14ac:dyDescent="0.25">
      <c r="D301" s="31"/>
    </row>
    <row r="302" spans="4:4" x14ac:dyDescent="0.25">
      <c r="D302" s="31"/>
    </row>
    <row r="303" spans="4:4" x14ac:dyDescent="0.25">
      <c r="D303" s="31"/>
    </row>
    <row r="304" spans="4:4" x14ac:dyDescent="0.25">
      <c r="D304" s="31"/>
    </row>
    <row r="305" spans="4:4" x14ac:dyDescent="0.25">
      <c r="D305" s="31"/>
    </row>
    <row r="306" spans="4:4" x14ac:dyDescent="0.25">
      <c r="D306" s="31"/>
    </row>
    <row r="307" spans="4:4" x14ac:dyDescent="0.25">
      <c r="D307" s="31"/>
    </row>
    <row r="308" spans="4:4" x14ac:dyDescent="0.25">
      <c r="D308" s="31"/>
    </row>
    <row r="309" spans="4:4" x14ac:dyDescent="0.25">
      <c r="D309" s="31"/>
    </row>
    <row r="310" spans="4:4" x14ac:dyDescent="0.25">
      <c r="D310" s="31"/>
    </row>
    <row r="311" spans="4:4" x14ac:dyDescent="0.25">
      <c r="D311" s="31"/>
    </row>
    <row r="312" spans="4:4" x14ac:dyDescent="0.25">
      <c r="D312" s="31"/>
    </row>
    <row r="313" spans="4:4" x14ac:dyDescent="0.25">
      <c r="D313" s="31"/>
    </row>
    <row r="314" spans="4:4" x14ac:dyDescent="0.25">
      <c r="D314" s="31"/>
    </row>
    <row r="315" spans="4:4" x14ac:dyDescent="0.25">
      <c r="D315" s="31"/>
    </row>
    <row r="316" spans="4:4" x14ac:dyDescent="0.25">
      <c r="D316" s="31"/>
    </row>
    <row r="317" spans="4:4" x14ac:dyDescent="0.25">
      <c r="D317" s="31"/>
    </row>
    <row r="318" spans="4:4" x14ac:dyDescent="0.25">
      <c r="D318" s="31"/>
    </row>
    <row r="319" spans="4:4" x14ac:dyDescent="0.25">
      <c r="D319" s="31"/>
    </row>
    <row r="320" spans="4:4" x14ac:dyDescent="0.25">
      <c r="D320" s="31"/>
    </row>
    <row r="321" spans="4:4" x14ac:dyDescent="0.25">
      <c r="D321" s="31"/>
    </row>
    <row r="322" spans="4:4" x14ac:dyDescent="0.25">
      <c r="D322" s="31"/>
    </row>
    <row r="323" spans="4:4" x14ac:dyDescent="0.25">
      <c r="D323" s="31"/>
    </row>
    <row r="324" spans="4:4" x14ac:dyDescent="0.25">
      <c r="D324" s="31"/>
    </row>
    <row r="325" spans="4:4" x14ac:dyDescent="0.25">
      <c r="D325" s="31"/>
    </row>
    <row r="326" spans="4:4" x14ac:dyDescent="0.25">
      <c r="D326" s="31"/>
    </row>
    <row r="327" spans="4:4" x14ac:dyDescent="0.25">
      <c r="D327" s="31"/>
    </row>
    <row r="328" spans="4:4" x14ac:dyDescent="0.25">
      <c r="D328" s="31"/>
    </row>
    <row r="329" spans="4:4" x14ac:dyDescent="0.25">
      <c r="D329" s="31"/>
    </row>
    <row r="330" spans="4:4" x14ac:dyDescent="0.25">
      <c r="D330" s="31"/>
    </row>
    <row r="331" spans="4:4" x14ac:dyDescent="0.25">
      <c r="D331" s="31"/>
    </row>
    <row r="332" spans="4:4" x14ac:dyDescent="0.25">
      <c r="D332" s="31"/>
    </row>
    <row r="333" spans="4:4" x14ac:dyDescent="0.25">
      <c r="D333" s="31"/>
    </row>
    <row r="334" spans="4:4" x14ac:dyDescent="0.25">
      <c r="D334" s="31"/>
    </row>
    <row r="335" spans="4:4" x14ac:dyDescent="0.25">
      <c r="D335" s="31"/>
    </row>
    <row r="336" spans="4:4" x14ac:dyDescent="0.25">
      <c r="D336" s="31"/>
    </row>
    <row r="337" spans="4:4" x14ac:dyDescent="0.25">
      <c r="D337" s="31"/>
    </row>
    <row r="338" spans="4:4" x14ac:dyDescent="0.25">
      <c r="D338" s="31"/>
    </row>
    <row r="339" spans="4:4" x14ac:dyDescent="0.25">
      <c r="D339" s="31"/>
    </row>
    <row r="340" spans="4:4" x14ac:dyDescent="0.25">
      <c r="D340" s="31"/>
    </row>
    <row r="341" spans="4:4" x14ac:dyDescent="0.25">
      <c r="D341" s="31"/>
    </row>
    <row r="342" spans="4:4" x14ac:dyDescent="0.25">
      <c r="D342" s="31"/>
    </row>
    <row r="343" spans="4:4" x14ac:dyDescent="0.25">
      <c r="D343" s="31"/>
    </row>
    <row r="344" spans="4:4" x14ac:dyDescent="0.25">
      <c r="D344" s="31"/>
    </row>
    <row r="345" spans="4:4" x14ac:dyDescent="0.25">
      <c r="D345" s="31"/>
    </row>
    <row r="346" spans="4:4" x14ac:dyDescent="0.25">
      <c r="D346" s="31"/>
    </row>
    <row r="347" spans="4:4" x14ac:dyDescent="0.25">
      <c r="D347" s="31"/>
    </row>
    <row r="348" spans="4:4" x14ac:dyDescent="0.25">
      <c r="D348" s="31"/>
    </row>
    <row r="349" spans="4:4" x14ac:dyDescent="0.25">
      <c r="D349" s="31"/>
    </row>
    <row r="350" spans="4:4" x14ac:dyDescent="0.25">
      <c r="D350" s="31"/>
    </row>
    <row r="351" spans="4:4" x14ac:dyDescent="0.25">
      <c r="D351" s="31"/>
    </row>
    <row r="352" spans="4:4" x14ac:dyDescent="0.25">
      <c r="D352" s="31"/>
    </row>
    <row r="353" spans="4:4" x14ac:dyDescent="0.25">
      <c r="D353" s="31"/>
    </row>
    <row r="354" spans="4:4" x14ac:dyDescent="0.25">
      <c r="D354" s="31"/>
    </row>
    <row r="355" spans="4:4" x14ac:dyDescent="0.25">
      <c r="D355" s="31"/>
    </row>
    <row r="356" spans="4:4" x14ac:dyDescent="0.25">
      <c r="D356" s="31"/>
    </row>
    <row r="357" spans="4:4" x14ac:dyDescent="0.25">
      <c r="D357" s="31"/>
    </row>
    <row r="358" spans="4:4" x14ac:dyDescent="0.25">
      <c r="D358" s="31"/>
    </row>
    <row r="359" spans="4:4" x14ac:dyDescent="0.25">
      <c r="D359" s="31"/>
    </row>
    <row r="360" spans="4:4" x14ac:dyDescent="0.25">
      <c r="D360" s="31"/>
    </row>
    <row r="361" spans="4:4" x14ac:dyDescent="0.25">
      <c r="D361" s="31"/>
    </row>
    <row r="362" spans="4:4" x14ac:dyDescent="0.25">
      <c r="D362" s="31"/>
    </row>
    <row r="363" spans="4:4" x14ac:dyDescent="0.25">
      <c r="D363" s="31"/>
    </row>
    <row r="364" spans="4:4" x14ac:dyDescent="0.25">
      <c r="D364" s="31"/>
    </row>
    <row r="365" spans="4:4" x14ac:dyDescent="0.25">
      <c r="D365" s="31"/>
    </row>
    <row r="366" spans="4:4" x14ac:dyDescent="0.25">
      <c r="D366" s="31"/>
    </row>
    <row r="367" spans="4:4" x14ac:dyDescent="0.25">
      <c r="D367" s="31"/>
    </row>
    <row r="368" spans="4:4" x14ac:dyDescent="0.25">
      <c r="D368" s="31"/>
    </row>
    <row r="369" spans="4:4" x14ac:dyDescent="0.25">
      <c r="D369" s="31"/>
    </row>
    <row r="370" spans="4:4" x14ac:dyDescent="0.25">
      <c r="D370" s="31"/>
    </row>
    <row r="371" spans="4:4" x14ac:dyDescent="0.25">
      <c r="D371" s="31"/>
    </row>
    <row r="372" spans="4:4" x14ac:dyDescent="0.25">
      <c r="D372" s="31"/>
    </row>
    <row r="373" spans="4:4" x14ac:dyDescent="0.25">
      <c r="D373" s="31"/>
    </row>
    <row r="374" spans="4:4" x14ac:dyDescent="0.25">
      <c r="D374" s="31"/>
    </row>
    <row r="375" spans="4:4" x14ac:dyDescent="0.25">
      <c r="D375" s="31"/>
    </row>
    <row r="376" spans="4:4" x14ac:dyDescent="0.25">
      <c r="D376" s="31"/>
    </row>
    <row r="377" spans="4:4" x14ac:dyDescent="0.25">
      <c r="D377" s="31"/>
    </row>
    <row r="378" spans="4:4" x14ac:dyDescent="0.25">
      <c r="D378" s="31"/>
    </row>
    <row r="379" spans="4:4" x14ac:dyDescent="0.25">
      <c r="D379" s="31"/>
    </row>
    <row r="380" spans="4:4" x14ac:dyDescent="0.25">
      <c r="D380" s="31"/>
    </row>
    <row r="381" spans="4:4" x14ac:dyDescent="0.25">
      <c r="D381" s="31"/>
    </row>
    <row r="382" spans="4:4" x14ac:dyDescent="0.25">
      <c r="D382" s="31"/>
    </row>
    <row r="383" spans="4:4" x14ac:dyDescent="0.25">
      <c r="D383" s="31"/>
    </row>
    <row r="384" spans="4:4" x14ac:dyDescent="0.25">
      <c r="D384" s="31"/>
    </row>
    <row r="385" spans="4:4" x14ac:dyDescent="0.25">
      <c r="D385" s="31"/>
    </row>
    <row r="386" spans="4:4" x14ac:dyDescent="0.25">
      <c r="D386" s="31"/>
    </row>
    <row r="387" spans="4:4" x14ac:dyDescent="0.25">
      <c r="D387" s="31"/>
    </row>
    <row r="388" spans="4:4" x14ac:dyDescent="0.25">
      <c r="D388" s="31"/>
    </row>
    <row r="389" spans="4:4" x14ac:dyDescent="0.25">
      <c r="D389" s="31"/>
    </row>
    <row r="390" spans="4:4" x14ac:dyDescent="0.25">
      <c r="D390" s="31"/>
    </row>
    <row r="391" spans="4:4" x14ac:dyDescent="0.25">
      <c r="D391" s="31"/>
    </row>
    <row r="392" spans="4:4" x14ac:dyDescent="0.25">
      <c r="D392" s="31"/>
    </row>
    <row r="393" spans="4:4" x14ac:dyDescent="0.25">
      <c r="D393" s="31"/>
    </row>
    <row r="394" spans="4:4" x14ac:dyDescent="0.25">
      <c r="D394" s="31"/>
    </row>
    <row r="395" spans="4:4" x14ac:dyDescent="0.25">
      <c r="D395" s="31"/>
    </row>
    <row r="396" spans="4:4" x14ac:dyDescent="0.25">
      <c r="D396" s="31"/>
    </row>
    <row r="397" spans="4:4" x14ac:dyDescent="0.25">
      <c r="D397" s="31"/>
    </row>
    <row r="398" spans="4:4" x14ac:dyDescent="0.25">
      <c r="D398" s="31"/>
    </row>
    <row r="399" spans="4:4" x14ac:dyDescent="0.25">
      <c r="D399" s="31"/>
    </row>
    <row r="400" spans="4:4" x14ac:dyDescent="0.25">
      <c r="D400" s="31"/>
    </row>
    <row r="401" spans="4:4" x14ac:dyDescent="0.25">
      <c r="D401" s="31"/>
    </row>
    <row r="402" spans="4:4" x14ac:dyDescent="0.25">
      <c r="D402" s="31"/>
    </row>
    <row r="403" spans="4:4" x14ac:dyDescent="0.25">
      <c r="D403" s="31"/>
    </row>
    <row r="404" spans="4:4" x14ac:dyDescent="0.25">
      <c r="D404" s="31"/>
    </row>
    <row r="405" spans="4:4" x14ac:dyDescent="0.25">
      <c r="D405" s="31"/>
    </row>
    <row r="406" spans="4:4" x14ac:dyDescent="0.25">
      <c r="D406" s="31"/>
    </row>
    <row r="407" spans="4:4" x14ac:dyDescent="0.25">
      <c r="D407" s="31"/>
    </row>
    <row r="408" spans="4:4" x14ac:dyDescent="0.25">
      <c r="D408" s="31"/>
    </row>
    <row r="409" spans="4:4" x14ac:dyDescent="0.25">
      <c r="D409" s="31"/>
    </row>
    <row r="410" spans="4:4" x14ac:dyDescent="0.25">
      <c r="D410" s="31"/>
    </row>
    <row r="411" spans="4:4" x14ac:dyDescent="0.25">
      <c r="D411" s="31"/>
    </row>
    <row r="412" spans="4:4" x14ac:dyDescent="0.25">
      <c r="D412" s="31"/>
    </row>
    <row r="413" spans="4:4" x14ac:dyDescent="0.25">
      <c r="D413" s="31"/>
    </row>
    <row r="414" spans="4:4" x14ac:dyDescent="0.25">
      <c r="D414" s="31"/>
    </row>
    <row r="415" spans="4:4" x14ac:dyDescent="0.25">
      <c r="D415" s="31"/>
    </row>
    <row r="416" spans="4:4" x14ac:dyDescent="0.25">
      <c r="D416" s="31"/>
    </row>
    <row r="417" spans="4:4" x14ac:dyDescent="0.25">
      <c r="D417" s="31"/>
    </row>
    <row r="418" spans="4:4" x14ac:dyDescent="0.25">
      <c r="D418" s="31"/>
    </row>
    <row r="419" spans="4:4" x14ac:dyDescent="0.25">
      <c r="D419" s="31"/>
    </row>
    <row r="420" spans="4:4" x14ac:dyDescent="0.25">
      <c r="D420" s="31"/>
    </row>
    <row r="421" spans="4:4" x14ac:dyDescent="0.25">
      <c r="D421" s="31"/>
    </row>
    <row r="422" spans="4:4" x14ac:dyDescent="0.25">
      <c r="D422" s="31"/>
    </row>
    <row r="423" spans="4:4" x14ac:dyDescent="0.25">
      <c r="D423" s="31"/>
    </row>
    <row r="424" spans="4:4" x14ac:dyDescent="0.25">
      <c r="D424" s="31"/>
    </row>
    <row r="425" spans="4:4" x14ac:dyDescent="0.25">
      <c r="D425" s="31"/>
    </row>
    <row r="426" spans="4:4" x14ac:dyDescent="0.25">
      <c r="D426" s="31"/>
    </row>
    <row r="427" spans="4:4" x14ac:dyDescent="0.25">
      <c r="D427" s="31"/>
    </row>
    <row r="428" spans="4:4" x14ac:dyDescent="0.25">
      <c r="D428" s="31"/>
    </row>
    <row r="429" spans="4:4" x14ac:dyDescent="0.25">
      <c r="D429" s="31"/>
    </row>
    <row r="430" spans="4:4" x14ac:dyDescent="0.25">
      <c r="D430" s="31"/>
    </row>
    <row r="431" spans="4:4" x14ac:dyDescent="0.25">
      <c r="D431" s="31"/>
    </row>
    <row r="432" spans="4:4" x14ac:dyDescent="0.25">
      <c r="D432" s="31"/>
    </row>
    <row r="433" spans="4:4" x14ac:dyDescent="0.25">
      <c r="D433" s="31"/>
    </row>
    <row r="434" spans="4:4" x14ac:dyDescent="0.25">
      <c r="D434" s="31"/>
    </row>
    <row r="435" spans="4:4" x14ac:dyDescent="0.25">
      <c r="D435" s="31"/>
    </row>
    <row r="436" spans="4:4" x14ac:dyDescent="0.25">
      <c r="D436" s="31"/>
    </row>
    <row r="437" spans="4:4" x14ac:dyDescent="0.25">
      <c r="D437" s="31"/>
    </row>
    <row r="438" spans="4:4" x14ac:dyDescent="0.25">
      <c r="D438" s="31"/>
    </row>
    <row r="439" spans="4:4" x14ac:dyDescent="0.25">
      <c r="D439" s="31"/>
    </row>
    <row r="440" spans="4:4" x14ac:dyDescent="0.25">
      <c r="D440" s="31"/>
    </row>
    <row r="441" spans="4:4" x14ac:dyDescent="0.25">
      <c r="D441" s="31"/>
    </row>
    <row r="442" spans="4:4" x14ac:dyDescent="0.25">
      <c r="D442" s="31"/>
    </row>
    <row r="443" spans="4:4" x14ac:dyDescent="0.25">
      <c r="D443" s="31"/>
    </row>
    <row r="444" spans="4:4" x14ac:dyDescent="0.25">
      <c r="D444" s="31"/>
    </row>
    <row r="445" spans="4:4" x14ac:dyDescent="0.25">
      <c r="D445" s="31"/>
    </row>
    <row r="446" spans="4:4" x14ac:dyDescent="0.25">
      <c r="D446" s="31"/>
    </row>
    <row r="447" spans="4:4" x14ac:dyDescent="0.25">
      <c r="D447" s="31"/>
    </row>
    <row r="448" spans="4:4" x14ac:dyDescent="0.25">
      <c r="D448" s="31"/>
    </row>
    <row r="449" spans="4:4" x14ac:dyDescent="0.25">
      <c r="D449" s="31"/>
    </row>
    <row r="450" spans="4:4" x14ac:dyDescent="0.25">
      <c r="D450" s="31"/>
    </row>
    <row r="451" spans="4:4" x14ac:dyDescent="0.25">
      <c r="D451" s="31"/>
    </row>
    <row r="452" spans="4:4" x14ac:dyDescent="0.25">
      <c r="D452" s="31"/>
    </row>
    <row r="453" spans="4:4" x14ac:dyDescent="0.25">
      <c r="D453" s="31"/>
    </row>
    <row r="454" spans="4:4" x14ac:dyDescent="0.25">
      <c r="D454" s="31"/>
    </row>
    <row r="455" spans="4:4" x14ac:dyDescent="0.25">
      <c r="D455" s="31"/>
    </row>
    <row r="456" spans="4:4" x14ac:dyDescent="0.25">
      <c r="D456" s="31"/>
    </row>
    <row r="457" spans="4:4" x14ac:dyDescent="0.25">
      <c r="D457" s="31"/>
    </row>
    <row r="458" spans="4:4" x14ac:dyDescent="0.25">
      <c r="D458" s="31"/>
    </row>
    <row r="459" spans="4:4" x14ac:dyDescent="0.25">
      <c r="D459" s="31"/>
    </row>
    <row r="460" spans="4:4" x14ac:dyDescent="0.25">
      <c r="D460" s="31"/>
    </row>
    <row r="461" spans="4:4" x14ac:dyDescent="0.25">
      <c r="D461" s="31"/>
    </row>
    <row r="462" spans="4:4" x14ac:dyDescent="0.25">
      <c r="D462" s="31"/>
    </row>
    <row r="463" spans="4:4" x14ac:dyDescent="0.25">
      <c r="D463" s="31"/>
    </row>
    <row r="464" spans="4:4" x14ac:dyDescent="0.25">
      <c r="D464" s="31"/>
    </row>
    <row r="465" spans="4:4" x14ac:dyDescent="0.25">
      <c r="D465" s="31"/>
    </row>
    <row r="466" spans="4:4" x14ac:dyDescent="0.25">
      <c r="D466" s="31"/>
    </row>
    <row r="467" spans="4:4" x14ac:dyDescent="0.25">
      <c r="D467" s="31"/>
    </row>
    <row r="468" spans="4:4" x14ac:dyDescent="0.25">
      <c r="D468" s="31"/>
    </row>
    <row r="469" spans="4:4" x14ac:dyDescent="0.25">
      <c r="D469" s="31"/>
    </row>
    <row r="470" spans="4:4" x14ac:dyDescent="0.25">
      <c r="D470" s="31"/>
    </row>
    <row r="471" spans="4:4" x14ac:dyDescent="0.25">
      <c r="D471" s="31"/>
    </row>
    <row r="472" spans="4:4" x14ac:dyDescent="0.25">
      <c r="D472" s="31"/>
    </row>
    <row r="473" spans="4:4" x14ac:dyDescent="0.25">
      <c r="D473" s="31"/>
    </row>
    <row r="474" spans="4:4" x14ac:dyDescent="0.25">
      <c r="D474" s="31"/>
    </row>
    <row r="475" spans="4:4" x14ac:dyDescent="0.25">
      <c r="D475" s="31"/>
    </row>
    <row r="476" spans="4:4" x14ac:dyDescent="0.25">
      <c r="D476" s="31"/>
    </row>
    <row r="477" spans="4:4" x14ac:dyDescent="0.25">
      <c r="D477" s="31"/>
    </row>
    <row r="478" spans="4:4" x14ac:dyDescent="0.25">
      <c r="D478" s="31"/>
    </row>
    <row r="479" spans="4:4" x14ac:dyDescent="0.25">
      <c r="D479" s="31"/>
    </row>
    <row r="480" spans="4:4" x14ac:dyDescent="0.25">
      <c r="D480" s="31"/>
    </row>
    <row r="481" spans="4:4" x14ac:dyDescent="0.25">
      <c r="D481" s="31"/>
    </row>
    <row r="482" spans="4:4" x14ac:dyDescent="0.25">
      <c r="D482" s="31"/>
    </row>
    <row r="483" spans="4:4" x14ac:dyDescent="0.25">
      <c r="D483" s="31"/>
    </row>
    <row r="484" spans="4:4" x14ac:dyDescent="0.25">
      <c r="D484" s="31"/>
    </row>
    <row r="485" spans="4:4" x14ac:dyDescent="0.25">
      <c r="D485" s="31"/>
    </row>
    <row r="486" spans="4:4" x14ac:dyDescent="0.25">
      <c r="D486" s="31"/>
    </row>
    <row r="487" spans="4:4" x14ac:dyDescent="0.25">
      <c r="D487" s="31"/>
    </row>
    <row r="488" spans="4:4" x14ac:dyDescent="0.25">
      <c r="D488" s="31"/>
    </row>
    <row r="489" spans="4:4" x14ac:dyDescent="0.25">
      <c r="D489" s="31"/>
    </row>
    <row r="490" spans="4:4" x14ac:dyDescent="0.25">
      <c r="D490" s="31"/>
    </row>
    <row r="491" spans="4:4" x14ac:dyDescent="0.25">
      <c r="D491" s="31"/>
    </row>
    <row r="492" spans="4:4" x14ac:dyDescent="0.25">
      <c r="D492" s="31"/>
    </row>
    <row r="493" spans="4:4" x14ac:dyDescent="0.25">
      <c r="D493" s="31"/>
    </row>
    <row r="494" spans="4:4" x14ac:dyDescent="0.25">
      <c r="D494" s="31"/>
    </row>
    <row r="495" spans="4:4" x14ac:dyDescent="0.25">
      <c r="D495" s="31"/>
    </row>
    <row r="496" spans="4:4" x14ac:dyDescent="0.25">
      <c r="D496" s="31"/>
    </row>
    <row r="497" spans="4:4" x14ac:dyDescent="0.25">
      <c r="D497" s="31"/>
    </row>
    <row r="498" spans="4:4" x14ac:dyDescent="0.25">
      <c r="D498" s="31"/>
    </row>
    <row r="499" spans="4:4" x14ac:dyDescent="0.25">
      <c r="D499" s="31"/>
    </row>
    <row r="500" spans="4:4" x14ac:dyDescent="0.25">
      <c r="D500" s="31"/>
    </row>
    <row r="501" spans="4:4" x14ac:dyDescent="0.25">
      <c r="D501" s="31"/>
    </row>
    <row r="502" spans="4:4" x14ac:dyDescent="0.25">
      <c r="D502" s="31"/>
    </row>
    <row r="503" spans="4:4" x14ac:dyDescent="0.25">
      <c r="D503" s="31"/>
    </row>
    <row r="504" spans="4:4" x14ac:dyDescent="0.25">
      <c r="D504" s="31"/>
    </row>
    <row r="505" spans="4:4" x14ac:dyDescent="0.25">
      <c r="D505" s="31"/>
    </row>
    <row r="506" spans="4:4" x14ac:dyDescent="0.25">
      <c r="D506" s="31"/>
    </row>
    <row r="507" spans="4:4" x14ac:dyDescent="0.25">
      <c r="D507" s="31"/>
    </row>
    <row r="508" spans="4:4" x14ac:dyDescent="0.25">
      <c r="D508" s="31"/>
    </row>
    <row r="509" spans="4:4" x14ac:dyDescent="0.25">
      <c r="D509" s="31"/>
    </row>
    <row r="510" spans="4:4" x14ac:dyDescent="0.25">
      <c r="D510" s="31"/>
    </row>
    <row r="511" spans="4:4" x14ac:dyDescent="0.25">
      <c r="D511" s="31"/>
    </row>
    <row r="512" spans="4:4" x14ac:dyDescent="0.25">
      <c r="D512" s="31"/>
    </row>
    <row r="513" spans="4:4" x14ac:dyDescent="0.25">
      <c r="D513" s="31"/>
    </row>
    <row r="514" spans="4:4" x14ac:dyDescent="0.25">
      <c r="D514" s="31"/>
    </row>
    <row r="515" spans="4:4" x14ac:dyDescent="0.25">
      <c r="D515" s="31"/>
    </row>
    <row r="516" spans="4:4" x14ac:dyDescent="0.25">
      <c r="D516" s="31"/>
    </row>
    <row r="517" spans="4:4" x14ac:dyDescent="0.25">
      <c r="D517" s="31"/>
    </row>
    <row r="518" spans="4:4" x14ac:dyDescent="0.25">
      <c r="D518" s="31"/>
    </row>
    <row r="519" spans="4:4" x14ac:dyDescent="0.25">
      <c r="D519" s="31"/>
    </row>
    <row r="520" spans="4:4" x14ac:dyDescent="0.25">
      <c r="D520" s="31"/>
    </row>
    <row r="521" spans="4:4" x14ac:dyDescent="0.25">
      <c r="D521" s="31"/>
    </row>
    <row r="522" spans="4:4" x14ac:dyDescent="0.25">
      <c r="D522" s="31"/>
    </row>
    <row r="523" spans="4:4" x14ac:dyDescent="0.25">
      <c r="D523" s="31"/>
    </row>
    <row r="524" spans="4:4" x14ac:dyDescent="0.25">
      <c r="D524" s="31"/>
    </row>
    <row r="525" spans="4:4" x14ac:dyDescent="0.25">
      <c r="D525" s="31"/>
    </row>
    <row r="526" spans="4:4" x14ac:dyDescent="0.25">
      <c r="D526" s="31"/>
    </row>
    <row r="527" spans="4:4" x14ac:dyDescent="0.25">
      <c r="D527" s="31"/>
    </row>
    <row r="528" spans="4:4" x14ac:dyDescent="0.25">
      <c r="D528" s="31"/>
    </row>
    <row r="529" spans="4:4" x14ac:dyDescent="0.25">
      <c r="D529" s="31"/>
    </row>
    <row r="530" spans="4:4" x14ac:dyDescent="0.25">
      <c r="D530" s="31"/>
    </row>
    <row r="531" spans="4:4" x14ac:dyDescent="0.25">
      <c r="D531" s="31"/>
    </row>
    <row r="532" spans="4:4" x14ac:dyDescent="0.25">
      <c r="D532" s="31"/>
    </row>
    <row r="533" spans="4:4" x14ac:dyDescent="0.25">
      <c r="D533" s="31"/>
    </row>
    <row r="534" spans="4:4" x14ac:dyDescent="0.25">
      <c r="D534" s="31"/>
    </row>
    <row r="535" spans="4:4" x14ac:dyDescent="0.25">
      <c r="D535" s="31"/>
    </row>
  </sheetData>
  <sheetProtection formatCells="0" formatColumns="0" formatRows="0"/>
  <conditionalFormatting sqref="G15">
    <cfRule type="cellIs" dxfId="8" priority="16" stopIfTrue="1" operator="notEqual">
      <formula>0</formula>
    </cfRule>
  </conditionalFormatting>
  <conditionalFormatting sqref="G26">
    <cfRule type="cellIs" dxfId="7" priority="15" stopIfTrue="1" operator="notEqual">
      <formula>0</formula>
    </cfRule>
  </conditionalFormatting>
  <conditionalFormatting sqref="G27:G29">
    <cfRule type="cellIs" dxfId="6" priority="14" stopIfTrue="1" operator="notEqual">
      <formula>0</formula>
    </cfRule>
  </conditionalFormatting>
  <conditionalFormatting sqref="G39">
    <cfRule type="cellIs" dxfId="5" priority="13" stopIfTrue="1" operator="notEqual">
      <formula>0</formula>
    </cfRule>
  </conditionalFormatting>
  <conditionalFormatting sqref="G48">
    <cfRule type="cellIs" dxfId="4" priority="12" stopIfTrue="1" operator="notEqual">
      <formula>0</formula>
    </cfRule>
  </conditionalFormatting>
  <conditionalFormatting sqref="G49">
    <cfRule type="cellIs" dxfId="3" priority="11" stopIfTrue="1" operator="notEqual">
      <formula>0</formula>
    </cfRule>
  </conditionalFormatting>
  <conditionalFormatting sqref="L83">
    <cfRule type="cellIs" dxfId="2" priority="4" stopIfTrue="1" operator="notEqual">
      <formula>0</formula>
    </cfRule>
  </conditionalFormatting>
  <conditionalFormatting sqref="J83">
    <cfRule type="cellIs" dxfId="1" priority="2" stopIfTrue="1" operator="greaterThan">
      <formula>0</formula>
    </cfRule>
  </conditionalFormatting>
  <conditionalFormatting sqref="G33">
    <cfRule type="containsText" dxfId="0" priority="1" stopIfTrue="1" operator="containsText" text="included in error count">
      <formula>NOT(ISERROR(SEARCH("included in error count",G33)))</formula>
    </cfRule>
  </conditionalFormatting>
  <dataValidations count="4">
    <dataValidation type="list" allowBlank="1" showInputMessage="1" showErrorMessage="1" sqref="M76:M77" xr:uid="{00000000-0002-0000-0200-000000000000}">
      <formula1>$R$1:$R$4</formula1>
    </dataValidation>
    <dataValidation type="list" allowBlank="1" showInputMessage="1" showErrorMessage="1" sqref="L75" xr:uid="{00000000-0002-0000-0200-000001000000}">
      <formula1>$S$1:$S$7</formula1>
    </dataValidation>
    <dataValidation type="list" allowBlank="1" showInputMessage="1" showErrorMessage="1" sqref="L76" xr:uid="{00000000-0002-0000-0200-000002000000}">
      <formula1>$R$1:$R$5</formula1>
    </dataValidation>
    <dataValidation type="list" allowBlank="1" showInputMessage="1" showErrorMessage="1" sqref="L77" xr:uid="{00000000-0002-0000-0200-000003000000}">
      <formula1>$R$1:$R$2</formula1>
    </dataValidation>
  </dataValidations>
  <pageMargins left="0.7" right="0.7" top="0.75" bottom="0.75" header="0.3" footer="0.3"/>
  <pageSetup scale="69" fitToHeight="0" orientation="landscape" r:id="rId1"/>
  <ignoredErrors>
    <ignoredError sqref="F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3"/>
  <sheetViews>
    <sheetView showGridLines="0" workbookViewId="0">
      <selection activeCell="K25" sqref="K25"/>
    </sheetView>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67" customFormat="1" x14ac:dyDescent="0.25"/>
    <row r="2" spans="1:8" ht="54.75" customHeight="1" x14ac:dyDescent="0.25">
      <c r="A2" s="399" t="s">
        <v>68</v>
      </c>
      <c r="B2" s="399"/>
      <c r="C2" s="399"/>
      <c r="D2" s="399"/>
      <c r="E2" s="399"/>
      <c r="F2" s="113"/>
      <c r="G2" s="113"/>
      <c r="H2" s="112"/>
    </row>
    <row r="3" spans="1:8" x14ac:dyDescent="0.25">
      <c r="A3" s="67"/>
      <c r="B3" s="67"/>
      <c r="C3" s="67"/>
      <c r="D3" s="67"/>
      <c r="E3" s="67"/>
      <c r="F3" s="67"/>
      <c r="G3" s="67"/>
      <c r="H3" s="67"/>
    </row>
    <row r="4" spans="1:8" ht="15.75" x14ac:dyDescent="0.25">
      <c r="A4" s="69"/>
      <c r="B4" s="70">
        <f>'Collection Worksheet'!D2</f>
        <v>0</v>
      </c>
      <c r="C4" s="71"/>
      <c r="D4" s="72"/>
      <c r="E4" s="73"/>
      <c r="F4" s="76">
        <f>'Collection Worksheet'!F5</f>
        <v>2019</v>
      </c>
      <c r="G4" s="69"/>
      <c r="H4" s="76">
        <f>'Collection Worksheet'!F5</f>
        <v>2019</v>
      </c>
    </row>
    <row r="5" spans="1:8" ht="38.25" x14ac:dyDescent="0.3">
      <c r="A5" s="74"/>
      <c r="B5" s="75" t="s">
        <v>35</v>
      </c>
      <c r="C5" s="74"/>
      <c r="D5" s="74"/>
      <c r="E5" s="74"/>
      <c r="F5" s="76" t="s">
        <v>36</v>
      </c>
      <c r="G5" s="74"/>
      <c r="H5" s="77" t="s">
        <v>37</v>
      </c>
    </row>
    <row r="6" spans="1:8" x14ac:dyDescent="0.25">
      <c r="A6" s="69"/>
      <c r="B6" s="78" t="s">
        <v>38</v>
      </c>
      <c r="C6" s="69"/>
      <c r="D6" s="79"/>
      <c r="E6" s="79"/>
      <c r="F6" s="79"/>
      <c r="G6" s="79"/>
      <c r="H6" s="79"/>
    </row>
    <row r="7" spans="1:8" x14ac:dyDescent="0.25">
      <c r="A7" s="69"/>
      <c r="B7" s="79" t="s">
        <v>39</v>
      </c>
      <c r="C7" s="69"/>
      <c r="D7" s="79"/>
      <c r="E7" s="79" t="s">
        <v>8</v>
      </c>
      <c r="F7" s="80">
        <f>IMPORT!L30</f>
        <v>0</v>
      </c>
      <c r="G7" s="81"/>
      <c r="H7" s="80">
        <f>F7</f>
        <v>0</v>
      </c>
    </row>
    <row r="8" spans="1:8" ht="44.25" customHeight="1" x14ac:dyDescent="0.25">
      <c r="A8" s="69"/>
      <c r="B8" s="396" t="s">
        <v>40</v>
      </c>
      <c r="C8" s="396"/>
      <c r="D8" s="396"/>
      <c r="E8" s="79" t="s">
        <v>8</v>
      </c>
      <c r="F8" s="82">
        <f>IMPORT!L31</f>
        <v>0</v>
      </c>
      <c r="G8" s="83"/>
      <c r="H8" s="83"/>
    </row>
    <row r="9" spans="1:8" x14ac:dyDescent="0.25">
      <c r="A9" s="69"/>
      <c r="B9" s="69"/>
      <c r="C9" s="79" t="s">
        <v>116</v>
      </c>
      <c r="D9" s="69"/>
      <c r="E9" s="79" t="s">
        <v>8</v>
      </c>
      <c r="F9" s="84">
        <f>IMPORT!L34</f>
        <v>0</v>
      </c>
      <c r="G9" s="83"/>
      <c r="H9" s="84">
        <f>F9</f>
        <v>0</v>
      </c>
    </row>
    <row r="10" spans="1:8" x14ac:dyDescent="0.25">
      <c r="A10" s="69"/>
      <c r="B10" s="69"/>
      <c r="C10" s="79" t="s">
        <v>41</v>
      </c>
      <c r="D10" s="69"/>
      <c r="E10" s="79" t="s">
        <v>8</v>
      </c>
      <c r="F10" s="84">
        <f>IMPORT!L73</f>
        <v>0</v>
      </c>
      <c r="G10" s="83"/>
      <c r="H10" s="84">
        <f>F10</f>
        <v>0</v>
      </c>
    </row>
    <row r="11" spans="1:8" x14ac:dyDescent="0.25">
      <c r="A11" s="69"/>
      <c r="B11" s="69"/>
      <c r="C11" s="79" t="s">
        <v>42</v>
      </c>
      <c r="D11" s="69"/>
      <c r="E11" s="79" t="s">
        <v>8</v>
      </c>
      <c r="F11" s="85">
        <f>IMPORT!L35</f>
        <v>0</v>
      </c>
      <c r="G11" s="86"/>
      <c r="H11" s="85">
        <f>F11</f>
        <v>0</v>
      </c>
    </row>
    <row r="12" spans="1:8" x14ac:dyDescent="0.25">
      <c r="A12" s="69"/>
      <c r="B12" s="87" t="s">
        <v>43</v>
      </c>
      <c r="C12" s="88" t="s">
        <v>44</v>
      </c>
      <c r="D12" s="89"/>
      <c r="E12" s="90" t="s">
        <v>8</v>
      </c>
      <c r="F12" s="91">
        <f>F7+F8-SUM(F9:F11)</f>
        <v>0</v>
      </c>
      <c r="G12" s="92"/>
      <c r="H12" s="91">
        <f>H7+H8-SUM(H9:H11)</f>
        <v>0</v>
      </c>
    </row>
    <row r="13" spans="1:8" x14ac:dyDescent="0.25">
      <c r="A13" s="69"/>
      <c r="B13" s="69"/>
      <c r="C13" s="79"/>
      <c r="D13" s="79"/>
      <c r="E13" s="79" t="s">
        <v>8</v>
      </c>
      <c r="F13" s="79"/>
      <c r="G13" s="79"/>
      <c r="H13" s="79"/>
    </row>
    <row r="14" spans="1:8" x14ac:dyDescent="0.25">
      <c r="A14" s="69"/>
      <c r="B14" s="79" t="s">
        <v>45</v>
      </c>
      <c r="C14" s="69"/>
      <c r="D14" s="79"/>
      <c r="E14" s="79" t="s">
        <v>8</v>
      </c>
      <c r="F14" s="93">
        <f>IMPORT!L39</f>
        <v>0</v>
      </c>
      <c r="G14" s="79"/>
      <c r="H14" s="79"/>
    </row>
    <row r="15" spans="1:8" x14ac:dyDescent="0.25">
      <c r="A15" s="69"/>
      <c r="B15" s="79" t="s">
        <v>46</v>
      </c>
      <c r="C15" s="69"/>
      <c r="D15" s="79"/>
      <c r="E15" s="79" t="s">
        <v>8</v>
      </c>
      <c r="F15" s="94">
        <f>F14-F12</f>
        <v>0</v>
      </c>
      <c r="G15" s="79"/>
      <c r="H15" s="79"/>
    </row>
    <row r="16" spans="1:8" x14ac:dyDescent="0.25">
      <c r="A16" s="69"/>
      <c r="B16" s="95" t="s">
        <v>47</v>
      </c>
      <c r="C16" s="69"/>
      <c r="D16" s="79"/>
      <c r="E16" s="79"/>
      <c r="F16" s="79"/>
      <c r="G16" s="79"/>
      <c r="H16" s="79"/>
    </row>
    <row r="17" spans="1:8" x14ac:dyDescent="0.25">
      <c r="A17" s="67"/>
      <c r="B17" s="96" t="s">
        <v>48</v>
      </c>
      <c r="C17" s="79" t="s">
        <v>49</v>
      </c>
      <c r="D17" s="69"/>
      <c r="E17" s="79" t="s">
        <v>8</v>
      </c>
      <c r="F17" s="97">
        <f>IMPORT!L38</f>
        <v>0</v>
      </c>
      <c r="G17" s="79"/>
      <c r="H17" s="79"/>
    </row>
    <row r="18" spans="1:8" ht="15.75" thickBot="1" x14ac:dyDescent="0.3">
      <c r="A18" s="67"/>
      <c r="B18" s="87" t="s">
        <v>43</v>
      </c>
      <c r="C18" s="88" t="s">
        <v>50</v>
      </c>
      <c r="D18" s="89"/>
      <c r="E18" s="90" t="s">
        <v>8</v>
      </c>
      <c r="F18" s="98">
        <f>(F15-SUM(F17:F17))</f>
        <v>0</v>
      </c>
      <c r="G18" s="79"/>
      <c r="H18" s="79"/>
    </row>
    <row r="19" spans="1:8" ht="15.75" thickTop="1" x14ac:dyDescent="0.25">
      <c r="A19" s="67"/>
      <c r="B19" s="69"/>
      <c r="C19" s="79"/>
      <c r="D19" s="79"/>
      <c r="E19" s="79"/>
      <c r="F19" s="79"/>
      <c r="G19" s="79"/>
      <c r="H19" s="79"/>
    </row>
    <row r="20" spans="1:8" ht="15.75" thickBot="1" x14ac:dyDescent="0.3">
      <c r="A20" s="67"/>
      <c r="B20" s="79" t="s">
        <v>51</v>
      </c>
      <c r="C20" s="69"/>
      <c r="D20" s="79"/>
      <c r="E20" s="79" t="s">
        <v>8</v>
      </c>
      <c r="F20" s="99">
        <f>IMPORT!L37</f>
        <v>0</v>
      </c>
      <c r="G20" s="79"/>
      <c r="H20" s="79"/>
    </row>
    <row r="21" spans="1:8" ht="16.5" thickTop="1" thickBot="1" x14ac:dyDescent="0.3">
      <c r="A21" s="67"/>
      <c r="B21" s="69"/>
      <c r="C21" s="100" t="str">
        <f>IF(F18&gt;F20, "Restricted-Stabilization by State Statute understated by ",IF(F20&gt;F18, "Restricted-Stabilization by State Statute overstated by ","Restricted-Stabilization by State Statutue Reportedly Correctly. "))</f>
        <v xml:space="preserve">Restricted-Stabilization by State Statutue Reportedly Correctly. </v>
      </c>
      <c r="D21" s="69"/>
      <c r="E21" s="79" t="s">
        <v>8</v>
      </c>
      <c r="F21" s="101">
        <f>ABS(F18-F20)</f>
        <v>0</v>
      </c>
      <c r="G21" s="79"/>
      <c r="H21" s="79"/>
    </row>
    <row r="22" spans="1:8" ht="50.25" customHeight="1" thickTop="1" x14ac:dyDescent="0.25">
      <c r="A22" s="67"/>
      <c r="B22" s="69"/>
      <c r="C22" s="397" t="str">
        <f>IF(F18&gt;F20,"Since Restricted-Stabilization by State Statute was understated, verfiy that the unit did not appropriate fund balance in excess of legal amount available in row 13 above.","")</f>
        <v/>
      </c>
      <c r="D22" s="397"/>
      <c r="E22" s="397"/>
      <c r="F22" s="397"/>
      <c r="G22" s="79"/>
      <c r="H22" s="79"/>
    </row>
    <row r="23" spans="1:8" x14ac:dyDescent="0.25">
      <c r="A23" s="67"/>
      <c r="B23" s="69"/>
      <c r="C23" s="398" t="s">
        <v>52</v>
      </c>
      <c r="D23" s="79"/>
      <c r="E23" s="79"/>
      <c r="F23" s="79"/>
      <c r="G23" s="79"/>
      <c r="H23" s="102" t="s">
        <v>53</v>
      </c>
    </row>
    <row r="24" spans="1:8" x14ac:dyDescent="0.25">
      <c r="A24" s="67"/>
      <c r="B24" s="69"/>
      <c r="C24" s="398"/>
      <c r="D24" s="79"/>
      <c r="E24" s="79"/>
      <c r="F24" s="76" t="s">
        <v>54</v>
      </c>
      <c r="G24" s="79"/>
      <c r="H24" s="76" t="s">
        <v>62</v>
      </c>
    </row>
    <row r="25" spans="1:8" x14ac:dyDescent="0.25">
      <c r="A25" s="67"/>
      <c r="B25" s="69"/>
      <c r="C25" s="78" t="s">
        <v>55</v>
      </c>
      <c r="D25" s="79"/>
      <c r="E25" s="79"/>
      <c r="F25" s="79"/>
      <c r="G25" s="79"/>
      <c r="H25" s="79"/>
    </row>
    <row r="26" spans="1:8" ht="25.15" customHeight="1" x14ac:dyDescent="0.25">
      <c r="A26" s="67"/>
      <c r="B26" s="69"/>
      <c r="C26" s="79" t="s">
        <v>56</v>
      </c>
      <c r="D26" s="79"/>
      <c r="E26" s="79" t="s">
        <v>8</v>
      </c>
      <c r="F26" s="80">
        <f>IMPORT!L41</f>
        <v>0</v>
      </c>
      <c r="G26" s="81"/>
      <c r="H26" s="103">
        <f>F26</f>
        <v>0</v>
      </c>
    </row>
    <row r="27" spans="1:8" x14ac:dyDescent="0.25">
      <c r="A27" s="67"/>
      <c r="B27" s="69"/>
      <c r="C27" s="96" t="s">
        <v>57</v>
      </c>
      <c r="D27" s="79"/>
      <c r="E27" s="79"/>
      <c r="F27" s="79"/>
      <c r="G27" s="79"/>
      <c r="H27" s="79"/>
    </row>
    <row r="28" spans="1:8" x14ac:dyDescent="0.25">
      <c r="A28" s="67"/>
      <c r="B28" s="69"/>
      <c r="C28" s="79" t="s">
        <v>58</v>
      </c>
      <c r="D28" s="69"/>
      <c r="E28" s="79" t="s">
        <v>8</v>
      </c>
      <c r="F28" s="109">
        <f>IMPORT!L43</f>
        <v>0</v>
      </c>
      <c r="G28" s="83"/>
      <c r="H28" s="104">
        <f>F28</f>
        <v>0</v>
      </c>
    </row>
    <row r="29" spans="1:8" x14ac:dyDescent="0.25">
      <c r="A29" s="67"/>
      <c r="B29" s="69"/>
      <c r="C29" s="79" t="s">
        <v>59</v>
      </c>
      <c r="D29" s="69"/>
      <c r="E29" s="79" t="s">
        <v>8</v>
      </c>
      <c r="F29" s="110">
        <f>IMPORT!L44+IMPORT!L45</f>
        <v>0</v>
      </c>
      <c r="G29" s="83"/>
      <c r="H29" s="105">
        <f>F29</f>
        <v>0</v>
      </c>
    </row>
    <row r="30" spans="1:8" ht="15.75" thickBot="1" x14ac:dyDescent="0.3">
      <c r="A30" s="67"/>
      <c r="B30" s="69"/>
      <c r="C30" s="79" t="s">
        <v>60</v>
      </c>
      <c r="D30" s="79"/>
      <c r="E30" s="79" t="s">
        <v>8</v>
      </c>
      <c r="F30" s="106">
        <f>SUM(F26:F28)-F29</f>
        <v>0</v>
      </c>
      <c r="G30" s="81"/>
      <c r="H30" s="106">
        <f>SUM(H26:H28)-H29</f>
        <v>0</v>
      </c>
    </row>
    <row r="31" spans="1:8" ht="15.75" thickTop="1" x14ac:dyDescent="0.25">
      <c r="A31" s="67"/>
      <c r="B31" s="69"/>
      <c r="C31" s="79"/>
      <c r="D31" s="79"/>
      <c r="E31" s="79"/>
      <c r="F31" s="79"/>
      <c r="G31" s="79"/>
      <c r="H31" s="79"/>
    </row>
    <row r="32" spans="1:8" ht="15.75" thickBot="1" x14ac:dyDescent="0.3">
      <c r="A32" s="67"/>
      <c r="B32" s="87" t="s">
        <v>43</v>
      </c>
      <c r="C32" s="100" t="s">
        <v>61</v>
      </c>
      <c r="D32" s="107"/>
      <c r="E32" s="100" t="s">
        <v>8</v>
      </c>
      <c r="F32" s="108" t="e">
        <f>F12/F30</f>
        <v>#DIV/0!</v>
      </c>
      <c r="G32" s="79"/>
      <c r="H32" s="108" t="e">
        <f>H12/H30</f>
        <v>#DIV/0!</v>
      </c>
    </row>
    <row r="33" spans="1:8" ht="15.75" thickTop="1" x14ac:dyDescent="0.25">
      <c r="A33" s="67"/>
      <c r="B33" s="67"/>
      <c r="C33" s="79"/>
      <c r="D33" s="79"/>
      <c r="E33" s="79"/>
      <c r="F33" s="79"/>
      <c r="G33" s="79"/>
      <c r="H33" s="79"/>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70"/>
  <sheetViews>
    <sheetView workbookViewId="0">
      <selection activeCell="C41" sqref="C41"/>
    </sheetView>
  </sheetViews>
  <sheetFormatPr defaultRowHeight="15" x14ac:dyDescent="0.25"/>
  <cols>
    <col min="1" max="1" width="52" style="1" customWidth="1"/>
    <col min="2" max="3" width="9.140625" style="1"/>
    <col min="4" max="4" width="12.42578125" style="1" customWidth="1"/>
    <col min="5" max="16384" width="9.140625" style="1"/>
  </cols>
  <sheetData>
    <row r="1" spans="1:10" x14ac:dyDescent="0.25">
      <c r="A1" s="270" t="s">
        <v>296</v>
      </c>
      <c r="B1" s="270">
        <v>541777</v>
      </c>
      <c r="D1" s="1" t="s">
        <v>296</v>
      </c>
      <c r="E1" s="1">
        <v>541777</v>
      </c>
      <c r="G1" s="1" t="s">
        <v>28</v>
      </c>
      <c r="I1" s="1" t="b">
        <f>EXACT(A1,D1)</f>
        <v>1</v>
      </c>
      <c r="J1" s="1" t="b">
        <f>EXACT(B1,E1)</f>
        <v>1</v>
      </c>
    </row>
    <row r="2" spans="1:10" ht="15" customHeight="1" x14ac:dyDescent="0.25">
      <c r="A2" s="270" t="s">
        <v>297</v>
      </c>
      <c r="B2" s="270">
        <v>541000</v>
      </c>
      <c r="D2" s="1" t="s">
        <v>297</v>
      </c>
      <c r="E2" s="1">
        <v>541000</v>
      </c>
      <c r="G2" s="1" t="s">
        <v>29</v>
      </c>
      <c r="I2" s="332" t="b">
        <f t="shared" ref="I2:I29" si="0">EXACT(A2,D2)</f>
        <v>1</v>
      </c>
      <c r="J2" s="332" t="b">
        <f t="shared" ref="J2:J29" si="1">EXACT(B2,E2)</f>
        <v>1</v>
      </c>
    </row>
    <row r="3" spans="1:10" ht="15" customHeight="1" x14ac:dyDescent="0.25">
      <c r="A3" s="270" t="s">
        <v>298</v>
      </c>
      <c r="B3" s="270">
        <v>54949</v>
      </c>
      <c r="D3" s="1" t="s">
        <v>298</v>
      </c>
      <c r="E3" s="1">
        <v>54949</v>
      </c>
      <c r="I3" s="332" t="b">
        <f t="shared" si="0"/>
        <v>1</v>
      </c>
      <c r="J3" s="332" t="b">
        <f t="shared" si="1"/>
        <v>1</v>
      </c>
    </row>
    <row r="4" spans="1:10" x14ac:dyDescent="0.25">
      <c r="A4" s="270" t="s">
        <v>299</v>
      </c>
      <c r="B4" s="270">
        <v>54937</v>
      </c>
      <c r="D4" s="1" t="s">
        <v>299</v>
      </c>
      <c r="E4" s="1">
        <v>54937</v>
      </c>
      <c r="I4" s="332" t="b">
        <f t="shared" si="0"/>
        <v>1</v>
      </c>
      <c r="J4" s="332" t="b">
        <f t="shared" si="1"/>
        <v>1</v>
      </c>
    </row>
    <row r="5" spans="1:10" x14ac:dyDescent="0.25">
      <c r="A5" s="270" t="s">
        <v>300</v>
      </c>
      <c r="B5" s="270">
        <v>541001</v>
      </c>
      <c r="D5" s="1" t="s">
        <v>300</v>
      </c>
      <c r="E5" s="1">
        <v>541001</v>
      </c>
      <c r="I5" s="332" t="b">
        <f t="shared" si="0"/>
        <v>1</v>
      </c>
      <c r="J5" s="332" t="b">
        <f t="shared" si="1"/>
        <v>1</v>
      </c>
    </row>
    <row r="6" spans="1:10" x14ac:dyDescent="0.25">
      <c r="A6" s="270" t="s">
        <v>301</v>
      </c>
      <c r="B6" s="270">
        <v>541002</v>
      </c>
      <c r="D6" s="1" t="s">
        <v>301</v>
      </c>
      <c r="E6" s="1">
        <v>541002</v>
      </c>
      <c r="I6" s="332" t="b">
        <f t="shared" si="0"/>
        <v>1</v>
      </c>
      <c r="J6" s="332" t="b">
        <f t="shared" si="1"/>
        <v>1</v>
      </c>
    </row>
    <row r="7" spans="1:10" x14ac:dyDescent="0.25">
      <c r="A7" s="270" t="s">
        <v>302</v>
      </c>
      <c r="B7" s="270">
        <v>541003</v>
      </c>
      <c r="D7" s="1" t="s">
        <v>302</v>
      </c>
      <c r="E7" s="1">
        <v>541003</v>
      </c>
      <c r="I7" s="332" t="b">
        <f t="shared" si="0"/>
        <v>1</v>
      </c>
      <c r="J7" s="332" t="b">
        <f t="shared" si="1"/>
        <v>1</v>
      </c>
    </row>
    <row r="8" spans="1:10" s="332" customFormat="1" x14ac:dyDescent="0.25">
      <c r="A8" s="31" t="s">
        <v>355</v>
      </c>
      <c r="B8" s="335">
        <v>544178</v>
      </c>
      <c r="D8" s="332" t="s">
        <v>355</v>
      </c>
      <c r="E8" s="332">
        <v>544178</v>
      </c>
      <c r="I8" s="332" t="b">
        <f t="shared" si="0"/>
        <v>1</v>
      </c>
      <c r="J8" s="332" t="b">
        <f t="shared" si="1"/>
        <v>1</v>
      </c>
    </row>
    <row r="9" spans="1:10" x14ac:dyDescent="0.25">
      <c r="A9" s="270" t="s">
        <v>303</v>
      </c>
      <c r="B9" s="270">
        <v>541004</v>
      </c>
      <c r="D9" s="1" t="s">
        <v>303</v>
      </c>
      <c r="E9" s="1">
        <v>541004</v>
      </c>
      <c r="I9" s="332" t="b">
        <f t="shared" si="0"/>
        <v>1</v>
      </c>
      <c r="J9" s="332" t="b">
        <f t="shared" si="1"/>
        <v>1</v>
      </c>
    </row>
    <row r="10" spans="1:10" x14ac:dyDescent="0.25">
      <c r="A10" s="270" t="s">
        <v>304</v>
      </c>
      <c r="B10" s="270">
        <v>541727</v>
      </c>
      <c r="D10" s="1" t="s">
        <v>304</v>
      </c>
      <c r="E10" s="1">
        <v>541727</v>
      </c>
      <c r="I10" s="332" t="b">
        <f t="shared" si="0"/>
        <v>1</v>
      </c>
      <c r="J10" s="332" t="b">
        <f t="shared" si="1"/>
        <v>1</v>
      </c>
    </row>
    <row r="11" spans="1:10" x14ac:dyDescent="0.25">
      <c r="A11" s="270" t="s">
        <v>305</v>
      </c>
      <c r="B11" s="270">
        <v>541010</v>
      </c>
      <c r="D11" s="1" t="s">
        <v>305</v>
      </c>
      <c r="E11" s="1">
        <v>541010</v>
      </c>
      <c r="I11" s="332" t="b">
        <f t="shared" si="0"/>
        <v>1</v>
      </c>
      <c r="J11" s="332" t="b">
        <f t="shared" si="1"/>
        <v>1</v>
      </c>
    </row>
    <row r="12" spans="1:10" x14ac:dyDescent="0.25">
      <c r="A12" s="270" t="s">
        <v>306</v>
      </c>
      <c r="B12" s="270">
        <v>541005</v>
      </c>
      <c r="D12" s="1" t="s">
        <v>306</v>
      </c>
      <c r="E12" s="1">
        <v>541005</v>
      </c>
      <c r="I12" s="332" t="b">
        <f t="shared" si="0"/>
        <v>1</v>
      </c>
      <c r="J12" s="332" t="b">
        <f t="shared" si="1"/>
        <v>1</v>
      </c>
    </row>
    <row r="13" spans="1:10" x14ac:dyDescent="0.25">
      <c r="A13" s="270" t="s">
        <v>307</v>
      </c>
      <c r="B13" s="270">
        <v>541025</v>
      </c>
      <c r="D13" s="1" t="s">
        <v>307</v>
      </c>
      <c r="E13" s="1">
        <v>541025</v>
      </c>
      <c r="I13" s="332" t="b">
        <f t="shared" si="0"/>
        <v>1</v>
      </c>
      <c r="J13" s="332" t="b">
        <f t="shared" si="1"/>
        <v>1</v>
      </c>
    </row>
    <row r="14" spans="1:10" x14ac:dyDescent="0.25">
      <c r="A14" s="270" t="s">
        <v>308</v>
      </c>
      <c r="B14" s="270">
        <v>541007</v>
      </c>
      <c r="D14" s="1" t="s">
        <v>308</v>
      </c>
      <c r="E14" s="1">
        <v>541007</v>
      </c>
      <c r="I14" s="332" t="b">
        <f t="shared" si="0"/>
        <v>1</v>
      </c>
      <c r="J14" s="332" t="b">
        <f t="shared" si="1"/>
        <v>1</v>
      </c>
    </row>
    <row r="15" spans="1:10" x14ac:dyDescent="0.25">
      <c r="A15" s="270" t="s">
        <v>309</v>
      </c>
      <c r="B15" s="270">
        <v>541009</v>
      </c>
      <c r="D15" s="1" t="s">
        <v>309</v>
      </c>
      <c r="E15" s="1">
        <v>541009</v>
      </c>
      <c r="I15" s="332" t="b">
        <f t="shared" si="0"/>
        <v>1</v>
      </c>
      <c r="J15" s="332" t="b">
        <f t="shared" si="1"/>
        <v>1</v>
      </c>
    </row>
    <row r="16" spans="1:10" x14ac:dyDescent="0.25">
      <c r="A16" s="270" t="s">
        <v>310</v>
      </c>
      <c r="B16" s="270">
        <v>541024</v>
      </c>
      <c r="D16" s="1" t="s">
        <v>310</v>
      </c>
      <c r="E16" s="1">
        <v>541024</v>
      </c>
      <c r="I16" s="332" t="b">
        <f t="shared" si="0"/>
        <v>1</v>
      </c>
      <c r="J16" s="332" t="b">
        <f t="shared" si="1"/>
        <v>1</v>
      </c>
    </row>
    <row r="17" spans="1:10" x14ac:dyDescent="0.25">
      <c r="A17" s="270" t="s">
        <v>311</v>
      </c>
      <c r="B17" s="270">
        <v>541027</v>
      </c>
      <c r="D17" s="1" t="s">
        <v>311</v>
      </c>
      <c r="E17" s="1">
        <v>541027</v>
      </c>
      <c r="I17" s="332" t="b">
        <f t="shared" si="0"/>
        <v>1</v>
      </c>
      <c r="J17" s="332" t="b">
        <f t="shared" si="1"/>
        <v>1</v>
      </c>
    </row>
    <row r="18" spans="1:10" x14ac:dyDescent="0.25">
      <c r="A18" s="270" t="s">
        <v>312</v>
      </c>
      <c r="B18" s="270">
        <v>541026</v>
      </c>
      <c r="D18" s="1" t="s">
        <v>312</v>
      </c>
      <c r="E18" s="1">
        <v>541026</v>
      </c>
      <c r="I18" s="332" t="b">
        <f t="shared" si="0"/>
        <v>1</v>
      </c>
      <c r="J18" s="332" t="b">
        <f t="shared" si="1"/>
        <v>1</v>
      </c>
    </row>
    <row r="19" spans="1:10" x14ac:dyDescent="0.25">
      <c r="A19" s="270" t="s">
        <v>313</v>
      </c>
      <c r="B19" s="270">
        <v>541011</v>
      </c>
      <c r="D19" s="1" t="s">
        <v>313</v>
      </c>
      <c r="E19" s="1">
        <v>541011</v>
      </c>
      <c r="I19" s="332" t="b">
        <f t="shared" si="0"/>
        <v>1</v>
      </c>
      <c r="J19" s="332" t="b">
        <f t="shared" si="1"/>
        <v>1</v>
      </c>
    </row>
    <row r="20" spans="1:10" x14ac:dyDescent="0.25">
      <c r="A20" s="270" t="s">
        <v>314</v>
      </c>
      <c r="B20" s="270">
        <v>541012</v>
      </c>
      <c r="D20" s="1" t="s">
        <v>314</v>
      </c>
      <c r="E20" s="1">
        <v>541012</v>
      </c>
      <c r="I20" s="332" t="b">
        <f t="shared" si="0"/>
        <v>1</v>
      </c>
      <c r="J20" s="332" t="b">
        <f t="shared" si="1"/>
        <v>1</v>
      </c>
    </row>
    <row r="21" spans="1:10" x14ac:dyDescent="0.25">
      <c r="A21" s="270" t="s">
        <v>315</v>
      </c>
      <c r="B21" s="270">
        <v>541013</v>
      </c>
      <c r="D21" s="1" t="s">
        <v>315</v>
      </c>
      <c r="E21" s="1">
        <v>541013</v>
      </c>
      <c r="I21" s="332" t="b">
        <f t="shared" si="0"/>
        <v>1</v>
      </c>
      <c r="J21" s="332" t="b">
        <f t="shared" si="1"/>
        <v>1</v>
      </c>
    </row>
    <row r="22" spans="1:10" x14ac:dyDescent="0.25">
      <c r="A22" s="270" t="s">
        <v>316</v>
      </c>
      <c r="B22" s="270">
        <v>541014</v>
      </c>
      <c r="D22" s="1" t="s">
        <v>316</v>
      </c>
      <c r="E22" s="1">
        <v>541014</v>
      </c>
      <c r="I22" s="332" t="b">
        <f t="shared" si="0"/>
        <v>1</v>
      </c>
      <c r="J22" s="332" t="b">
        <f t="shared" si="1"/>
        <v>1</v>
      </c>
    </row>
    <row r="23" spans="1:10" x14ac:dyDescent="0.25">
      <c r="A23" s="270" t="s">
        <v>317</v>
      </c>
      <c r="B23" s="270">
        <v>541015</v>
      </c>
      <c r="D23" s="1" t="s">
        <v>317</v>
      </c>
      <c r="E23" s="1">
        <v>541015</v>
      </c>
      <c r="I23" s="332" t="b">
        <f t="shared" si="0"/>
        <v>1</v>
      </c>
      <c r="J23" s="332" t="b">
        <f t="shared" si="1"/>
        <v>1</v>
      </c>
    </row>
    <row r="24" spans="1:10" x14ac:dyDescent="0.25">
      <c r="A24" s="270" t="s">
        <v>318</v>
      </c>
      <c r="B24" s="270">
        <v>541016</v>
      </c>
      <c r="D24" s="1" t="s">
        <v>318</v>
      </c>
      <c r="E24" s="1">
        <v>541016</v>
      </c>
      <c r="I24" s="332" t="b">
        <f t="shared" si="0"/>
        <v>1</v>
      </c>
      <c r="J24" s="332" t="b">
        <f t="shared" si="1"/>
        <v>1</v>
      </c>
    </row>
    <row r="25" spans="1:10" x14ac:dyDescent="0.25">
      <c r="A25" s="270" t="s">
        <v>319</v>
      </c>
      <c r="B25" s="270">
        <v>541017</v>
      </c>
      <c r="D25" s="1" t="s">
        <v>319</v>
      </c>
      <c r="E25" s="1">
        <v>541017</v>
      </c>
      <c r="I25" s="332" t="b">
        <f t="shared" si="0"/>
        <v>1</v>
      </c>
      <c r="J25" s="332" t="b">
        <f t="shared" si="1"/>
        <v>1</v>
      </c>
    </row>
    <row r="26" spans="1:10" x14ac:dyDescent="0.25">
      <c r="A26" s="270" t="s">
        <v>320</v>
      </c>
      <c r="B26" s="270">
        <v>541018</v>
      </c>
      <c r="D26" s="1" t="s">
        <v>320</v>
      </c>
      <c r="E26" s="1">
        <v>541018</v>
      </c>
      <c r="I26" s="332" t="b">
        <f t="shared" si="0"/>
        <v>1</v>
      </c>
      <c r="J26" s="332" t="b">
        <f t="shared" si="1"/>
        <v>1</v>
      </c>
    </row>
    <row r="27" spans="1:10" x14ac:dyDescent="0.25">
      <c r="A27" s="270" t="s">
        <v>321</v>
      </c>
      <c r="B27" s="270">
        <v>541019</v>
      </c>
      <c r="D27" s="1" t="s">
        <v>321</v>
      </c>
      <c r="E27" s="1">
        <v>541019</v>
      </c>
      <c r="I27" s="332" t="b">
        <f t="shared" si="0"/>
        <v>1</v>
      </c>
      <c r="J27" s="332" t="b">
        <f t="shared" si="1"/>
        <v>1</v>
      </c>
    </row>
    <row r="28" spans="1:10" x14ac:dyDescent="0.25">
      <c r="A28" s="270" t="s">
        <v>322</v>
      </c>
      <c r="B28" s="270">
        <v>541020</v>
      </c>
      <c r="D28" s="1" t="s">
        <v>322</v>
      </c>
      <c r="E28" s="1">
        <v>541020</v>
      </c>
      <c r="I28" s="332" t="b">
        <f t="shared" si="0"/>
        <v>1</v>
      </c>
      <c r="J28" s="332" t="b">
        <f t="shared" si="1"/>
        <v>1</v>
      </c>
    </row>
    <row r="29" spans="1:10" x14ac:dyDescent="0.25">
      <c r="A29" s="270" t="s">
        <v>323</v>
      </c>
      <c r="B29" s="270">
        <v>541022</v>
      </c>
      <c r="D29" s="1" t="s">
        <v>323</v>
      </c>
      <c r="E29" s="1">
        <v>541022</v>
      </c>
      <c r="I29" s="332" t="b">
        <f t="shared" si="0"/>
        <v>1</v>
      </c>
      <c r="J29" s="332" t="b">
        <f t="shared" si="1"/>
        <v>1</v>
      </c>
    </row>
    <row r="30" spans="1:10" x14ac:dyDescent="0.25">
      <c r="A30" s="270"/>
      <c r="B30" s="270"/>
    </row>
    <row r="31" spans="1:10" x14ac:dyDescent="0.25">
      <c r="A31" s="270"/>
      <c r="B31" s="270"/>
    </row>
    <row r="32" spans="1:10" x14ac:dyDescent="0.25">
      <c r="A32" s="270"/>
      <c r="B32" s="270"/>
    </row>
    <row r="33" spans="1:2" x14ac:dyDescent="0.25">
      <c r="A33" s="270"/>
      <c r="B33" s="270"/>
    </row>
    <row r="34" spans="1:2" x14ac:dyDescent="0.25">
      <c r="A34" s="270"/>
      <c r="B34" s="270"/>
    </row>
    <row r="35" spans="1:2" x14ac:dyDescent="0.25">
      <c r="A35" s="270"/>
      <c r="B35" s="270"/>
    </row>
    <row r="36" spans="1:2" x14ac:dyDescent="0.25">
      <c r="A36" s="270"/>
      <c r="B36" s="270"/>
    </row>
    <row r="37" spans="1:2" x14ac:dyDescent="0.25">
      <c r="A37" s="270"/>
      <c r="B37" s="270"/>
    </row>
    <row r="38" spans="1:2" x14ac:dyDescent="0.25">
      <c r="A38" s="270"/>
      <c r="B38" s="270"/>
    </row>
    <row r="39" spans="1:2" x14ac:dyDescent="0.25">
      <c r="A39" s="270"/>
      <c r="B39" s="270"/>
    </row>
    <row r="40" spans="1:2" x14ac:dyDescent="0.25">
      <c r="A40" s="270"/>
      <c r="B40" s="270"/>
    </row>
    <row r="41" spans="1:2" x14ac:dyDescent="0.25">
      <c r="A41" s="270"/>
      <c r="B41" s="270"/>
    </row>
    <row r="42" spans="1:2" x14ac:dyDescent="0.25">
      <c r="A42" s="270"/>
      <c r="B42" s="270"/>
    </row>
    <row r="43" spans="1:2" x14ac:dyDescent="0.25">
      <c r="A43" s="270"/>
      <c r="B43" s="270"/>
    </row>
    <row r="44" spans="1:2" x14ac:dyDescent="0.25">
      <c r="A44" s="270"/>
      <c r="B44" s="270"/>
    </row>
    <row r="45" spans="1:2" x14ac:dyDescent="0.25">
      <c r="A45" s="270"/>
      <c r="B45" s="270"/>
    </row>
    <row r="46" spans="1:2" x14ac:dyDescent="0.25">
      <c r="A46" s="270"/>
      <c r="B46" s="270"/>
    </row>
    <row r="47" spans="1:2" x14ac:dyDescent="0.25">
      <c r="A47" s="270"/>
      <c r="B47" s="270"/>
    </row>
    <row r="48" spans="1:2" x14ac:dyDescent="0.25">
      <c r="A48" s="270"/>
      <c r="B48" s="270"/>
    </row>
    <row r="49" spans="1:2" x14ac:dyDescent="0.25">
      <c r="A49" s="270"/>
      <c r="B49" s="270"/>
    </row>
    <row r="50" spans="1:2" x14ac:dyDescent="0.25">
      <c r="A50" s="270"/>
      <c r="B50" s="270"/>
    </row>
    <row r="51" spans="1:2" x14ac:dyDescent="0.25">
      <c r="A51" s="270"/>
      <c r="B51" s="270"/>
    </row>
    <row r="52" spans="1:2" x14ac:dyDescent="0.25">
      <c r="A52" s="270"/>
      <c r="B52" s="270"/>
    </row>
    <row r="53" spans="1:2" x14ac:dyDescent="0.25">
      <c r="A53" s="270"/>
      <c r="B53" s="270"/>
    </row>
    <row r="54" spans="1:2" x14ac:dyDescent="0.25">
      <c r="A54" s="270"/>
      <c r="B54" s="270"/>
    </row>
    <row r="55" spans="1:2" x14ac:dyDescent="0.25">
      <c r="A55" s="270"/>
      <c r="B55" s="270"/>
    </row>
    <row r="56" spans="1:2" x14ac:dyDescent="0.25">
      <c r="A56" s="270"/>
      <c r="B56" s="270"/>
    </row>
    <row r="57" spans="1:2" x14ac:dyDescent="0.25">
      <c r="A57" s="270"/>
      <c r="B57" s="270"/>
    </row>
    <row r="58" spans="1:2" x14ac:dyDescent="0.25">
      <c r="A58" s="270"/>
      <c r="B58" s="270"/>
    </row>
    <row r="59" spans="1:2" x14ac:dyDescent="0.25">
      <c r="A59" s="270"/>
      <c r="B59" s="270"/>
    </row>
    <row r="60" spans="1:2" x14ac:dyDescent="0.25">
      <c r="A60" s="270"/>
      <c r="B60" s="270"/>
    </row>
    <row r="61" spans="1:2" x14ac:dyDescent="0.25">
      <c r="A61" s="270"/>
      <c r="B61" s="270"/>
    </row>
    <row r="62" spans="1:2" x14ac:dyDescent="0.25">
      <c r="A62" s="270"/>
      <c r="B62" s="270"/>
    </row>
    <row r="63" spans="1:2" x14ac:dyDescent="0.25">
      <c r="A63" s="270"/>
      <c r="B63" s="270"/>
    </row>
    <row r="64" spans="1:2" x14ac:dyDescent="0.25">
      <c r="A64" s="270"/>
      <c r="B64" s="270"/>
    </row>
    <row r="65" spans="1:2" x14ac:dyDescent="0.25">
      <c r="A65" s="270"/>
      <c r="B65" s="270"/>
    </row>
    <row r="66" spans="1:2" x14ac:dyDescent="0.25">
      <c r="A66" s="270"/>
      <c r="B66" s="270"/>
    </row>
    <row r="67" spans="1:2" x14ac:dyDescent="0.25">
      <c r="A67" s="270"/>
      <c r="B67" s="270"/>
    </row>
    <row r="68" spans="1:2" x14ac:dyDescent="0.25">
      <c r="A68" s="270"/>
      <c r="B68" s="270"/>
    </row>
    <row r="69" spans="1:2" x14ac:dyDescent="0.25">
      <c r="A69" s="270"/>
      <c r="B69" s="270"/>
    </row>
    <row r="70" spans="1:2" x14ac:dyDescent="0.25">
      <c r="A70" s="270"/>
      <c r="B70" s="270"/>
    </row>
  </sheetData>
  <sheetProtection password="CEAA" sheet="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69"/>
  <sheetViews>
    <sheetView workbookViewId="0">
      <pane xSplit="3" ySplit="1" topLeftCell="D2" activePane="bottomRight" state="frozen"/>
      <selection pane="topRight" activeCell="D1" sqref="D1"/>
      <selection pane="bottomLeft" activeCell="A2" sqref="A2"/>
      <selection pane="bottomRight" activeCell="C1" sqref="C1"/>
    </sheetView>
  </sheetViews>
  <sheetFormatPr defaultRowHeight="15" x14ac:dyDescent="0.25"/>
  <cols>
    <col min="1" max="1" width="8.7109375" customWidth="1"/>
    <col min="3" max="3" width="27.140625" customWidth="1"/>
    <col min="4" max="4" width="18.7109375" customWidth="1"/>
    <col min="5" max="5" width="17.42578125" customWidth="1"/>
    <col min="6" max="23" width="12.85546875" customWidth="1"/>
    <col min="24" max="24" width="17.28515625" customWidth="1"/>
    <col min="25" max="25" width="16.5703125" customWidth="1"/>
    <col min="26" max="26" width="12.85546875" customWidth="1"/>
    <col min="27" max="27" width="16.28515625" customWidth="1"/>
    <col min="28" max="32" width="12.85546875" customWidth="1"/>
  </cols>
  <sheetData>
    <row r="1" spans="1:32" ht="75" x14ac:dyDescent="0.25">
      <c r="A1" s="338" t="s">
        <v>383</v>
      </c>
      <c r="B1" t="s">
        <v>224</v>
      </c>
      <c r="C1" t="s">
        <v>20</v>
      </c>
      <c r="D1" s="338" t="s">
        <v>296</v>
      </c>
      <c r="E1" s="338" t="s">
        <v>297</v>
      </c>
      <c r="F1" s="338" t="s">
        <v>298</v>
      </c>
      <c r="G1" s="338" t="s">
        <v>299</v>
      </c>
      <c r="H1" s="338" t="s">
        <v>300</v>
      </c>
      <c r="I1" s="338" t="s">
        <v>301</v>
      </c>
      <c r="J1" s="338" t="s">
        <v>302</v>
      </c>
      <c r="K1" s="338" t="s">
        <v>355</v>
      </c>
      <c r="L1" s="338" t="s">
        <v>303</v>
      </c>
      <c r="M1" s="338" t="s">
        <v>304</v>
      </c>
      <c r="N1" s="338" t="s">
        <v>305</v>
      </c>
      <c r="O1" s="338" t="s">
        <v>306</v>
      </c>
      <c r="P1" s="338" t="s">
        <v>307</v>
      </c>
      <c r="Q1" s="338" t="s">
        <v>308</v>
      </c>
      <c r="R1" s="338" t="s">
        <v>309</v>
      </c>
      <c r="S1" s="338" t="s">
        <v>310</v>
      </c>
      <c r="T1" s="338" t="s">
        <v>311</v>
      </c>
      <c r="U1" s="338" t="s">
        <v>312</v>
      </c>
      <c r="V1" s="338" t="s">
        <v>313</v>
      </c>
      <c r="W1" s="338" t="s">
        <v>314</v>
      </c>
      <c r="X1" s="338" t="s">
        <v>315</v>
      </c>
      <c r="Y1" s="338" t="s">
        <v>316</v>
      </c>
      <c r="Z1" s="338" t="s">
        <v>317</v>
      </c>
      <c r="AA1" s="338" t="s">
        <v>318</v>
      </c>
      <c r="AB1" s="338" t="s">
        <v>319</v>
      </c>
      <c r="AC1" s="338" t="s">
        <v>320</v>
      </c>
      <c r="AD1" s="338" t="s">
        <v>321</v>
      </c>
      <c r="AE1" s="338" t="s">
        <v>322</v>
      </c>
      <c r="AF1" s="338" t="s">
        <v>323</v>
      </c>
    </row>
    <row r="2" spans="1:32" x14ac:dyDescent="0.25">
      <c r="D2">
        <v>541777</v>
      </c>
      <c r="E2">
        <v>541000</v>
      </c>
      <c r="F2">
        <v>54949</v>
      </c>
      <c r="G2">
        <v>54937</v>
      </c>
      <c r="H2">
        <v>541001</v>
      </c>
      <c r="I2">
        <v>541002</v>
      </c>
      <c r="J2">
        <v>541003</v>
      </c>
      <c r="K2">
        <v>544178</v>
      </c>
      <c r="L2">
        <v>541004</v>
      </c>
      <c r="M2">
        <v>541727</v>
      </c>
      <c r="N2">
        <v>541010</v>
      </c>
      <c r="O2">
        <v>541005</v>
      </c>
      <c r="P2">
        <v>541025</v>
      </c>
      <c r="Q2">
        <v>541007</v>
      </c>
      <c r="R2">
        <v>541009</v>
      </c>
      <c r="S2">
        <v>541024</v>
      </c>
      <c r="T2">
        <v>541027</v>
      </c>
      <c r="U2">
        <v>541026</v>
      </c>
      <c r="V2">
        <v>541011</v>
      </c>
      <c r="W2">
        <v>541012</v>
      </c>
      <c r="X2">
        <v>541013</v>
      </c>
      <c r="Y2">
        <v>541014</v>
      </c>
      <c r="Z2">
        <v>541015</v>
      </c>
      <c r="AA2">
        <v>541016</v>
      </c>
      <c r="AB2">
        <v>541017</v>
      </c>
      <c r="AC2">
        <v>541018</v>
      </c>
      <c r="AD2">
        <v>541019</v>
      </c>
      <c r="AE2">
        <v>541020</v>
      </c>
      <c r="AF2">
        <v>541022</v>
      </c>
    </row>
    <row r="3" spans="1:32" x14ac:dyDescent="0.25">
      <c r="B3">
        <v>10</v>
      </c>
      <c r="C3" t="s">
        <v>225</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row>
    <row r="4" spans="1:32" x14ac:dyDescent="0.25">
      <c r="A4">
        <v>4</v>
      </c>
      <c r="B4">
        <v>4</v>
      </c>
      <c r="C4" t="s">
        <v>73</v>
      </c>
      <c r="D4" s="358">
        <v>8462</v>
      </c>
      <c r="E4">
        <v>0</v>
      </c>
      <c r="F4">
        <v>0</v>
      </c>
      <c r="G4" s="358">
        <v>14614</v>
      </c>
      <c r="H4">
        <v>0</v>
      </c>
      <c r="I4">
        <v>0</v>
      </c>
      <c r="J4">
        <v>0</v>
      </c>
      <c r="K4">
        <v>0</v>
      </c>
      <c r="L4">
        <v>0</v>
      </c>
      <c r="M4" s="358">
        <v>5111</v>
      </c>
      <c r="N4">
        <v>0</v>
      </c>
      <c r="O4">
        <v>0</v>
      </c>
      <c r="P4">
        <v>0</v>
      </c>
      <c r="Q4">
        <v>0</v>
      </c>
      <c r="R4">
        <v>0</v>
      </c>
      <c r="S4">
        <v>0</v>
      </c>
      <c r="T4">
        <v>0</v>
      </c>
      <c r="U4">
        <v>0</v>
      </c>
      <c r="V4">
        <v>0</v>
      </c>
      <c r="W4">
        <v>0</v>
      </c>
      <c r="X4">
        <v>0</v>
      </c>
      <c r="Y4">
        <v>0</v>
      </c>
      <c r="Z4">
        <v>0</v>
      </c>
      <c r="AA4">
        <v>0</v>
      </c>
      <c r="AB4">
        <v>0</v>
      </c>
      <c r="AC4">
        <v>0</v>
      </c>
      <c r="AD4">
        <v>0</v>
      </c>
      <c r="AE4">
        <v>159</v>
      </c>
      <c r="AF4">
        <v>0</v>
      </c>
    </row>
    <row r="5" spans="1:32" x14ac:dyDescent="0.25">
      <c r="A5">
        <v>5</v>
      </c>
      <c r="B5">
        <v>5</v>
      </c>
      <c r="C5" t="s">
        <v>74</v>
      </c>
      <c r="D5">
        <v>0</v>
      </c>
      <c r="E5">
        <v>0</v>
      </c>
      <c r="F5">
        <v>0</v>
      </c>
      <c r="G5" s="358">
        <v>17785</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row>
    <row r="6" spans="1:32" x14ac:dyDescent="0.25">
      <c r="A6">
        <v>6</v>
      </c>
      <c r="B6">
        <v>6</v>
      </c>
      <c r="C6" t="s">
        <v>155</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row>
    <row r="7" spans="1:32" x14ac:dyDescent="0.25">
      <c r="A7">
        <v>7</v>
      </c>
      <c r="B7">
        <v>7</v>
      </c>
      <c r="C7" t="s">
        <v>136</v>
      </c>
      <c r="D7" s="358">
        <v>9293</v>
      </c>
      <c r="E7">
        <v>0</v>
      </c>
      <c r="F7">
        <v>0</v>
      </c>
      <c r="G7" s="358">
        <v>1108</v>
      </c>
      <c r="H7">
        <v>0</v>
      </c>
      <c r="I7">
        <v>0</v>
      </c>
      <c r="J7">
        <v>0</v>
      </c>
      <c r="K7">
        <v>0</v>
      </c>
      <c r="L7">
        <v>0</v>
      </c>
      <c r="M7">
        <v>980</v>
      </c>
      <c r="N7">
        <v>0</v>
      </c>
      <c r="O7">
        <v>0</v>
      </c>
      <c r="P7">
        <v>0</v>
      </c>
      <c r="Q7">
        <v>0</v>
      </c>
      <c r="R7">
        <v>0</v>
      </c>
      <c r="S7">
        <v>0</v>
      </c>
      <c r="T7">
        <v>0</v>
      </c>
      <c r="U7">
        <v>0</v>
      </c>
      <c r="V7">
        <v>0</v>
      </c>
      <c r="W7">
        <v>0</v>
      </c>
      <c r="X7">
        <v>0</v>
      </c>
      <c r="Y7">
        <v>0</v>
      </c>
      <c r="Z7">
        <v>0</v>
      </c>
      <c r="AA7">
        <v>0</v>
      </c>
      <c r="AB7">
        <v>0</v>
      </c>
      <c r="AC7">
        <v>0</v>
      </c>
      <c r="AD7">
        <v>0</v>
      </c>
      <c r="AE7" s="358">
        <v>5029</v>
      </c>
      <c r="AF7">
        <v>0</v>
      </c>
    </row>
    <row r="8" spans="1:32" x14ac:dyDescent="0.25">
      <c r="A8">
        <v>9</v>
      </c>
      <c r="B8">
        <v>9</v>
      </c>
      <c r="C8" t="s">
        <v>137</v>
      </c>
      <c r="D8" s="358">
        <v>377791</v>
      </c>
      <c r="E8">
        <v>0</v>
      </c>
      <c r="F8">
        <v>0</v>
      </c>
      <c r="G8" s="358">
        <v>232472</v>
      </c>
      <c r="H8">
        <v>0</v>
      </c>
      <c r="I8">
        <v>0</v>
      </c>
      <c r="J8">
        <v>0</v>
      </c>
      <c r="K8">
        <v>0</v>
      </c>
      <c r="L8">
        <v>0</v>
      </c>
      <c r="M8" s="358">
        <v>188525</v>
      </c>
      <c r="N8">
        <v>0</v>
      </c>
      <c r="O8">
        <v>0</v>
      </c>
      <c r="P8">
        <v>0</v>
      </c>
      <c r="Q8">
        <v>0</v>
      </c>
      <c r="R8">
        <v>0</v>
      </c>
      <c r="S8">
        <v>0</v>
      </c>
      <c r="T8">
        <v>0</v>
      </c>
      <c r="U8">
        <v>0</v>
      </c>
      <c r="V8">
        <v>0</v>
      </c>
      <c r="W8">
        <v>0</v>
      </c>
      <c r="X8">
        <v>0</v>
      </c>
      <c r="Y8">
        <v>0</v>
      </c>
      <c r="Z8">
        <v>0</v>
      </c>
      <c r="AA8">
        <v>0</v>
      </c>
      <c r="AB8">
        <v>0</v>
      </c>
      <c r="AC8">
        <v>0</v>
      </c>
      <c r="AD8">
        <v>0</v>
      </c>
      <c r="AE8" s="358">
        <v>24686</v>
      </c>
      <c r="AF8">
        <v>0</v>
      </c>
    </row>
    <row r="9" spans="1:32" x14ac:dyDescent="0.25">
      <c r="B9">
        <v>12</v>
      </c>
      <c r="C9" t="s">
        <v>226</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row>
    <row r="10" spans="1:32" x14ac:dyDescent="0.25">
      <c r="A10">
        <v>13</v>
      </c>
      <c r="B10">
        <v>13</v>
      </c>
      <c r="C10" t="s">
        <v>227</v>
      </c>
      <c r="D10">
        <v>0</v>
      </c>
      <c r="E10" s="358">
        <v>24232591</v>
      </c>
      <c r="F10" s="358">
        <v>151135</v>
      </c>
      <c r="G10">
        <v>0</v>
      </c>
      <c r="H10" s="358">
        <v>650517</v>
      </c>
      <c r="I10" s="358">
        <v>1124454</v>
      </c>
      <c r="J10" s="358">
        <v>4324596</v>
      </c>
      <c r="K10" s="358">
        <v>492995</v>
      </c>
      <c r="L10" s="358">
        <v>344944</v>
      </c>
      <c r="M10">
        <v>0</v>
      </c>
      <c r="N10" s="358">
        <v>1102888</v>
      </c>
      <c r="O10" s="358">
        <v>696062</v>
      </c>
      <c r="P10" s="358">
        <v>200816</v>
      </c>
      <c r="Q10" s="358">
        <v>864450</v>
      </c>
      <c r="R10" s="358">
        <v>3572100</v>
      </c>
      <c r="S10" s="358">
        <v>578552</v>
      </c>
      <c r="T10" s="358">
        <v>429174</v>
      </c>
      <c r="U10" s="358">
        <v>81832</v>
      </c>
      <c r="V10" s="358">
        <v>2482734</v>
      </c>
      <c r="W10" s="358">
        <v>859164</v>
      </c>
      <c r="X10" s="358">
        <v>26338689</v>
      </c>
      <c r="Y10" s="358">
        <v>70368590</v>
      </c>
      <c r="Z10" s="358">
        <v>1638340</v>
      </c>
      <c r="AA10" s="358">
        <v>308827235</v>
      </c>
      <c r="AB10" s="358">
        <v>278629</v>
      </c>
      <c r="AC10">
        <v>0</v>
      </c>
      <c r="AD10" s="358">
        <v>1454293</v>
      </c>
      <c r="AE10">
        <v>0</v>
      </c>
      <c r="AF10" s="358">
        <v>94578</v>
      </c>
    </row>
    <row r="11" spans="1:32" x14ac:dyDescent="0.25">
      <c r="A11">
        <v>14</v>
      </c>
      <c r="B11">
        <v>14</v>
      </c>
      <c r="C11" t="s">
        <v>228</v>
      </c>
      <c r="D11">
        <v>0</v>
      </c>
      <c r="E11" s="358">
        <v>4291842</v>
      </c>
      <c r="F11" s="358">
        <v>12558</v>
      </c>
      <c r="G11">
        <v>0</v>
      </c>
      <c r="H11" s="358">
        <v>77866</v>
      </c>
      <c r="I11" s="358">
        <v>337773</v>
      </c>
      <c r="J11" s="358">
        <v>147812</v>
      </c>
      <c r="K11" s="358">
        <v>227783</v>
      </c>
      <c r="L11" s="358">
        <v>86863</v>
      </c>
      <c r="M11">
        <v>0</v>
      </c>
      <c r="N11" s="358">
        <v>34962</v>
      </c>
      <c r="O11" s="358">
        <v>64781</v>
      </c>
      <c r="P11" s="358">
        <v>9192</v>
      </c>
      <c r="Q11" s="358">
        <v>53647</v>
      </c>
      <c r="R11" s="358">
        <v>1382698</v>
      </c>
      <c r="S11" s="358">
        <v>79278</v>
      </c>
      <c r="T11" s="358">
        <v>58578</v>
      </c>
      <c r="U11" s="358">
        <v>1265</v>
      </c>
      <c r="V11" s="358">
        <v>128125</v>
      </c>
      <c r="W11" s="358">
        <v>19889</v>
      </c>
      <c r="X11" s="358">
        <v>4226015</v>
      </c>
      <c r="Y11" s="358">
        <v>17647991</v>
      </c>
      <c r="Z11" s="358">
        <v>137457</v>
      </c>
      <c r="AA11" s="358">
        <v>60495436</v>
      </c>
      <c r="AB11" s="358">
        <v>205221</v>
      </c>
      <c r="AC11">
        <v>0</v>
      </c>
      <c r="AD11" s="358">
        <v>1247214</v>
      </c>
      <c r="AE11">
        <v>0</v>
      </c>
      <c r="AF11">
        <v>156</v>
      </c>
    </row>
    <row r="12" spans="1:32" x14ac:dyDescent="0.25">
      <c r="A12">
        <v>16</v>
      </c>
      <c r="B12">
        <v>16</v>
      </c>
      <c r="C12" t="s">
        <v>229</v>
      </c>
      <c r="D12" s="358">
        <v>200937</v>
      </c>
      <c r="E12">
        <v>0</v>
      </c>
      <c r="F12">
        <v>0</v>
      </c>
      <c r="G12" s="358">
        <v>297580</v>
      </c>
      <c r="H12">
        <v>0</v>
      </c>
      <c r="I12">
        <v>0</v>
      </c>
      <c r="J12">
        <v>0</v>
      </c>
      <c r="K12">
        <v>0</v>
      </c>
      <c r="L12">
        <v>0</v>
      </c>
      <c r="M12" s="358">
        <v>155329</v>
      </c>
      <c r="N12">
        <v>0</v>
      </c>
      <c r="O12">
        <v>0</v>
      </c>
      <c r="P12">
        <v>0</v>
      </c>
      <c r="Q12">
        <v>0</v>
      </c>
      <c r="R12">
        <v>0</v>
      </c>
      <c r="S12">
        <v>0</v>
      </c>
      <c r="T12">
        <v>0</v>
      </c>
      <c r="U12">
        <v>0</v>
      </c>
      <c r="V12">
        <v>0</v>
      </c>
      <c r="W12">
        <v>0</v>
      </c>
      <c r="X12">
        <v>0</v>
      </c>
      <c r="Y12">
        <v>0</v>
      </c>
      <c r="Z12">
        <v>0</v>
      </c>
      <c r="AA12">
        <v>0</v>
      </c>
      <c r="AB12">
        <v>0</v>
      </c>
      <c r="AC12">
        <v>0</v>
      </c>
      <c r="AD12">
        <v>0</v>
      </c>
      <c r="AE12" s="358">
        <v>13730</v>
      </c>
      <c r="AF12">
        <v>0</v>
      </c>
    </row>
    <row r="13" spans="1:32" x14ac:dyDescent="0.25">
      <c r="A13">
        <v>17</v>
      </c>
      <c r="B13">
        <v>17</v>
      </c>
      <c r="C13" t="s">
        <v>230</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row>
    <row r="14" spans="1:32" x14ac:dyDescent="0.25">
      <c r="B14">
        <v>19</v>
      </c>
      <c r="C14" t="s">
        <v>231</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row>
    <row r="15" spans="1:32" x14ac:dyDescent="0.25">
      <c r="A15">
        <v>193</v>
      </c>
      <c r="B15">
        <v>193</v>
      </c>
      <c r="C15" t="s">
        <v>232</v>
      </c>
      <c r="D15">
        <v>0</v>
      </c>
      <c r="E15" s="358">
        <v>7036684</v>
      </c>
      <c r="F15" s="358">
        <v>1399310</v>
      </c>
      <c r="G15">
        <v>0</v>
      </c>
      <c r="H15" s="358">
        <v>37267</v>
      </c>
      <c r="I15" s="358">
        <v>1621202</v>
      </c>
      <c r="J15" s="358">
        <v>257840</v>
      </c>
      <c r="K15">
        <v>0</v>
      </c>
      <c r="L15" s="358">
        <v>40696</v>
      </c>
      <c r="M15">
        <v>0</v>
      </c>
      <c r="N15" s="358">
        <v>255636</v>
      </c>
      <c r="O15" s="358">
        <v>3391660</v>
      </c>
      <c r="P15">
        <v>0</v>
      </c>
      <c r="Q15" s="358">
        <v>1023147</v>
      </c>
      <c r="R15" s="358">
        <v>1720407</v>
      </c>
      <c r="S15">
        <v>0</v>
      </c>
      <c r="T15" s="358">
        <v>264155</v>
      </c>
      <c r="U15" s="358">
        <v>995387</v>
      </c>
      <c r="V15" s="358">
        <v>75189</v>
      </c>
      <c r="W15" s="358">
        <v>4270532</v>
      </c>
      <c r="X15" s="358">
        <v>8891667</v>
      </c>
      <c r="Y15" s="358">
        <v>13326422</v>
      </c>
      <c r="Z15" s="358">
        <v>13776672</v>
      </c>
      <c r="AA15" s="358">
        <v>53820449</v>
      </c>
      <c r="AB15" s="358">
        <v>1295682</v>
      </c>
      <c r="AC15">
        <v>0</v>
      </c>
      <c r="AD15">
        <v>0</v>
      </c>
      <c r="AE15">
        <v>0</v>
      </c>
      <c r="AF15" s="358">
        <v>101958</v>
      </c>
    </row>
    <row r="16" spans="1:32" x14ac:dyDescent="0.25">
      <c r="A16">
        <v>20</v>
      </c>
      <c r="B16">
        <v>20</v>
      </c>
      <c r="C16" t="s">
        <v>233</v>
      </c>
      <c r="D16" s="358">
        <v>13574</v>
      </c>
      <c r="E16">
        <v>0</v>
      </c>
      <c r="F16">
        <v>0</v>
      </c>
      <c r="G16" s="358">
        <v>840042</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row>
    <row r="17" spans="1:32" x14ac:dyDescent="0.25">
      <c r="B17">
        <v>21</v>
      </c>
      <c r="C17" t="s">
        <v>234</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row>
    <row r="18" spans="1:32" x14ac:dyDescent="0.25">
      <c r="A18">
        <v>22</v>
      </c>
      <c r="B18">
        <v>22</v>
      </c>
      <c r="C18" t="s">
        <v>235</v>
      </c>
      <c r="D18" s="358">
        <v>50813</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row>
    <row r="19" spans="1:32" x14ac:dyDescent="0.25">
      <c r="A19">
        <v>23</v>
      </c>
      <c r="B19">
        <v>23</v>
      </c>
      <c r="C19" t="s">
        <v>236</v>
      </c>
      <c r="D19" s="358">
        <v>85633</v>
      </c>
      <c r="E19">
        <v>0</v>
      </c>
      <c r="F19">
        <v>0</v>
      </c>
      <c r="G19" s="358">
        <v>-770839</v>
      </c>
      <c r="H19">
        <v>0</v>
      </c>
      <c r="I19">
        <v>0</v>
      </c>
      <c r="J19">
        <v>0</v>
      </c>
      <c r="K19">
        <v>0</v>
      </c>
      <c r="L19">
        <v>0</v>
      </c>
      <c r="M19" s="358">
        <v>1759</v>
      </c>
      <c r="N19">
        <v>0</v>
      </c>
      <c r="O19">
        <v>0</v>
      </c>
      <c r="P19">
        <v>0</v>
      </c>
      <c r="Q19">
        <v>0</v>
      </c>
      <c r="R19">
        <v>0</v>
      </c>
      <c r="S19">
        <v>0</v>
      </c>
      <c r="T19">
        <v>0</v>
      </c>
      <c r="U19">
        <v>0</v>
      </c>
      <c r="V19">
        <v>0</v>
      </c>
      <c r="W19">
        <v>0</v>
      </c>
      <c r="X19">
        <v>0</v>
      </c>
      <c r="Y19">
        <v>0</v>
      </c>
      <c r="Z19">
        <v>0</v>
      </c>
      <c r="AA19">
        <v>0</v>
      </c>
      <c r="AB19">
        <v>0</v>
      </c>
      <c r="AC19">
        <v>0</v>
      </c>
      <c r="AD19">
        <v>0</v>
      </c>
      <c r="AE19" s="358">
        <v>4568</v>
      </c>
      <c r="AF19">
        <v>0</v>
      </c>
    </row>
    <row r="20" spans="1:32" x14ac:dyDescent="0.25">
      <c r="B20">
        <v>231</v>
      </c>
      <c r="C20" t="s">
        <v>237</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row>
    <row r="21" spans="1:32" x14ac:dyDescent="0.25">
      <c r="B21">
        <v>251</v>
      </c>
      <c r="C21" t="s">
        <v>238</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row>
    <row r="22" spans="1:32" x14ac:dyDescent="0.25">
      <c r="A22">
        <v>252</v>
      </c>
      <c r="B22">
        <v>252</v>
      </c>
      <c r="C22" t="s">
        <v>239</v>
      </c>
      <c r="D22" s="358">
        <v>5339235</v>
      </c>
      <c r="E22">
        <v>0</v>
      </c>
      <c r="F22">
        <v>0</v>
      </c>
      <c r="G22" s="358">
        <v>12410498</v>
      </c>
      <c r="H22">
        <v>0</v>
      </c>
      <c r="I22">
        <v>0</v>
      </c>
      <c r="J22">
        <v>0</v>
      </c>
      <c r="K22">
        <v>0</v>
      </c>
      <c r="L22">
        <v>0</v>
      </c>
      <c r="M22" s="358">
        <v>12793</v>
      </c>
      <c r="N22">
        <v>0</v>
      </c>
      <c r="O22">
        <v>0</v>
      </c>
      <c r="P22">
        <v>0</v>
      </c>
      <c r="Q22">
        <v>0</v>
      </c>
      <c r="R22">
        <v>0</v>
      </c>
      <c r="S22">
        <v>0</v>
      </c>
      <c r="T22">
        <v>0</v>
      </c>
      <c r="U22">
        <v>0</v>
      </c>
      <c r="V22">
        <v>0</v>
      </c>
      <c r="W22">
        <v>0</v>
      </c>
      <c r="X22">
        <v>0</v>
      </c>
      <c r="Y22">
        <v>0</v>
      </c>
      <c r="Z22">
        <v>0</v>
      </c>
      <c r="AA22">
        <v>0</v>
      </c>
      <c r="AB22">
        <v>0</v>
      </c>
      <c r="AC22">
        <v>0</v>
      </c>
      <c r="AD22">
        <v>0</v>
      </c>
      <c r="AE22" s="358">
        <v>2524284</v>
      </c>
      <c r="AF22">
        <v>0</v>
      </c>
    </row>
    <row r="23" spans="1:32" x14ac:dyDescent="0.25">
      <c r="A23">
        <v>253</v>
      </c>
      <c r="B23">
        <v>253</v>
      </c>
      <c r="C23" t="s">
        <v>240</v>
      </c>
      <c r="D23" s="358">
        <v>3876</v>
      </c>
      <c r="E23">
        <v>0</v>
      </c>
      <c r="F23">
        <v>0</v>
      </c>
      <c r="G23" s="358">
        <v>17988</v>
      </c>
      <c r="H23">
        <v>0</v>
      </c>
      <c r="I23">
        <v>0</v>
      </c>
      <c r="J23">
        <v>0</v>
      </c>
      <c r="K23">
        <v>0</v>
      </c>
      <c r="L23">
        <v>0</v>
      </c>
      <c r="M23" s="358">
        <v>63213</v>
      </c>
      <c r="N23">
        <v>0</v>
      </c>
      <c r="O23">
        <v>0</v>
      </c>
      <c r="P23">
        <v>0</v>
      </c>
      <c r="Q23">
        <v>0</v>
      </c>
      <c r="R23">
        <v>0</v>
      </c>
      <c r="S23">
        <v>0</v>
      </c>
      <c r="T23">
        <v>0</v>
      </c>
      <c r="U23">
        <v>0</v>
      </c>
      <c r="V23">
        <v>0</v>
      </c>
      <c r="W23">
        <v>0</v>
      </c>
      <c r="X23">
        <v>0</v>
      </c>
      <c r="Y23">
        <v>0</v>
      </c>
      <c r="Z23">
        <v>0</v>
      </c>
      <c r="AA23">
        <v>0</v>
      </c>
      <c r="AB23">
        <v>0</v>
      </c>
      <c r="AC23">
        <v>0</v>
      </c>
      <c r="AD23">
        <v>0</v>
      </c>
      <c r="AE23" s="358">
        <v>17842</v>
      </c>
      <c r="AF23">
        <v>0</v>
      </c>
    </row>
    <row r="24" spans="1:32" x14ac:dyDescent="0.25">
      <c r="A24">
        <v>254</v>
      </c>
      <c r="B24">
        <v>254</v>
      </c>
      <c r="C24" t="s">
        <v>241</v>
      </c>
      <c r="D24" s="358">
        <v>373915</v>
      </c>
      <c r="E24">
        <v>0</v>
      </c>
      <c r="F24">
        <v>0</v>
      </c>
      <c r="G24" s="358">
        <v>999625</v>
      </c>
      <c r="H24">
        <v>0</v>
      </c>
      <c r="I24">
        <v>0</v>
      </c>
      <c r="J24">
        <v>0</v>
      </c>
      <c r="K24">
        <v>0</v>
      </c>
      <c r="L24">
        <v>0</v>
      </c>
      <c r="M24" s="358">
        <v>125312</v>
      </c>
      <c r="N24">
        <v>0</v>
      </c>
      <c r="O24">
        <v>0</v>
      </c>
      <c r="P24">
        <v>0</v>
      </c>
      <c r="Q24">
        <v>0</v>
      </c>
      <c r="R24">
        <v>0</v>
      </c>
      <c r="S24">
        <v>0</v>
      </c>
      <c r="T24">
        <v>0</v>
      </c>
      <c r="U24">
        <v>0</v>
      </c>
      <c r="V24">
        <v>0</v>
      </c>
      <c r="W24">
        <v>0</v>
      </c>
      <c r="X24">
        <v>0</v>
      </c>
      <c r="Y24">
        <v>0</v>
      </c>
      <c r="Z24">
        <v>0</v>
      </c>
      <c r="AA24">
        <v>0</v>
      </c>
      <c r="AB24">
        <v>0</v>
      </c>
      <c r="AC24">
        <v>0</v>
      </c>
      <c r="AD24">
        <v>0</v>
      </c>
      <c r="AE24" s="358">
        <v>19107</v>
      </c>
      <c r="AF24">
        <v>0</v>
      </c>
    </row>
    <row r="25" spans="1:32" x14ac:dyDescent="0.25">
      <c r="A25">
        <v>255</v>
      </c>
      <c r="B25">
        <v>255</v>
      </c>
      <c r="C25" t="s">
        <v>242</v>
      </c>
      <c r="D25" s="358">
        <v>82214</v>
      </c>
      <c r="E25">
        <v>0</v>
      </c>
      <c r="F25">
        <v>0</v>
      </c>
      <c r="G25" s="358">
        <v>662340</v>
      </c>
      <c r="H25">
        <v>0</v>
      </c>
      <c r="I25">
        <v>0</v>
      </c>
      <c r="J25">
        <v>0</v>
      </c>
      <c r="K25">
        <v>0</v>
      </c>
      <c r="L25">
        <v>0</v>
      </c>
      <c r="M25" s="358">
        <v>10850</v>
      </c>
      <c r="N25">
        <v>0</v>
      </c>
      <c r="O25">
        <v>0</v>
      </c>
      <c r="P25">
        <v>0</v>
      </c>
      <c r="Q25">
        <v>0</v>
      </c>
      <c r="R25">
        <v>0</v>
      </c>
      <c r="S25">
        <v>0</v>
      </c>
      <c r="T25">
        <v>0</v>
      </c>
      <c r="U25">
        <v>0</v>
      </c>
      <c r="V25">
        <v>0</v>
      </c>
      <c r="W25">
        <v>0</v>
      </c>
      <c r="X25">
        <v>0</v>
      </c>
      <c r="Y25">
        <v>0</v>
      </c>
      <c r="Z25">
        <v>0</v>
      </c>
      <c r="AA25">
        <v>0</v>
      </c>
      <c r="AB25">
        <v>0</v>
      </c>
      <c r="AC25">
        <v>0</v>
      </c>
      <c r="AD25">
        <v>0</v>
      </c>
      <c r="AE25" s="358">
        <v>303685</v>
      </c>
      <c r="AF25">
        <v>0</v>
      </c>
    </row>
    <row r="26" spans="1:32" x14ac:dyDescent="0.25">
      <c r="B26">
        <v>256</v>
      </c>
      <c r="C26" t="s">
        <v>243</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row>
    <row r="27" spans="1:32" x14ac:dyDescent="0.25">
      <c r="B27">
        <v>257</v>
      </c>
      <c r="C27" t="s">
        <v>244</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row>
    <row r="28" spans="1:32" x14ac:dyDescent="0.25">
      <c r="B28">
        <v>258</v>
      </c>
      <c r="C28" t="s">
        <v>245</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row>
    <row r="29" spans="1:32" x14ac:dyDescent="0.25">
      <c r="B29">
        <v>259</v>
      </c>
      <c r="C29" t="s">
        <v>246</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row>
    <row r="30" spans="1:32" x14ac:dyDescent="0.25">
      <c r="B30">
        <v>260</v>
      </c>
      <c r="C30" t="s">
        <v>247</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row>
    <row r="31" spans="1:32" x14ac:dyDescent="0.25">
      <c r="B31">
        <v>261</v>
      </c>
      <c r="C31" t="s">
        <v>248</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row>
    <row r="32" spans="1:32" x14ac:dyDescent="0.25">
      <c r="B32">
        <v>262</v>
      </c>
      <c r="C32" t="s">
        <v>249</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row>
    <row r="33" spans="1:32" x14ac:dyDescent="0.25">
      <c r="B33">
        <v>263</v>
      </c>
      <c r="C33" t="s">
        <v>250</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row>
    <row r="34" spans="1:32" x14ac:dyDescent="0.25">
      <c r="A34">
        <v>31</v>
      </c>
      <c r="B34">
        <v>31</v>
      </c>
      <c r="C34" t="s">
        <v>251</v>
      </c>
      <c r="D34">
        <v>0</v>
      </c>
      <c r="E34" s="358">
        <v>10094535</v>
      </c>
      <c r="F34" s="358">
        <v>1204810</v>
      </c>
      <c r="G34">
        <v>0</v>
      </c>
      <c r="H34" s="358">
        <v>-180053</v>
      </c>
      <c r="I34" s="358">
        <v>1807565</v>
      </c>
      <c r="J34" s="358">
        <v>140457</v>
      </c>
      <c r="K34" s="358">
        <v>265275</v>
      </c>
      <c r="L34" s="358">
        <v>-368283</v>
      </c>
      <c r="M34">
        <v>0</v>
      </c>
      <c r="N34" s="358">
        <v>-292493</v>
      </c>
      <c r="O34" s="358">
        <v>1713213</v>
      </c>
      <c r="P34" s="358">
        <v>101752</v>
      </c>
      <c r="Q34" s="358">
        <v>442027</v>
      </c>
      <c r="R34" s="358">
        <v>1851313</v>
      </c>
      <c r="S34" s="358">
        <v>-538064</v>
      </c>
      <c r="T34" s="358">
        <v>57869</v>
      </c>
      <c r="U34" s="358">
        <v>337842</v>
      </c>
      <c r="V34" s="358">
        <v>105021</v>
      </c>
      <c r="W34" s="358">
        <v>4034720</v>
      </c>
      <c r="X34" s="358">
        <v>8115874</v>
      </c>
      <c r="Y34" s="358">
        <v>12783793</v>
      </c>
      <c r="Z34" s="358">
        <v>12336104</v>
      </c>
      <c r="AA34" s="358">
        <v>128220869</v>
      </c>
      <c r="AB34" s="358">
        <v>1147447</v>
      </c>
      <c r="AC34">
        <v>0</v>
      </c>
      <c r="AD34" s="358">
        <v>4857415</v>
      </c>
      <c r="AE34">
        <v>0</v>
      </c>
      <c r="AF34" s="358">
        <v>-61168</v>
      </c>
    </row>
    <row r="35" spans="1:32" x14ac:dyDescent="0.25">
      <c r="B35">
        <v>317</v>
      </c>
      <c r="C35" t="s">
        <v>252</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row>
    <row r="36" spans="1:32" x14ac:dyDescent="0.25">
      <c r="A36">
        <v>32</v>
      </c>
      <c r="B36">
        <v>32</v>
      </c>
      <c r="C36" t="s">
        <v>253</v>
      </c>
      <c r="D36">
        <v>0</v>
      </c>
      <c r="E36" s="358">
        <v>4712113</v>
      </c>
      <c r="F36" s="358">
        <v>209400</v>
      </c>
      <c r="G36">
        <v>0</v>
      </c>
      <c r="H36" s="358">
        <v>313332</v>
      </c>
      <c r="I36" s="358">
        <v>840303</v>
      </c>
      <c r="J36" s="358">
        <v>563402</v>
      </c>
      <c r="K36" s="358">
        <v>753381</v>
      </c>
      <c r="L36" s="358">
        <v>409771</v>
      </c>
      <c r="M36">
        <v>0</v>
      </c>
      <c r="N36" s="358">
        <v>494810</v>
      </c>
      <c r="O36" s="358">
        <v>1459622</v>
      </c>
      <c r="P36" s="358">
        <v>680933</v>
      </c>
      <c r="Q36" s="358">
        <v>590800</v>
      </c>
      <c r="R36" s="358">
        <v>670200</v>
      </c>
      <c r="S36" s="358">
        <v>577290</v>
      </c>
      <c r="T36" s="358">
        <v>380540</v>
      </c>
      <c r="U36" s="358">
        <v>672904</v>
      </c>
      <c r="V36" s="358">
        <v>124964</v>
      </c>
      <c r="W36" s="358">
        <v>223195</v>
      </c>
      <c r="X36" s="358">
        <v>6780834</v>
      </c>
      <c r="Y36" s="358">
        <v>17998091</v>
      </c>
      <c r="Z36" s="358">
        <v>1249631</v>
      </c>
      <c r="AA36" s="358">
        <v>47889122</v>
      </c>
      <c r="AB36" s="358">
        <v>230316</v>
      </c>
      <c r="AC36">
        <v>0</v>
      </c>
      <c r="AD36" s="358">
        <v>442978</v>
      </c>
      <c r="AE36">
        <v>0</v>
      </c>
      <c r="AF36" s="358">
        <v>125411</v>
      </c>
    </row>
    <row r="37" spans="1:32" x14ac:dyDescent="0.25">
      <c r="B37">
        <v>320</v>
      </c>
      <c r="C37" t="s">
        <v>254</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row>
    <row r="38" spans="1:32" x14ac:dyDescent="0.25">
      <c r="B38">
        <v>321</v>
      </c>
      <c r="C38" t="s">
        <v>255</v>
      </c>
      <c r="D38">
        <v>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row>
    <row r="39" spans="1:32" x14ac:dyDescent="0.25">
      <c r="B39">
        <v>322</v>
      </c>
      <c r="C39" t="s">
        <v>256</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row>
    <row r="40" spans="1:32" x14ac:dyDescent="0.25">
      <c r="B40">
        <v>323</v>
      </c>
      <c r="C40" t="s">
        <v>152</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row>
    <row r="41" spans="1:32" x14ac:dyDescent="0.25">
      <c r="B41">
        <v>324</v>
      </c>
      <c r="C41" t="s">
        <v>257</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row>
    <row r="42" spans="1:32" x14ac:dyDescent="0.25">
      <c r="B42">
        <v>325</v>
      </c>
      <c r="C42" t="s">
        <v>258</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row>
    <row r="43" spans="1:32" x14ac:dyDescent="0.25">
      <c r="A43">
        <v>33</v>
      </c>
      <c r="B43">
        <v>33</v>
      </c>
      <c r="C43" t="s">
        <v>259</v>
      </c>
      <c r="D43">
        <v>0</v>
      </c>
      <c r="E43" s="358">
        <v>4309212</v>
      </c>
      <c r="F43" s="358">
        <v>35681</v>
      </c>
      <c r="G43">
        <v>0</v>
      </c>
      <c r="H43" s="358">
        <v>98429</v>
      </c>
      <c r="I43" s="358">
        <v>347526</v>
      </c>
      <c r="J43" s="358">
        <v>-246978</v>
      </c>
      <c r="K43" s="358">
        <v>1034998</v>
      </c>
      <c r="L43" s="358">
        <v>-54064</v>
      </c>
      <c r="M43">
        <v>0</v>
      </c>
      <c r="N43" s="358">
        <v>-247299</v>
      </c>
      <c r="O43" s="358">
        <v>-331474</v>
      </c>
      <c r="P43" s="358">
        <v>-53599</v>
      </c>
      <c r="Q43" s="358">
        <v>-47328</v>
      </c>
      <c r="R43" s="358">
        <v>1562139</v>
      </c>
      <c r="S43" s="358">
        <v>-166110</v>
      </c>
      <c r="T43" s="358">
        <v>-216858</v>
      </c>
      <c r="U43" s="358">
        <v>14073</v>
      </c>
      <c r="V43" s="358">
        <v>187547</v>
      </c>
      <c r="W43" s="358">
        <v>-198839</v>
      </c>
      <c r="X43" s="358">
        <v>4087409</v>
      </c>
      <c r="Y43" s="358">
        <v>15955225</v>
      </c>
      <c r="Z43" s="358">
        <v>-461951</v>
      </c>
      <c r="AA43" s="358">
        <v>100078782</v>
      </c>
      <c r="AB43" s="358">
        <v>31716</v>
      </c>
      <c r="AC43">
        <v>0</v>
      </c>
      <c r="AD43" s="358">
        <v>473023</v>
      </c>
      <c r="AE43">
        <v>0</v>
      </c>
      <c r="AF43" s="358">
        <v>-36000</v>
      </c>
    </row>
    <row r="44" spans="1:32" x14ac:dyDescent="0.25">
      <c r="A44">
        <v>333</v>
      </c>
      <c r="B44">
        <v>333</v>
      </c>
      <c r="C44" t="s">
        <v>260</v>
      </c>
      <c r="D44" s="358">
        <v>373084</v>
      </c>
      <c r="E44">
        <v>0</v>
      </c>
      <c r="F44">
        <v>0</v>
      </c>
      <c r="G44" s="358">
        <v>1022398</v>
      </c>
      <c r="H44">
        <v>0</v>
      </c>
      <c r="I44">
        <v>0</v>
      </c>
      <c r="J44">
        <v>0</v>
      </c>
      <c r="K44">
        <v>0</v>
      </c>
      <c r="L44">
        <v>0</v>
      </c>
      <c r="M44" s="358">
        <v>128464</v>
      </c>
      <c r="N44">
        <v>0</v>
      </c>
      <c r="O44">
        <v>0</v>
      </c>
      <c r="P44">
        <v>0</v>
      </c>
      <c r="Q44">
        <v>0</v>
      </c>
      <c r="R44">
        <v>0</v>
      </c>
      <c r="S44">
        <v>0</v>
      </c>
      <c r="T44">
        <v>0</v>
      </c>
      <c r="U44">
        <v>0</v>
      </c>
      <c r="V44">
        <v>0</v>
      </c>
      <c r="W44">
        <v>0</v>
      </c>
      <c r="X44">
        <v>0</v>
      </c>
      <c r="Y44">
        <v>0</v>
      </c>
      <c r="Z44">
        <v>0</v>
      </c>
      <c r="AA44">
        <v>0</v>
      </c>
      <c r="AB44">
        <v>0</v>
      </c>
      <c r="AC44">
        <v>0</v>
      </c>
      <c r="AD44">
        <v>0</v>
      </c>
      <c r="AE44" s="358">
        <v>1974</v>
      </c>
      <c r="AF44">
        <v>0</v>
      </c>
    </row>
    <row r="45" spans="1:32" x14ac:dyDescent="0.25">
      <c r="B45">
        <v>334</v>
      </c>
      <c r="C45" t="s">
        <v>261</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row>
    <row r="46" spans="1:32" x14ac:dyDescent="0.25">
      <c r="A46">
        <v>335</v>
      </c>
      <c r="B46">
        <v>335</v>
      </c>
      <c r="C46" t="s">
        <v>262</v>
      </c>
      <c r="D46" s="358">
        <v>2881</v>
      </c>
      <c r="E46">
        <v>0</v>
      </c>
      <c r="F46">
        <v>0</v>
      </c>
      <c r="G46">
        <v>0</v>
      </c>
      <c r="H46">
        <v>0</v>
      </c>
      <c r="I46">
        <v>0</v>
      </c>
      <c r="J46">
        <v>0</v>
      </c>
      <c r="K46">
        <v>0</v>
      </c>
      <c r="L46">
        <v>0</v>
      </c>
      <c r="M46" s="358">
        <v>2825</v>
      </c>
      <c r="N46">
        <v>0</v>
      </c>
      <c r="O46">
        <v>0</v>
      </c>
      <c r="P46">
        <v>0</v>
      </c>
      <c r="Q46">
        <v>0</v>
      </c>
      <c r="R46">
        <v>0</v>
      </c>
      <c r="S46">
        <v>0</v>
      </c>
      <c r="T46">
        <v>0</v>
      </c>
      <c r="U46">
        <v>0</v>
      </c>
      <c r="V46">
        <v>0</v>
      </c>
      <c r="W46">
        <v>0</v>
      </c>
      <c r="X46">
        <v>0</v>
      </c>
      <c r="Y46">
        <v>0</v>
      </c>
      <c r="Z46">
        <v>0</v>
      </c>
      <c r="AA46">
        <v>0</v>
      </c>
      <c r="AB46">
        <v>0</v>
      </c>
      <c r="AC46">
        <v>0</v>
      </c>
      <c r="AD46">
        <v>0</v>
      </c>
      <c r="AE46">
        <v>0</v>
      </c>
      <c r="AF46">
        <v>0</v>
      </c>
    </row>
    <row r="47" spans="1:32" x14ac:dyDescent="0.25">
      <c r="A47">
        <v>336</v>
      </c>
      <c r="B47">
        <v>336</v>
      </c>
      <c r="C47" t="s">
        <v>263</v>
      </c>
      <c r="D47" s="358">
        <v>8462</v>
      </c>
      <c r="E47">
        <v>0</v>
      </c>
      <c r="F47">
        <v>0</v>
      </c>
      <c r="G47" s="358">
        <v>47735</v>
      </c>
      <c r="H47">
        <v>0</v>
      </c>
      <c r="I47">
        <v>0</v>
      </c>
      <c r="J47">
        <v>0</v>
      </c>
      <c r="K47">
        <v>0</v>
      </c>
      <c r="L47">
        <v>0</v>
      </c>
      <c r="M47" s="358">
        <v>4131</v>
      </c>
      <c r="N47">
        <v>0</v>
      </c>
      <c r="O47">
        <v>0</v>
      </c>
      <c r="P47">
        <v>0</v>
      </c>
      <c r="Q47">
        <v>0</v>
      </c>
      <c r="R47">
        <v>0</v>
      </c>
      <c r="S47">
        <v>0</v>
      </c>
      <c r="T47">
        <v>0</v>
      </c>
      <c r="U47">
        <v>0</v>
      </c>
      <c r="V47">
        <v>0</v>
      </c>
      <c r="W47">
        <v>0</v>
      </c>
      <c r="X47">
        <v>0</v>
      </c>
      <c r="Y47">
        <v>0</v>
      </c>
      <c r="Z47">
        <v>0</v>
      </c>
      <c r="AA47">
        <v>0</v>
      </c>
      <c r="AB47">
        <v>0</v>
      </c>
      <c r="AC47">
        <v>0</v>
      </c>
      <c r="AD47">
        <v>0</v>
      </c>
      <c r="AE47" s="358">
        <v>49738</v>
      </c>
      <c r="AF47">
        <v>0</v>
      </c>
    </row>
    <row r="48" spans="1:32" x14ac:dyDescent="0.25">
      <c r="B48">
        <v>337</v>
      </c>
      <c r="C48" t="s">
        <v>264</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row>
    <row r="49" spans="1:32" x14ac:dyDescent="0.25">
      <c r="A49">
        <v>338</v>
      </c>
      <c r="B49">
        <v>338</v>
      </c>
      <c r="C49" t="s">
        <v>265</v>
      </c>
      <c r="D49" s="358">
        <v>8462</v>
      </c>
      <c r="E49">
        <v>0</v>
      </c>
      <c r="F49">
        <v>0</v>
      </c>
      <c r="G49" s="358">
        <v>120951</v>
      </c>
      <c r="H49">
        <v>0</v>
      </c>
      <c r="I49">
        <v>0</v>
      </c>
      <c r="J49">
        <v>0</v>
      </c>
      <c r="K49">
        <v>0</v>
      </c>
      <c r="L49">
        <v>0</v>
      </c>
      <c r="M49" s="358">
        <v>5111</v>
      </c>
      <c r="N49">
        <v>0</v>
      </c>
      <c r="O49">
        <v>0</v>
      </c>
      <c r="P49">
        <v>0</v>
      </c>
      <c r="Q49">
        <v>0</v>
      </c>
      <c r="R49">
        <v>0</v>
      </c>
      <c r="S49">
        <v>0</v>
      </c>
      <c r="T49">
        <v>0</v>
      </c>
      <c r="U49">
        <v>0</v>
      </c>
      <c r="V49">
        <v>0</v>
      </c>
      <c r="W49">
        <v>0</v>
      </c>
      <c r="X49">
        <v>0</v>
      </c>
      <c r="Y49">
        <v>0</v>
      </c>
      <c r="Z49">
        <v>0</v>
      </c>
      <c r="AA49">
        <v>0</v>
      </c>
      <c r="AB49">
        <v>0</v>
      </c>
      <c r="AC49">
        <v>0</v>
      </c>
      <c r="AD49">
        <v>0</v>
      </c>
      <c r="AE49" s="358">
        <v>49738</v>
      </c>
      <c r="AF49">
        <v>0</v>
      </c>
    </row>
    <row r="50" spans="1:32" x14ac:dyDescent="0.25">
      <c r="A50">
        <v>339</v>
      </c>
      <c r="B50">
        <v>339</v>
      </c>
      <c r="C50" t="s">
        <v>266</v>
      </c>
      <c r="D50" s="358">
        <v>85899</v>
      </c>
      <c r="E50">
        <v>0</v>
      </c>
      <c r="F50">
        <v>0</v>
      </c>
      <c r="G50" s="358">
        <v>174957</v>
      </c>
      <c r="H50">
        <v>0</v>
      </c>
      <c r="I50">
        <v>0</v>
      </c>
      <c r="J50">
        <v>0</v>
      </c>
      <c r="K50">
        <v>0</v>
      </c>
      <c r="L50">
        <v>0</v>
      </c>
      <c r="M50" s="358">
        <v>63871</v>
      </c>
      <c r="N50">
        <v>0</v>
      </c>
      <c r="O50">
        <v>0</v>
      </c>
      <c r="P50">
        <v>0</v>
      </c>
      <c r="Q50">
        <v>0</v>
      </c>
      <c r="R50">
        <v>0</v>
      </c>
      <c r="S50">
        <v>0</v>
      </c>
      <c r="T50">
        <v>0</v>
      </c>
      <c r="U50">
        <v>0</v>
      </c>
      <c r="V50">
        <v>0</v>
      </c>
      <c r="W50">
        <v>0</v>
      </c>
      <c r="X50">
        <v>0</v>
      </c>
      <c r="Y50">
        <v>0</v>
      </c>
      <c r="Z50">
        <v>0</v>
      </c>
      <c r="AA50">
        <v>0</v>
      </c>
      <c r="AB50">
        <v>0</v>
      </c>
      <c r="AC50">
        <v>0</v>
      </c>
      <c r="AD50">
        <v>0</v>
      </c>
      <c r="AE50" s="358">
        <v>1980</v>
      </c>
      <c r="AF50">
        <v>0</v>
      </c>
    </row>
    <row r="51" spans="1:32" x14ac:dyDescent="0.25">
      <c r="B51">
        <v>340</v>
      </c>
      <c r="C51" t="s">
        <v>267</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row>
    <row r="52" spans="1:32" x14ac:dyDescent="0.25">
      <c r="A52">
        <v>341</v>
      </c>
      <c r="B52">
        <v>341</v>
      </c>
      <c r="C52" t="s">
        <v>268</v>
      </c>
      <c r="D52" s="358">
        <v>165850</v>
      </c>
      <c r="E52">
        <v>0</v>
      </c>
      <c r="F52">
        <v>0</v>
      </c>
      <c r="G52" s="358">
        <v>7397</v>
      </c>
      <c r="H52">
        <v>0</v>
      </c>
      <c r="I52">
        <v>0</v>
      </c>
      <c r="J52">
        <v>0</v>
      </c>
      <c r="K52">
        <v>0</v>
      </c>
      <c r="L52">
        <v>0</v>
      </c>
      <c r="M52" s="358">
        <v>11458</v>
      </c>
      <c r="N52">
        <v>0</v>
      </c>
      <c r="O52">
        <v>0</v>
      </c>
      <c r="P52">
        <v>0</v>
      </c>
      <c r="Q52">
        <v>0</v>
      </c>
      <c r="R52">
        <v>0</v>
      </c>
      <c r="S52">
        <v>0</v>
      </c>
      <c r="T52">
        <v>0</v>
      </c>
      <c r="U52">
        <v>0</v>
      </c>
      <c r="V52">
        <v>0</v>
      </c>
      <c r="W52">
        <v>0</v>
      </c>
      <c r="X52">
        <v>0</v>
      </c>
      <c r="Y52">
        <v>0</v>
      </c>
      <c r="Z52">
        <v>0</v>
      </c>
      <c r="AA52">
        <v>0</v>
      </c>
      <c r="AB52">
        <v>0</v>
      </c>
      <c r="AC52">
        <v>0</v>
      </c>
      <c r="AD52">
        <v>0</v>
      </c>
      <c r="AE52">
        <v>0</v>
      </c>
      <c r="AF52">
        <v>0</v>
      </c>
    </row>
    <row r="53" spans="1:32" x14ac:dyDescent="0.25">
      <c r="B53">
        <v>342</v>
      </c>
      <c r="C53" t="s">
        <v>269</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row>
    <row r="54" spans="1:32" x14ac:dyDescent="0.25">
      <c r="B54">
        <v>343</v>
      </c>
      <c r="C54" t="s">
        <v>270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row>
    <row r="55" spans="1:32" x14ac:dyDescent="0.25">
      <c r="B55">
        <v>344</v>
      </c>
      <c r="C55" t="s">
        <v>271</v>
      </c>
      <c r="D55">
        <v>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row>
    <row r="56" spans="1:32" x14ac:dyDescent="0.25">
      <c r="B56">
        <v>367</v>
      </c>
      <c r="C56" t="s">
        <v>179</v>
      </c>
      <c r="D56">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row>
    <row r="57" spans="1:32" x14ac:dyDescent="0.25">
      <c r="B57">
        <v>368</v>
      </c>
      <c r="C57" t="s">
        <v>272</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row>
    <row r="58" spans="1:32" x14ac:dyDescent="0.25">
      <c r="B58">
        <v>369</v>
      </c>
      <c r="C58" t="s">
        <v>180</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row>
    <row r="59" spans="1:32" x14ac:dyDescent="0.25">
      <c r="B59">
        <v>370</v>
      </c>
      <c r="C59" t="s">
        <v>273</v>
      </c>
      <c r="D59">
        <v>0</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row>
    <row r="60" spans="1:32" x14ac:dyDescent="0.25">
      <c r="B60">
        <v>371</v>
      </c>
      <c r="C60" t="s">
        <v>274</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row>
    <row r="61" spans="1:32" x14ac:dyDescent="0.25">
      <c r="B61">
        <v>372</v>
      </c>
      <c r="C61" t="s">
        <v>275</v>
      </c>
      <c r="D61">
        <v>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row>
    <row r="62" spans="1:32" x14ac:dyDescent="0.25">
      <c r="B62">
        <v>373</v>
      </c>
      <c r="C62" t="s">
        <v>181</v>
      </c>
      <c r="D62">
        <v>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row>
    <row r="63" spans="1:32" x14ac:dyDescent="0.25">
      <c r="A63">
        <v>376</v>
      </c>
      <c r="B63">
        <v>376</v>
      </c>
      <c r="C63" t="s">
        <v>276</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row>
    <row r="64" spans="1:32" x14ac:dyDescent="0.25">
      <c r="A64">
        <v>379</v>
      </c>
      <c r="B64">
        <v>379</v>
      </c>
      <c r="C64" t="s">
        <v>277</v>
      </c>
      <c r="D64" s="358">
        <v>386253</v>
      </c>
      <c r="E64">
        <v>0</v>
      </c>
      <c r="F64">
        <v>0</v>
      </c>
      <c r="G64" s="358">
        <v>264871</v>
      </c>
      <c r="H64">
        <v>0</v>
      </c>
      <c r="I64">
        <v>0</v>
      </c>
      <c r="J64">
        <v>0</v>
      </c>
      <c r="K64">
        <v>0</v>
      </c>
      <c r="L64">
        <v>0</v>
      </c>
      <c r="M64" s="358">
        <v>193636</v>
      </c>
      <c r="N64">
        <v>0</v>
      </c>
      <c r="O64">
        <v>0</v>
      </c>
      <c r="P64">
        <v>0</v>
      </c>
      <c r="Q64">
        <v>0</v>
      </c>
      <c r="R64">
        <v>0</v>
      </c>
      <c r="S64">
        <v>0</v>
      </c>
      <c r="T64">
        <v>0</v>
      </c>
      <c r="U64">
        <v>0</v>
      </c>
      <c r="V64">
        <v>0</v>
      </c>
      <c r="W64">
        <v>0</v>
      </c>
      <c r="X64">
        <v>0</v>
      </c>
      <c r="Y64">
        <v>0</v>
      </c>
      <c r="Z64">
        <v>0</v>
      </c>
      <c r="AA64">
        <v>0</v>
      </c>
      <c r="AB64">
        <v>0</v>
      </c>
      <c r="AC64">
        <v>0</v>
      </c>
      <c r="AD64">
        <v>0</v>
      </c>
      <c r="AE64" s="358">
        <v>24845</v>
      </c>
      <c r="AF64">
        <v>0</v>
      </c>
    </row>
    <row r="65" spans="1:32" x14ac:dyDescent="0.25">
      <c r="A65">
        <v>380</v>
      </c>
      <c r="B65">
        <v>380</v>
      </c>
      <c r="C65" t="s">
        <v>278</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row>
    <row r="66" spans="1:32" x14ac:dyDescent="0.25">
      <c r="A66">
        <v>385</v>
      </c>
      <c r="B66">
        <v>385</v>
      </c>
      <c r="C66" t="s">
        <v>279</v>
      </c>
      <c r="D66" s="358">
        <v>5725488</v>
      </c>
      <c r="E66">
        <v>0</v>
      </c>
      <c r="F66">
        <v>0</v>
      </c>
      <c r="G66" s="358">
        <v>13549062</v>
      </c>
      <c r="H66">
        <v>0</v>
      </c>
      <c r="I66">
        <v>0</v>
      </c>
      <c r="J66">
        <v>0</v>
      </c>
      <c r="K66">
        <v>0</v>
      </c>
      <c r="L66">
        <v>0</v>
      </c>
      <c r="M66" s="358">
        <v>206429</v>
      </c>
      <c r="N66">
        <v>0</v>
      </c>
      <c r="O66">
        <v>0</v>
      </c>
      <c r="P66">
        <v>0</v>
      </c>
      <c r="Q66">
        <v>0</v>
      </c>
      <c r="R66">
        <v>0</v>
      </c>
      <c r="S66">
        <v>0</v>
      </c>
      <c r="T66">
        <v>0</v>
      </c>
      <c r="U66">
        <v>0</v>
      </c>
      <c r="V66">
        <v>0</v>
      </c>
      <c r="W66">
        <v>0</v>
      </c>
      <c r="X66">
        <v>0</v>
      </c>
      <c r="Y66">
        <v>0</v>
      </c>
      <c r="Z66">
        <v>0</v>
      </c>
      <c r="AA66">
        <v>0</v>
      </c>
      <c r="AB66">
        <v>0</v>
      </c>
      <c r="AC66">
        <v>0</v>
      </c>
      <c r="AD66">
        <v>0</v>
      </c>
      <c r="AE66" s="358">
        <v>2610971</v>
      </c>
      <c r="AF66">
        <v>0</v>
      </c>
    </row>
    <row r="67" spans="1:32" x14ac:dyDescent="0.25">
      <c r="A67">
        <v>386</v>
      </c>
      <c r="B67">
        <v>386</v>
      </c>
      <c r="C67" t="s">
        <v>182</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row>
    <row r="68" spans="1:32" x14ac:dyDescent="0.25">
      <c r="A68">
        <v>387</v>
      </c>
      <c r="B68">
        <v>387</v>
      </c>
      <c r="C68" t="s">
        <v>280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row>
    <row r="69" spans="1:32" x14ac:dyDescent="0.25">
      <c r="A69">
        <v>388</v>
      </c>
      <c r="B69">
        <v>388</v>
      </c>
      <c r="C69" t="s">
        <v>281</v>
      </c>
      <c r="D69" s="358">
        <v>291763</v>
      </c>
      <c r="E69">
        <v>0</v>
      </c>
      <c r="F69">
        <v>0</v>
      </c>
      <c r="G69" s="358">
        <v>521540</v>
      </c>
      <c r="H69">
        <v>0</v>
      </c>
      <c r="I69">
        <v>0</v>
      </c>
      <c r="J69">
        <v>0</v>
      </c>
      <c r="K69">
        <v>0</v>
      </c>
      <c r="L69">
        <v>0</v>
      </c>
      <c r="M69" s="358">
        <v>144479</v>
      </c>
      <c r="N69">
        <v>0</v>
      </c>
      <c r="O69">
        <v>0</v>
      </c>
      <c r="P69">
        <v>0</v>
      </c>
      <c r="Q69">
        <v>0</v>
      </c>
      <c r="R69">
        <v>0</v>
      </c>
      <c r="S69">
        <v>0</v>
      </c>
      <c r="T69">
        <v>0</v>
      </c>
      <c r="U69">
        <v>0</v>
      </c>
      <c r="V69">
        <v>0</v>
      </c>
      <c r="W69">
        <v>0</v>
      </c>
      <c r="X69">
        <v>0</v>
      </c>
      <c r="Y69">
        <v>0</v>
      </c>
      <c r="Z69">
        <v>0</v>
      </c>
      <c r="AA69">
        <v>0</v>
      </c>
      <c r="AB69">
        <v>0</v>
      </c>
      <c r="AC69">
        <v>0</v>
      </c>
      <c r="AD69">
        <v>0</v>
      </c>
      <c r="AE69" s="358">
        <v>55481</v>
      </c>
      <c r="AF69">
        <v>0</v>
      </c>
    </row>
    <row r="70" spans="1:32" x14ac:dyDescent="0.25">
      <c r="A70">
        <v>389</v>
      </c>
      <c r="B70">
        <v>389</v>
      </c>
      <c r="C70" t="s">
        <v>183</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row>
    <row r="71" spans="1:32" x14ac:dyDescent="0.25">
      <c r="B71">
        <v>390</v>
      </c>
      <c r="C71" t="s">
        <v>282</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row>
    <row r="72" spans="1:32" x14ac:dyDescent="0.25">
      <c r="A72">
        <v>391</v>
      </c>
      <c r="B72">
        <v>391</v>
      </c>
      <c r="C72" t="s">
        <v>184</v>
      </c>
      <c r="D72" s="358">
        <v>3876</v>
      </c>
      <c r="E72">
        <v>0</v>
      </c>
      <c r="F72">
        <v>0</v>
      </c>
      <c r="G72" s="358">
        <v>3022</v>
      </c>
      <c r="H72">
        <v>0</v>
      </c>
      <c r="I72">
        <v>0</v>
      </c>
      <c r="J72">
        <v>0</v>
      </c>
      <c r="K72">
        <v>0</v>
      </c>
      <c r="L72">
        <v>0</v>
      </c>
      <c r="M72" s="358">
        <v>63213</v>
      </c>
      <c r="N72">
        <v>0</v>
      </c>
      <c r="O72">
        <v>0</v>
      </c>
      <c r="P72">
        <v>0</v>
      </c>
      <c r="Q72">
        <v>0</v>
      </c>
      <c r="R72">
        <v>0</v>
      </c>
      <c r="S72">
        <v>0</v>
      </c>
      <c r="T72">
        <v>0</v>
      </c>
      <c r="U72">
        <v>0</v>
      </c>
      <c r="V72">
        <v>0</v>
      </c>
      <c r="W72">
        <v>0</v>
      </c>
      <c r="X72">
        <v>0</v>
      </c>
      <c r="Y72">
        <v>0</v>
      </c>
      <c r="Z72">
        <v>0</v>
      </c>
      <c r="AA72">
        <v>0</v>
      </c>
      <c r="AB72">
        <v>0</v>
      </c>
      <c r="AC72">
        <v>0</v>
      </c>
      <c r="AD72">
        <v>0</v>
      </c>
      <c r="AE72" s="358">
        <v>17842</v>
      </c>
      <c r="AF72">
        <v>0</v>
      </c>
    </row>
    <row r="73" spans="1:32" x14ac:dyDescent="0.25">
      <c r="B73">
        <v>4</v>
      </c>
      <c r="C73" t="s">
        <v>283</v>
      </c>
    </row>
    <row r="74" spans="1:32" x14ac:dyDescent="0.25">
      <c r="B74">
        <v>5</v>
      </c>
      <c r="C74" t="s">
        <v>284</v>
      </c>
    </row>
    <row r="75" spans="1:32" x14ac:dyDescent="0.25">
      <c r="A75">
        <v>500</v>
      </c>
      <c r="B75">
        <v>500</v>
      </c>
      <c r="C75" t="s">
        <v>119</v>
      </c>
      <c r="D75">
        <v>0</v>
      </c>
      <c r="E75">
        <v>0</v>
      </c>
      <c r="F75">
        <v>0</v>
      </c>
      <c r="G75" s="358">
        <v>23062</v>
      </c>
      <c r="H75">
        <v>0</v>
      </c>
      <c r="I75">
        <v>0</v>
      </c>
      <c r="J75">
        <v>0</v>
      </c>
      <c r="K75">
        <v>0</v>
      </c>
      <c r="L75">
        <v>0</v>
      </c>
      <c r="M75">
        <v>980</v>
      </c>
      <c r="N75">
        <v>0</v>
      </c>
      <c r="O75">
        <v>0</v>
      </c>
      <c r="P75">
        <v>0</v>
      </c>
      <c r="Q75">
        <v>0</v>
      </c>
      <c r="R75">
        <v>0</v>
      </c>
      <c r="S75">
        <v>0</v>
      </c>
      <c r="T75">
        <v>0</v>
      </c>
      <c r="U75">
        <v>0</v>
      </c>
      <c r="V75">
        <v>0</v>
      </c>
      <c r="W75">
        <v>0</v>
      </c>
      <c r="X75">
        <v>0</v>
      </c>
      <c r="Y75">
        <v>0</v>
      </c>
      <c r="Z75">
        <v>0</v>
      </c>
      <c r="AA75">
        <v>0</v>
      </c>
      <c r="AB75">
        <v>0</v>
      </c>
      <c r="AC75">
        <v>0</v>
      </c>
      <c r="AD75">
        <v>0</v>
      </c>
      <c r="AE75">
        <v>0</v>
      </c>
      <c r="AF75">
        <v>0</v>
      </c>
    </row>
    <row r="76" spans="1:32" x14ac:dyDescent="0.25">
      <c r="B76">
        <v>501</v>
      </c>
      <c r="C76" t="s">
        <v>121</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row>
    <row r="77" spans="1:32" x14ac:dyDescent="0.25">
      <c r="A77">
        <v>502</v>
      </c>
      <c r="B77">
        <v>502</v>
      </c>
      <c r="C77" t="s">
        <v>122</v>
      </c>
      <c r="D77">
        <v>0</v>
      </c>
      <c r="E77" s="358">
        <v>20510976</v>
      </c>
      <c r="F77" s="358">
        <v>114395</v>
      </c>
      <c r="G77">
        <v>0</v>
      </c>
      <c r="H77" s="358">
        <v>557494</v>
      </c>
      <c r="I77" s="358">
        <v>847526</v>
      </c>
      <c r="J77" s="358">
        <v>4184850</v>
      </c>
      <c r="K77" s="358">
        <v>349007</v>
      </c>
      <c r="L77" s="358">
        <v>145770</v>
      </c>
      <c r="M77">
        <v>0</v>
      </c>
      <c r="N77" s="358">
        <v>964820</v>
      </c>
      <c r="O77" s="358">
        <v>597347</v>
      </c>
      <c r="P77" s="358">
        <v>158683</v>
      </c>
      <c r="Q77" s="358">
        <v>709082</v>
      </c>
      <c r="R77" s="358">
        <v>3369577</v>
      </c>
      <c r="S77" s="358">
        <v>488106</v>
      </c>
      <c r="T77" s="358">
        <v>341213</v>
      </c>
      <c r="U77" s="358">
        <v>81832</v>
      </c>
      <c r="V77" s="358">
        <v>2315671</v>
      </c>
      <c r="W77" s="358">
        <v>312978</v>
      </c>
      <c r="X77" s="358">
        <v>26784299</v>
      </c>
      <c r="Y77" s="358">
        <v>64520084</v>
      </c>
      <c r="Z77" s="358">
        <v>1285331</v>
      </c>
      <c r="AA77" s="358">
        <v>293466074</v>
      </c>
      <c r="AB77" s="358">
        <v>256392</v>
      </c>
      <c r="AC77">
        <v>0</v>
      </c>
      <c r="AD77" s="358">
        <v>485977</v>
      </c>
      <c r="AE77">
        <v>0</v>
      </c>
      <c r="AF77" s="358">
        <v>87862</v>
      </c>
    </row>
    <row r="78" spans="1:32" x14ac:dyDescent="0.25">
      <c r="A78">
        <v>503</v>
      </c>
      <c r="B78">
        <v>503</v>
      </c>
      <c r="C78" t="s">
        <v>123</v>
      </c>
      <c r="D78">
        <v>0</v>
      </c>
      <c r="E78" s="358">
        <v>11906218</v>
      </c>
      <c r="F78">
        <v>0</v>
      </c>
      <c r="G78">
        <v>0</v>
      </c>
      <c r="H78" s="358">
        <v>13401</v>
      </c>
      <c r="I78">
        <v>0</v>
      </c>
      <c r="J78">
        <v>0</v>
      </c>
      <c r="K78">
        <v>0</v>
      </c>
      <c r="L78">
        <v>0</v>
      </c>
      <c r="M78">
        <v>0</v>
      </c>
      <c r="N78">
        <v>0</v>
      </c>
      <c r="O78" s="358">
        <v>98941</v>
      </c>
      <c r="P78">
        <v>0</v>
      </c>
      <c r="Q78">
        <v>0</v>
      </c>
      <c r="R78">
        <v>0</v>
      </c>
      <c r="S78">
        <v>0</v>
      </c>
      <c r="T78" s="358">
        <v>126445</v>
      </c>
      <c r="U78">
        <v>0</v>
      </c>
      <c r="V78">
        <v>0</v>
      </c>
      <c r="W78" s="358">
        <v>6850</v>
      </c>
      <c r="X78" s="358">
        <v>8958534</v>
      </c>
      <c r="Y78" s="358">
        <v>13043761</v>
      </c>
      <c r="Z78" s="358">
        <v>1676664</v>
      </c>
      <c r="AA78" s="358">
        <v>126851356</v>
      </c>
      <c r="AB78">
        <v>0</v>
      </c>
      <c r="AC78">
        <v>0</v>
      </c>
      <c r="AD78" s="358">
        <v>55962</v>
      </c>
      <c r="AE78">
        <v>0</v>
      </c>
      <c r="AF78" s="358">
        <v>14201</v>
      </c>
    </row>
    <row r="79" spans="1:32" x14ac:dyDescent="0.25">
      <c r="A79">
        <v>504</v>
      </c>
      <c r="B79">
        <v>504</v>
      </c>
      <c r="C79" t="s">
        <v>126</v>
      </c>
      <c r="D79">
        <v>0</v>
      </c>
      <c r="E79">
        <v>0</v>
      </c>
      <c r="F79">
        <v>0</v>
      </c>
      <c r="G79" s="358">
        <v>117290</v>
      </c>
      <c r="H79">
        <v>0</v>
      </c>
      <c r="I79">
        <v>0</v>
      </c>
      <c r="J79">
        <v>0</v>
      </c>
      <c r="K79">
        <v>0</v>
      </c>
      <c r="L79">
        <v>0</v>
      </c>
      <c r="M79" s="358">
        <v>80000</v>
      </c>
      <c r="N79">
        <v>0</v>
      </c>
      <c r="O79">
        <v>0</v>
      </c>
      <c r="P79">
        <v>0</v>
      </c>
      <c r="Q79">
        <v>0</v>
      </c>
      <c r="R79">
        <v>0</v>
      </c>
      <c r="S79">
        <v>0</v>
      </c>
      <c r="T79">
        <v>0</v>
      </c>
      <c r="U79">
        <v>0</v>
      </c>
      <c r="V79">
        <v>0</v>
      </c>
      <c r="W79">
        <v>0</v>
      </c>
      <c r="X79">
        <v>0</v>
      </c>
      <c r="Y79">
        <v>0</v>
      </c>
      <c r="Z79">
        <v>0</v>
      </c>
      <c r="AA79">
        <v>0</v>
      </c>
      <c r="AB79">
        <v>0</v>
      </c>
      <c r="AC79">
        <v>0</v>
      </c>
      <c r="AD79">
        <v>0</v>
      </c>
      <c r="AE79" s="358">
        <v>11750</v>
      </c>
      <c r="AF79">
        <v>0</v>
      </c>
    </row>
    <row r="80" spans="1:32" x14ac:dyDescent="0.25">
      <c r="A80">
        <v>505</v>
      </c>
      <c r="B80">
        <v>505</v>
      </c>
      <c r="C80" t="s">
        <v>127</v>
      </c>
      <c r="D80" s="358">
        <v>122228</v>
      </c>
      <c r="E80">
        <v>0</v>
      </c>
      <c r="F80">
        <v>0</v>
      </c>
      <c r="G80" s="358">
        <v>884236</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s="358">
        <v>345436</v>
      </c>
      <c r="AF80">
        <v>0</v>
      </c>
    </row>
    <row r="81" spans="1:32" x14ac:dyDescent="0.25">
      <c r="A81">
        <v>506</v>
      </c>
      <c r="B81">
        <v>506</v>
      </c>
      <c r="C81" t="s">
        <v>133</v>
      </c>
      <c r="D81" s="358">
        <v>373084</v>
      </c>
      <c r="E81">
        <v>0</v>
      </c>
      <c r="F81">
        <v>0</v>
      </c>
      <c r="G81" s="358">
        <v>260741</v>
      </c>
      <c r="H81">
        <v>0</v>
      </c>
      <c r="I81">
        <v>0</v>
      </c>
      <c r="J81">
        <v>0</v>
      </c>
      <c r="K81">
        <v>0</v>
      </c>
      <c r="L81">
        <v>0</v>
      </c>
      <c r="M81" s="358">
        <v>128464</v>
      </c>
      <c r="N81">
        <v>0</v>
      </c>
      <c r="O81">
        <v>0</v>
      </c>
      <c r="P81">
        <v>0</v>
      </c>
      <c r="Q81">
        <v>0</v>
      </c>
      <c r="R81">
        <v>0</v>
      </c>
      <c r="S81">
        <v>0</v>
      </c>
      <c r="T81">
        <v>0</v>
      </c>
      <c r="U81">
        <v>0</v>
      </c>
      <c r="V81">
        <v>0</v>
      </c>
      <c r="W81">
        <v>0</v>
      </c>
      <c r="X81">
        <v>0</v>
      </c>
      <c r="Y81">
        <v>0</v>
      </c>
      <c r="Z81">
        <v>0</v>
      </c>
      <c r="AA81">
        <v>0</v>
      </c>
      <c r="AB81">
        <v>0</v>
      </c>
      <c r="AC81">
        <v>0</v>
      </c>
      <c r="AD81">
        <v>0</v>
      </c>
      <c r="AE81" s="358">
        <v>1974</v>
      </c>
      <c r="AF81">
        <v>0</v>
      </c>
    </row>
    <row r="82" spans="1:32" x14ac:dyDescent="0.25">
      <c r="A82">
        <v>507</v>
      </c>
      <c r="B82">
        <v>507</v>
      </c>
      <c r="C82" t="s">
        <v>148</v>
      </c>
      <c r="D82" s="358">
        <v>-5769</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row>
    <row r="83" spans="1:32" x14ac:dyDescent="0.25">
      <c r="A83">
        <v>508</v>
      </c>
      <c r="B83">
        <v>508</v>
      </c>
      <c r="C83" t="s">
        <v>145</v>
      </c>
      <c r="D83">
        <v>0</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row>
    <row r="84" spans="1:32" x14ac:dyDescent="0.25">
      <c r="A84">
        <v>509</v>
      </c>
      <c r="B84">
        <v>509</v>
      </c>
      <c r="C84" t="s">
        <v>146</v>
      </c>
      <c r="D84">
        <v>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row>
    <row r="85" spans="1:32" x14ac:dyDescent="0.25">
      <c r="B85">
        <v>510</v>
      </c>
      <c r="C85" t="s">
        <v>149</v>
      </c>
      <c r="D85">
        <v>0</v>
      </c>
      <c r="E85">
        <v>0</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row>
    <row r="86" spans="1:32" x14ac:dyDescent="0.25">
      <c r="B86">
        <v>511</v>
      </c>
      <c r="C86" t="s">
        <v>150</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row>
    <row r="87" spans="1:32" x14ac:dyDescent="0.25">
      <c r="A87">
        <v>512</v>
      </c>
      <c r="B87">
        <v>512</v>
      </c>
      <c r="C87" t="s">
        <v>151</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row>
    <row r="88" spans="1:32" x14ac:dyDescent="0.25">
      <c r="B88">
        <v>513</v>
      </c>
      <c r="C88" t="s">
        <v>153</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row>
    <row r="89" spans="1:32" x14ac:dyDescent="0.25">
      <c r="B89">
        <v>514</v>
      </c>
      <c r="C89" t="s">
        <v>154</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row>
    <row r="90" spans="1:32" x14ac:dyDescent="0.25">
      <c r="B90">
        <v>515</v>
      </c>
      <c r="C90" t="s">
        <v>161</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row>
    <row r="91" spans="1:32" x14ac:dyDescent="0.25">
      <c r="B91">
        <v>516</v>
      </c>
      <c r="C91" t="s">
        <v>162</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row>
    <row r="92" spans="1:32" x14ac:dyDescent="0.25">
      <c r="B92">
        <v>517</v>
      </c>
      <c r="C92" t="s">
        <v>163</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row>
    <row r="93" spans="1:32" x14ac:dyDescent="0.25">
      <c r="B93">
        <v>518</v>
      </c>
      <c r="C93" t="s">
        <v>164</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row>
    <row r="94" spans="1:32" x14ac:dyDescent="0.25">
      <c r="B94">
        <v>519</v>
      </c>
      <c r="C94" t="s">
        <v>165</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row>
    <row r="95" spans="1:32" x14ac:dyDescent="0.25">
      <c r="B95">
        <v>520</v>
      </c>
      <c r="C95" t="s">
        <v>166</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row>
    <row r="96" spans="1:32" x14ac:dyDescent="0.25">
      <c r="B96">
        <v>521</v>
      </c>
      <c r="C96" t="s">
        <v>167</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row>
    <row r="97" spans="1:32" x14ac:dyDescent="0.25">
      <c r="B97">
        <v>522</v>
      </c>
      <c r="C97" t="s">
        <v>168</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row>
    <row r="98" spans="1:32" x14ac:dyDescent="0.25">
      <c r="B98">
        <v>523</v>
      </c>
      <c r="C98" t="s">
        <v>169</v>
      </c>
      <c r="D98">
        <v>0</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row>
    <row r="99" spans="1:32" x14ac:dyDescent="0.25">
      <c r="B99">
        <v>524</v>
      </c>
      <c r="C99" t="s">
        <v>170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row>
    <row r="100" spans="1:32" x14ac:dyDescent="0.25">
      <c r="B100">
        <v>525</v>
      </c>
      <c r="C100" t="s">
        <v>171</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row>
    <row r="101" spans="1:32" x14ac:dyDescent="0.25">
      <c r="B101">
        <v>526</v>
      </c>
      <c r="C101" t="s">
        <v>172</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row>
    <row r="102" spans="1:32" x14ac:dyDescent="0.25">
      <c r="B102">
        <v>527</v>
      </c>
      <c r="C102" t="s">
        <v>173</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row>
    <row r="103" spans="1:32" x14ac:dyDescent="0.25">
      <c r="B103">
        <v>528</v>
      </c>
      <c r="C103" t="s">
        <v>156</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row>
    <row r="104" spans="1:32" x14ac:dyDescent="0.25">
      <c r="B104">
        <v>529</v>
      </c>
      <c r="C104" t="s">
        <v>157</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row>
    <row r="105" spans="1:32" x14ac:dyDescent="0.25">
      <c r="B105">
        <v>530</v>
      </c>
      <c r="C105" t="s">
        <v>158</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row>
    <row r="106" spans="1:32" x14ac:dyDescent="0.25">
      <c r="B106">
        <v>531</v>
      </c>
      <c r="C106" t="s">
        <v>159</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row>
    <row r="107" spans="1:32" x14ac:dyDescent="0.25">
      <c r="A107">
        <v>532</v>
      </c>
      <c r="B107">
        <v>532</v>
      </c>
      <c r="C107" t="s">
        <v>139</v>
      </c>
      <c r="D107" s="358">
        <v>152543</v>
      </c>
      <c r="E107">
        <v>0</v>
      </c>
      <c r="F107">
        <v>0</v>
      </c>
      <c r="G107" s="358">
        <v>228377</v>
      </c>
      <c r="H107">
        <v>0</v>
      </c>
      <c r="I107">
        <v>0</v>
      </c>
      <c r="J107">
        <v>0</v>
      </c>
      <c r="K107">
        <v>0</v>
      </c>
      <c r="L107">
        <v>0</v>
      </c>
      <c r="M107" s="358">
        <v>153570</v>
      </c>
      <c r="N107">
        <v>0</v>
      </c>
      <c r="O107">
        <v>0</v>
      </c>
      <c r="P107">
        <v>0</v>
      </c>
      <c r="Q107">
        <v>0</v>
      </c>
      <c r="R107">
        <v>0</v>
      </c>
      <c r="S107">
        <v>0</v>
      </c>
      <c r="T107">
        <v>0</v>
      </c>
      <c r="U107">
        <v>0</v>
      </c>
      <c r="V107">
        <v>0</v>
      </c>
      <c r="W107">
        <v>0</v>
      </c>
      <c r="X107">
        <v>0</v>
      </c>
      <c r="Y107">
        <v>0</v>
      </c>
      <c r="Z107">
        <v>0</v>
      </c>
      <c r="AA107">
        <v>0</v>
      </c>
      <c r="AB107">
        <v>0</v>
      </c>
      <c r="AC107">
        <v>0</v>
      </c>
      <c r="AD107">
        <v>0</v>
      </c>
      <c r="AE107" s="358">
        <v>9162</v>
      </c>
      <c r="AF107">
        <v>0</v>
      </c>
    </row>
    <row r="108" spans="1:32" x14ac:dyDescent="0.25">
      <c r="A108">
        <v>533</v>
      </c>
      <c r="B108">
        <v>533</v>
      </c>
      <c r="C108" t="s">
        <v>185</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row>
    <row r="109" spans="1:32" x14ac:dyDescent="0.25">
      <c r="A109">
        <v>534</v>
      </c>
      <c r="B109">
        <v>534</v>
      </c>
      <c r="C109" t="s">
        <v>160</v>
      </c>
      <c r="D109">
        <v>0</v>
      </c>
      <c r="E109" s="358">
        <v>32302</v>
      </c>
      <c r="F109">
        <v>0</v>
      </c>
      <c r="G109">
        <v>0</v>
      </c>
      <c r="H109" s="358">
        <v>53406</v>
      </c>
      <c r="I109" s="358">
        <v>14421</v>
      </c>
      <c r="J109" s="358">
        <v>59872</v>
      </c>
      <c r="K109">
        <v>0</v>
      </c>
      <c r="L109" s="358">
        <v>58408</v>
      </c>
      <c r="M109">
        <v>0</v>
      </c>
      <c r="N109" s="358">
        <v>84963</v>
      </c>
      <c r="O109">
        <v>0</v>
      </c>
      <c r="P109">
        <v>0</v>
      </c>
      <c r="Q109" s="358">
        <v>39571</v>
      </c>
      <c r="R109" s="358">
        <v>26266</v>
      </c>
      <c r="S109" s="358">
        <v>46929</v>
      </c>
      <c r="T109" s="358">
        <v>59311</v>
      </c>
      <c r="U109">
        <v>0</v>
      </c>
      <c r="V109" s="358">
        <v>72458</v>
      </c>
      <c r="W109">
        <v>0</v>
      </c>
      <c r="X109" s="358">
        <v>29438</v>
      </c>
      <c r="Y109" s="358">
        <v>202326</v>
      </c>
      <c r="Z109" s="358">
        <v>142703</v>
      </c>
      <c r="AA109" s="358">
        <v>3308140</v>
      </c>
      <c r="AB109" s="358">
        <v>18918</v>
      </c>
      <c r="AC109">
        <v>0</v>
      </c>
      <c r="AD109" s="358">
        <v>75448</v>
      </c>
      <c r="AE109">
        <v>0</v>
      </c>
      <c r="AF109" s="358">
        <v>6716</v>
      </c>
    </row>
    <row r="110" spans="1:32" x14ac:dyDescent="0.25">
      <c r="B110">
        <v>535</v>
      </c>
      <c r="C110" t="s">
        <v>285</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row>
    <row r="111" spans="1:32" x14ac:dyDescent="0.25">
      <c r="A111">
        <v>536</v>
      </c>
      <c r="B111">
        <v>536</v>
      </c>
      <c r="C111" t="s">
        <v>134</v>
      </c>
      <c r="D111">
        <v>0</v>
      </c>
      <c r="E111">
        <v>0</v>
      </c>
      <c r="F111">
        <v>0</v>
      </c>
      <c r="G111">
        <v>0</v>
      </c>
      <c r="H111">
        <v>0</v>
      </c>
      <c r="I111">
        <v>0</v>
      </c>
      <c r="J111">
        <v>0</v>
      </c>
      <c r="K111">
        <v>0</v>
      </c>
      <c r="L111">
        <v>0</v>
      </c>
      <c r="M111">
        <v>980</v>
      </c>
      <c r="N111">
        <v>0</v>
      </c>
      <c r="O111">
        <v>0</v>
      </c>
      <c r="P111">
        <v>0</v>
      </c>
      <c r="Q111">
        <v>0</v>
      </c>
      <c r="R111">
        <v>0</v>
      </c>
      <c r="S111">
        <v>0</v>
      </c>
      <c r="T111">
        <v>0</v>
      </c>
      <c r="U111">
        <v>0</v>
      </c>
      <c r="V111">
        <v>0</v>
      </c>
      <c r="W111">
        <v>0</v>
      </c>
      <c r="X111">
        <v>0</v>
      </c>
      <c r="Y111">
        <v>0</v>
      </c>
      <c r="Z111">
        <v>0</v>
      </c>
      <c r="AA111">
        <v>0</v>
      </c>
      <c r="AB111">
        <v>0</v>
      </c>
      <c r="AC111">
        <v>0</v>
      </c>
      <c r="AD111">
        <v>0</v>
      </c>
      <c r="AE111">
        <v>0</v>
      </c>
      <c r="AF111">
        <v>0</v>
      </c>
    </row>
    <row r="112" spans="1:32" x14ac:dyDescent="0.25">
      <c r="B112">
        <v>6</v>
      </c>
      <c r="C112" t="s">
        <v>286</v>
      </c>
    </row>
    <row r="113" spans="1:32" x14ac:dyDescent="0.25">
      <c r="B113">
        <v>7</v>
      </c>
      <c r="C113" t="s">
        <v>287</v>
      </c>
    </row>
    <row r="114" spans="1:32" x14ac:dyDescent="0.25">
      <c r="B114">
        <v>9</v>
      </c>
      <c r="C114" t="s">
        <v>288</v>
      </c>
    </row>
    <row r="115" spans="1:32" ht="30" x14ac:dyDescent="0.25">
      <c r="B115">
        <v>539</v>
      </c>
      <c r="C115" s="338" t="s">
        <v>289</v>
      </c>
    </row>
    <row r="116" spans="1:32" ht="90" x14ac:dyDescent="0.25">
      <c r="A116">
        <v>547</v>
      </c>
      <c r="B116">
        <v>547</v>
      </c>
      <c r="C116" s="338" t="s">
        <v>290</v>
      </c>
      <c r="D116">
        <v>2</v>
      </c>
      <c r="E116">
        <v>3</v>
      </c>
      <c r="F116">
        <v>2</v>
      </c>
      <c r="G116">
        <v>2</v>
      </c>
      <c r="H116">
        <v>2</v>
      </c>
      <c r="I116">
        <v>2</v>
      </c>
      <c r="J116">
        <v>3</v>
      </c>
      <c r="K116">
        <v>2</v>
      </c>
      <c r="L116">
        <v>2</v>
      </c>
      <c r="M116">
        <v>2</v>
      </c>
      <c r="N116">
        <v>2</v>
      </c>
      <c r="O116">
        <v>2</v>
      </c>
      <c r="P116">
        <v>2</v>
      </c>
      <c r="Q116">
        <v>3</v>
      </c>
      <c r="R116">
        <v>1</v>
      </c>
      <c r="S116">
        <v>2</v>
      </c>
      <c r="T116">
        <v>2</v>
      </c>
      <c r="U116">
        <v>2</v>
      </c>
      <c r="V116">
        <v>3</v>
      </c>
      <c r="W116">
        <v>2</v>
      </c>
      <c r="X116">
        <v>3</v>
      </c>
      <c r="Y116">
        <v>2</v>
      </c>
      <c r="Z116">
        <v>3</v>
      </c>
      <c r="AA116">
        <v>1</v>
      </c>
      <c r="AB116">
        <v>2</v>
      </c>
      <c r="AC116">
        <v>0</v>
      </c>
      <c r="AD116">
        <v>2</v>
      </c>
      <c r="AE116">
        <v>2</v>
      </c>
      <c r="AF116">
        <v>2</v>
      </c>
    </row>
    <row r="117" spans="1:32" ht="60" x14ac:dyDescent="0.25">
      <c r="B117">
        <v>549</v>
      </c>
      <c r="C117" s="338" t="s">
        <v>291</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row>
    <row r="118" spans="1:32" ht="75" x14ac:dyDescent="0.25">
      <c r="B118">
        <v>551</v>
      </c>
      <c r="C118" s="338" t="s">
        <v>326</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row>
    <row r="119" spans="1:32" x14ac:dyDescent="0.25">
      <c r="A119">
        <v>998</v>
      </c>
      <c r="B119">
        <v>998</v>
      </c>
      <c r="C119" t="s">
        <v>174</v>
      </c>
      <c r="D119">
        <v>54</v>
      </c>
      <c r="E119">
        <v>54</v>
      </c>
      <c r="F119">
        <v>54</v>
      </c>
      <c r="G119">
        <v>54</v>
      </c>
      <c r="H119">
        <v>54</v>
      </c>
      <c r="I119">
        <v>54</v>
      </c>
      <c r="J119">
        <v>54</v>
      </c>
      <c r="K119">
        <v>54</v>
      </c>
      <c r="L119">
        <v>54</v>
      </c>
      <c r="M119">
        <v>54</v>
      </c>
      <c r="N119">
        <v>54</v>
      </c>
      <c r="O119">
        <v>54</v>
      </c>
      <c r="P119">
        <v>54</v>
      </c>
      <c r="Q119">
        <v>54</v>
      </c>
      <c r="R119">
        <v>54</v>
      </c>
      <c r="S119">
        <v>54</v>
      </c>
      <c r="T119">
        <v>54</v>
      </c>
      <c r="U119">
        <v>54</v>
      </c>
      <c r="V119">
        <v>54</v>
      </c>
      <c r="W119">
        <v>54</v>
      </c>
      <c r="X119">
        <v>54</v>
      </c>
      <c r="Y119">
        <v>54</v>
      </c>
      <c r="Z119">
        <v>54</v>
      </c>
      <c r="AA119">
        <v>54</v>
      </c>
      <c r="AB119">
        <v>54</v>
      </c>
      <c r="AC119">
        <v>54</v>
      </c>
      <c r="AD119">
        <v>54</v>
      </c>
      <c r="AE119">
        <v>54</v>
      </c>
      <c r="AF119">
        <v>54</v>
      </c>
    </row>
    <row r="120" spans="1:32" x14ac:dyDescent="0.25">
      <c r="A120">
        <v>999</v>
      </c>
      <c r="B120">
        <v>999</v>
      </c>
      <c r="C120" t="s">
        <v>175</v>
      </c>
      <c r="D120">
        <v>541777</v>
      </c>
      <c r="E120">
        <v>541000</v>
      </c>
      <c r="F120">
        <v>54949</v>
      </c>
      <c r="G120">
        <v>54937</v>
      </c>
      <c r="H120">
        <v>541001</v>
      </c>
      <c r="I120">
        <v>541002</v>
      </c>
      <c r="J120">
        <v>541003</v>
      </c>
      <c r="K120">
        <v>544178</v>
      </c>
      <c r="L120">
        <v>541004</v>
      </c>
      <c r="M120">
        <v>541727</v>
      </c>
      <c r="N120">
        <v>541010</v>
      </c>
      <c r="O120">
        <v>541005</v>
      </c>
      <c r="P120">
        <v>541025</v>
      </c>
      <c r="Q120">
        <v>541007</v>
      </c>
      <c r="R120">
        <v>541009</v>
      </c>
      <c r="S120">
        <v>541024</v>
      </c>
      <c r="T120">
        <v>541027</v>
      </c>
      <c r="U120">
        <v>541026</v>
      </c>
      <c r="V120">
        <v>541011</v>
      </c>
      <c r="W120">
        <v>541012</v>
      </c>
      <c r="X120">
        <v>541013</v>
      </c>
      <c r="Y120">
        <v>541014</v>
      </c>
      <c r="Z120">
        <v>541015</v>
      </c>
      <c r="AA120">
        <v>541016</v>
      </c>
      <c r="AB120">
        <v>541017</v>
      </c>
      <c r="AC120">
        <v>541018</v>
      </c>
      <c r="AD120">
        <v>541019</v>
      </c>
      <c r="AE120">
        <v>541020</v>
      </c>
      <c r="AF120">
        <v>541022</v>
      </c>
    </row>
    <row r="121" spans="1:32" ht="56.25" customHeight="1" x14ac:dyDescent="0.25">
      <c r="A121">
        <v>554</v>
      </c>
      <c r="B121">
        <v>554</v>
      </c>
      <c r="C121" s="338" t="s">
        <v>292</v>
      </c>
      <c r="D121">
        <v>0</v>
      </c>
      <c r="E121" s="358">
        <v>5008854</v>
      </c>
      <c r="F121" s="358">
        <v>201907</v>
      </c>
      <c r="G121" s="358">
        <v>58280</v>
      </c>
      <c r="H121">
        <v>0</v>
      </c>
      <c r="I121" s="358">
        <v>220407</v>
      </c>
      <c r="J121">
        <v>0</v>
      </c>
      <c r="K121" s="358">
        <v>430581</v>
      </c>
      <c r="L121">
        <v>0</v>
      </c>
      <c r="M121">
        <v>0</v>
      </c>
      <c r="N121">
        <v>0</v>
      </c>
      <c r="O121" s="358">
        <v>1583705</v>
      </c>
      <c r="P121">
        <v>0</v>
      </c>
      <c r="Q121" s="358">
        <v>188668</v>
      </c>
      <c r="R121" s="358">
        <v>123202</v>
      </c>
      <c r="S121">
        <v>0</v>
      </c>
      <c r="T121">
        <v>0</v>
      </c>
      <c r="U121">
        <v>0</v>
      </c>
      <c r="V121">
        <v>0</v>
      </c>
      <c r="W121">
        <v>0</v>
      </c>
      <c r="X121" s="358">
        <v>3335889</v>
      </c>
      <c r="Y121" s="358">
        <v>9863781</v>
      </c>
      <c r="Z121" s="358">
        <v>9856499</v>
      </c>
      <c r="AA121" s="358">
        <v>15405185</v>
      </c>
      <c r="AB121" s="358">
        <v>1207840</v>
      </c>
      <c r="AC121">
        <v>0</v>
      </c>
      <c r="AD121" s="358">
        <v>3478124</v>
      </c>
      <c r="AE121">
        <v>0</v>
      </c>
      <c r="AF121">
        <v>0</v>
      </c>
    </row>
    <row r="122" spans="1:32" ht="71.25" customHeight="1" x14ac:dyDescent="0.25">
      <c r="A122">
        <v>555</v>
      </c>
      <c r="B122">
        <v>555</v>
      </c>
      <c r="C122" s="338" t="s">
        <v>293</v>
      </c>
      <c r="D122">
        <v>0</v>
      </c>
      <c r="E122" s="358">
        <v>5008854</v>
      </c>
      <c r="F122">
        <v>0</v>
      </c>
      <c r="G122">
        <v>0</v>
      </c>
      <c r="H122">
        <v>0</v>
      </c>
      <c r="I122">
        <v>0</v>
      </c>
      <c r="J122">
        <v>0</v>
      </c>
      <c r="K122">
        <v>0</v>
      </c>
      <c r="L122">
        <v>0</v>
      </c>
      <c r="M122">
        <v>0</v>
      </c>
      <c r="N122">
        <v>0</v>
      </c>
      <c r="O122" s="358">
        <v>1583705</v>
      </c>
      <c r="P122">
        <v>0</v>
      </c>
      <c r="Q122">
        <v>0</v>
      </c>
      <c r="R122">
        <v>0</v>
      </c>
      <c r="S122">
        <v>0</v>
      </c>
      <c r="T122">
        <v>0</v>
      </c>
      <c r="U122">
        <v>0</v>
      </c>
      <c r="V122">
        <v>0</v>
      </c>
      <c r="W122">
        <v>0</v>
      </c>
      <c r="X122" s="358">
        <v>2630086</v>
      </c>
      <c r="Y122" s="358">
        <v>9565852</v>
      </c>
      <c r="Z122" s="358">
        <v>9772480</v>
      </c>
      <c r="AA122" s="358">
        <v>15127785</v>
      </c>
      <c r="AB122" s="358">
        <v>1207840</v>
      </c>
      <c r="AC122">
        <v>0</v>
      </c>
      <c r="AD122" s="358">
        <v>3478124</v>
      </c>
      <c r="AE122">
        <v>0</v>
      </c>
      <c r="AF122">
        <v>0</v>
      </c>
    </row>
    <row r="123" spans="1:32" ht="92.25" customHeight="1" x14ac:dyDescent="0.25">
      <c r="A123">
        <v>556</v>
      </c>
      <c r="B123">
        <v>556</v>
      </c>
      <c r="C123" s="338" t="s">
        <v>294</v>
      </c>
      <c r="D123">
        <v>0</v>
      </c>
      <c r="E123" s="358">
        <v>808762</v>
      </c>
      <c r="F123" s="358">
        <v>1179073</v>
      </c>
      <c r="G123" s="358">
        <v>606672</v>
      </c>
      <c r="H123">
        <v>0</v>
      </c>
      <c r="I123" s="358">
        <v>2249496</v>
      </c>
      <c r="J123">
        <v>0</v>
      </c>
      <c r="K123" s="358">
        <v>562786</v>
      </c>
      <c r="L123">
        <v>0</v>
      </c>
      <c r="M123">
        <v>0</v>
      </c>
      <c r="N123">
        <v>0</v>
      </c>
      <c r="O123" s="358">
        <v>1357955</v>
      </c>
      <c r="P123">
        <v>0</v>
      </c>
      <c r="Q123" s="358">
        <v>842445</v>
      </c>
      <c r="R123" s="358">
        <v>1541589</v>
      </c>
      <c r="S123">
        <v>0</v>
      </c>
      <c r="T123">
        <v>0</v>
      </c>
      <c r="U123">
        <v>0</v>
      </c>
      <c r="V123">
        <v>0</v>
      </c>
      <c r="W123">
        <v>0</v>
      </c>
      <c r="X123" s="358">
        <v>2628302</v>
      </c>
      <c r="Y123" s="358">
        <v>3462641</v>
      </c>
      <c r="Z123" s="358">
        <v>3795970</v>
      </c>
      <c r="AA123" s="358">
        <v>38420576</v>
      </c>
      <c r="AB123">
        <v>0</v>
      </c>
      <c r="AC123">
        <v>0</v>
      </c>
      <c r="AD123" s="358">
        <v>1397790</v>
      </c>
      <c r="AE123">
        <v>0</v>
      </c>
      <c r="AF123">
        <v>0</v>
      </c>
    </row>
    <row r="124" spans="1:32" ht="117" customHeight="1" x14ac:dyDescent="0.25">
      <c r="A124">
        <v>557</v>
      </c>
      <c r="B124">
        <v>557</v>
      </c>
      <c r="C124" s="338" t="s">
        <v>295</v>
      </c>
      <c r="D124">
        <v>0</v>
      </c>
      <c r="E124" s="358">
        <v>808762</v>
      </c>
      <c r="F124" s="358">
        <v>1179073</v>
      </c>
      <c r="G124" s="358">
        <v>606672</v>
      </c>
      <c r="H124">
        <v>0</v>
      </c>
      <c r="I124" s="358">
        <v>2249496</v>
      </c>
      <c r="J124">
        <v>0</v>
      </c>
      <c r="K124" s="358">
        <v>562786</v>
      </c>
      <c r="L124">
        <v>0</v>
      </c>
      <c r="M124">
        <v>0</v>
      </c>
      <c r="N124">
        <v>0</v>
      </c>
      <c r="O124" s="358">
        <v>1357955</v>
      </c>
      <c r="P124">
        <v>0</v>
      </c>
      <c r="Q124" s="358">
        <v>842445</v>
      </c>
      <c r="R124" s="358">
        <v>1541589</v>
      </c>
      <c r="S124">
        <v>0</v>
      </c>
      <c r="T124">
        <v>0</v>
      </c>
      <c r="U124">
        <v>0</v>
      </c>
      <c r="V124">
        <v>0</v>
      </c>
      <c r="W124">
        <v>0</v>
      </c>
      <c r="X124" s="358">
        <v>2628302</v>
      </c>
      <c r="Y124" s="358">
        <v>3462641</v>
      </c>
      <c r="Z124" s="358">
        <v>3395717</v>
      </c>
      <c r="AA124" s="358">
        <v>38420576</v>
      </c>
      <c r="AB124">
        <v>0</v>
      </c>
      <c r="AC124">
        <v>0</v>
      </c>
      <c r="AD124" s="358">
        <v>1397790</v>
      </c>
      <c r="AE124">
        <v>0</v>
      </c>
      <c r="AF124">
        <v>0</v>
      </c>
    </row>
    <row r="125" spans="1:32" x14ac:dyDescent="0.25">
      <c r="A125">
        <v>575</v>
      </c>
      <c r="B125">
        <v>575</v>
      </c>
      <c r="C125" t="s">
        <v>205</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row>
    <row r="126" spans="1:32" x14ac:dyDescent="0.25">
      <c r="A126">
        <v>576</v>
      </c>
      <c r="B126">
        <v>576</v>
      </c>
      <c r="C126" t="s">
        <v>206</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row>
    <row r="127" spans="1:32" ht="72" customHeight="1" x14ac:dyDescent="0.25">
      <c r="A127">
        <v>577</v>
      </c>
      <c r="B127">
        <v>577</v>
      </c>
      <c r="C127" t="s">
        <v>351</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row>
    <row r="128" spans="1:32" x14ac:dyDescent="0.25">
      <c r="A128">
        <v>586</v>
      </c>
      <c r="B128">
        <v>586</v>
      </c>
      <c r="C128" t="s">
        <v>350</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row>
    <row r="129" spans="1:32" x14ac:dyDescent="0.25">
      <c r="A129">
        <v>591</v>
      </c>
      <c r="B129">
        <v>591</v>
      </c>
      <c r="C129" t="s">
        <v>337</v>
      </c>
      <c r="D129">
        <v>0</v>
      </c>
      <c r="E129" s="358">
        <v>13057598</v>
      </c>
      <c r="F129" s="358">
        <v>263507</v>
      </c>
      <c r="G129">
        <v>0</v>
      </c>
      <c r="H129" s="358">
        <v>1346950</v>
      </c>
      <c r="I129" s="358">
        <v>1241014</v>
      </c>
      <c r="J129" s="358">
        <v>1765191</v>
      </c>
      <c r="K129" s="358">
        <v>1217610</v>
      </c>
      <c r="L129" s="358">
        <v>1442662</v>
      </c>
      <c r="M129">
        <v>0</v>
      </c>
      <c r="N129" s="358">
        <v>1095595</v>
      </c>
      <c r="O129" s="358">
        <v>2865883</v>
      </c>
      <c r="P129" s="358">
        <v>887871</v>
      </c>
      <c r="Q129" s="358">
        <v>2025129</v>
      </c>
      <c r="R129" s="358">
        <v>1803932</v>
      </c>
      <c r="S129" s="358">
        <v>1370472</v>
      </c>
      <c r="T129" s="358">
        <v>1077937</v>
      </c>
      <c r="U129" s="358">
        <v>736398</v>
      </c>
      <c r="V129" s="358">
        <v>2339896</v>
      </c>
      <c r="W129" s="358">
        <v>566362</v>
      </c>
      <c r="X129" s="358">
        <v>15261689</v>
      </c>
      <c r="Y129" s="358">
        <v>35808082</v>
      </c>
      <c r="Z129" s="358">
        <v>4597333</v>
      </c>
      <c r="AA129" s="358">
        <v>142668388</v>
      </c>
      <c r="AB129" s="358">
        <v>564609</v>
      </c>
      <c r="AC129">
        <v>0</v>
      </c>
      <c r="AD129" s="358">
        <v>1605391</v>
      </c>
      <c r="AE129">
        <v>0</v>
      </c>
      <c r="AF129" s="358">
        <v>180287</v>
      </c>
    </row>
    <row r="130" spans="1:32" x14ac:dyDescent="0.25">
      <c r="A130">
        <v>592</v>
      </c>
      <c r="B130">
        <v>592</v>
      </c>
      <c r="C130" t="s">
        <v>336</v>
      </c>
      <c r="D130">
        <v>0</v>
      </c>
      <c r="E130" s="358">
        <v>10094535</v>
      </c>
      <c r="F130" s="358">
        <v>1204810</v>
      </c>
      <c r="G130">
        <v>0</v>
      </c>
      <c r="H130" s="358">
        <v>-180053</v>
      </c>
      <c r="I130" s="358">
        <v>1807565</v>
      </c>
      <c r="J130" s="358">
        <v>140457</v>
      </c>
      <c r="K130" s="358">
        <v>265275</v>
      </c>
      <c r="L130" s="358">
        <v>-368283</v>
      </c>
      <c r="M130">
        <v>0</v>
      </c>
      <c r="N130" s="358">
        <v>-292493</v>
      </c>
      <c r="O130" s="358">
        <v>1713213</v>
      </c>
      <c r="P130" s="358">
        <v>101752</v>
      </c>
      <c r="Q130" s="358">
        <v>442027</v>
      </c>
      <c r="R130" s="358">
        <v>1851313</v>
      </c>
      <c r="S130" s="358">
        <v>-538064</v>
      </c>
      <c r="T130" s="358">
        <v>57869</v>
      </c>
      <c r="U130" s="358">
        <v>337842</v>
      </c>
      <c r="V130" s="358">
        <v>105021</v>
      </c>
      <c r="W130" s="358">
        <v>4034720</v>
      </c>
      <c r="X130" s="358">
        <v>8115874</v>
      </c>
      <c r="Y130" s="358">
        <v>12783793</v>
      </c>
      <c r="Z130" s="358">
        <v>12336104</v>
      </c>
      <c r="AA130" s="358">
        <v>128220869</v>
      </c>
      <c r="AB130" s="358">
        <v>1147447</v>
      </c>
      <c r="AC130">
        <v>0</v>
      </c>
      <c r="AD130" s="358">
        <v>4857415</v>
      </c>
      <c r="AE130">
        <v>0</v>
      </c>
      <c r="AF130" s="358">
        <v>-61168</v>
      </c>
    </row>
    <row r="131" spans="1:32" ht="61.5" customHeight="1" x14ac:dyDescent="0.25">
      <c r="B131">
        <v>595</v>
      </c>
      <c r="C131" s="338" t="s">
        <v>375</v>
      </c>
    </row>
    <row r="132" spans="1:32" ht="39" customHeight="1" x14ac:dyDescent="0.25">
      <c r="B132">
        <v>600</v>
      </c>
      <c r="C132" s="338" t="s">
        <v>348</v>
      </c>
    </row>
    <row r="133" spans="1:32" ht="69.75" customHeight="1" x14ac:dyDescent="0.25">
      <c r="B133">
        <v>601</v>
      </c>
      <c r="C133" s="338" t="s">
        <v>349</v>
      </c>
    </row>
    <row r="134" spans="1:32" ht="210" x14ac:dyDescent="0.25">
      <c r="A134">
        <v>603</v>
      </c>
      <c r="B134">
        <v>603</v>
      </c>
      <c r="C134" s="338" t="s">
        <v>371</v>
      </c>
      <c r="D134">
        <v>1</v>
      </c>
      <c r="E134">
        <v>1</v>
      </c>
      <c r="F134">
        <v>2</v>
      </c>
      <c r="G134">
        <v>1</v>
      </c>
      <c r="H134">
        <v>2</v>
      </c>
      <c r="I134">
        <v>1</v>
      </c>
      <c r="J134">
        <v>1</v>
      </c>
      <c r="K134">
        <v>1</v>
      </c>
      <c r="L134">
        <v>2</v>
      </c>
      <c r="M134">
        <v>4</v>
      </c>
      <c r="N134">
        <v>2</v>
      </c>
      <c r="O134">
        <v>2</v>
      </c>
      <c r="P134">
        <v>1</v>
      </c>
      <c r="Q134">
        <v>1</v>
      </c>
      <c r="R134">
        <v>3</v>
      </c>
      <c r="S134">
        <v>2</v>
      </c>
      <c r="T134">
        <v>1</v>
      </c>
      <c r="U134">
        <v>1</v>
      </c>
      <c r="V134">
        <v>1</v>
      </c>
      <c r="W134">
        <v>2</v>
      </c>
      <c r="X134">
        <v>4</v>
      </c>
      <c r="Y134">
        <v>1</v>
      </c>
      <c r="Z134">
        <v>2</v>
      </c>
      <c r="AA134">
        <v>1</v>
      </c>
      <c r="AB134">
        <v>1</v>
      </c>
      <c r="AC134">
        <v>0</v>
      </c>
      <c r="AD134">
        <v>2</v>
      </c>
      <c r="AE134">
        <v>1</v>
      </c>
      <c r="AF134">
        <v>1</v>
      </c>
    </row>
    <row r="135" spans="1:32" ht="135" x14ac:dyDescent="0.25">
      <c r="A135">
        <v>604</v>
      </c>
      <c r="B135">
        <v>604</v>
      </c>
      <c r="C135" s="338" t="s">
        <v>372</v>
      </c>
      <c r="D135">
        <v>1</v>
      </c>
      <c r="E135">
        <v>1</v>
      </c>
      <c r="F135">
        <v>1</v>
      </c>
      <c r="G135">
        <v>1</v>
      </c>
      <c r="H135">
        <v>1</v>
      </c>
      <c r="I135">
        <v>0</v>
      </c>
      <c r="J135">
        <v>1</v>
      </c>
      <c r="K135">
        <v>1</v>
      </c>
      <c r="L135">
        <v>1</v>
      </c>
      <c r="M135">
        <v>3</v>
      </c>
      <c r="N135">
        <v>1</v>
      </c>
      <c r="O135">
        <v>1</v>
      </c>
      <c r="P135">
        <v>1</v>
      </c>
      <c r="Q135">
        <v>1</v>
      </c>
      <c r="R135">
        <v>2</v>
      </c>
      <c r="S135">
        <v>1</v>
      </c>
      <c r="T135">
        <v>5</v>
      </c>
      <c r="U135">
        <v>1</v>
      </c>
      <c r="V135">
        <v>1</v>
      </c>
      <c r="W135">
        <v>1</v>
      </c>
      <c r="X135">
        <v>4</v>
      </c>
      <c r="Y135">
        <v>1</v>
      </c>
      <c r="Z135">
        <v>5</v>
      </c>
      <c r="AA135">
        <v>1</v>
      </c>
      <c r="AB135">
        <v>1</v>
      </c>
      <c r="AC135">
        <v>0</v>
      </c>
      <c r="AD135">
        <v>1</v>
      </c>
      <c r="AE135">
        <v>1</v>
      </c>
      <c r="AF135">
        <v>1</v>
      </c>
    </row>
    <row r="136" spans="1:32" x14ac:dyDescent="0.25">
      <c r="A136">
        <v>605</v>
      </c>
      <c r="B136">
        <v>605</v>
      </c>
      <c r="C136" t="s">
        <v>374</v>
      </c>
      <c r="D136">
        <v>1</v>
      </c>
      <c r="E136">
        <v>1</v>
      </c>
      <c r="F136">
        <v>1</v>
      </c>
      <c r="G136">
        <v>0</v>
      </c>
      <c r="H136">
        <v>1</v>
      </c>
      <c r="I136">
        <v>1</v>
      </c>
      <c r="J136">
        <v>1</v>
      </c>
      <c r="K136">
        <v>1</v>
      </c>
      <c r="L136">
        <v>1</v>
      </c>
      <c r="M136">
        <v>1</v>
      </c>
      <c r="N136">
        <v>1</v>
      </c>
      <c r="O136">
        <v>1</v>
      </c>
      <c r="P136">
        <v>1</v>
      </c>
      <c r="Q136">
        <v>1</v>
      </c>
      <c r="R136">
        <v>1</v>
      </c>
      <c r="S136">
        <v>1</v>
      </c>
      <c r="T136">
        <v>1</v>
      </c>
      <c r="U136">
        <v>1</v>
      </c>
      <c r="V136">
        <v>1</v>
      </c>
      <c r="W136">
        <v>1</v>
      </c>
      <c r="X136">
        <v>1</v>
      </c>
      <c r="Y136">
        <v>1</v>
      </c>
      <c r="Z136">
        <v>1</v>
      </c>
      <c r="AA136">
        <v>1</v>
      </c>
      <c r="AB136">
        <v>1</v>
      </c>
      <c r="AC136">
        <v>0</v>
      </c>
      <c r="AD136">
        <v>1</v>
      </c>
      <c r="AE136">
        <v>1</v>
      </c>
      <c r="AF136">
        <v>1</v>
      </c>
    </row>
    <row r="137" spans="1:32" x14ac:dyDescent="0.25">
      <c r="A137">
        <v>606</v>
      </c>
      <c r="B137">
        <v>606</v>
      </c>
      <c r="C137" t="s">
        <v>384</v>
      </c>
      <c r="D137">
        <v>0</v>
      </c>
      <c r="E137">
        <v>1</v>
      </c>
      <c r="F137">
        <v>1</v>
      </c>
      <c r="G137">
        <v>1</v>
      </c>
      <c r="H137">
        <v>0</v>
      </c>
      <c r="I137">
        <v>1</v>
      </c>
      <c r="J137">
        <v>0</v>
      </c>
      <c r="K137">
        <v>1</v>
      </c>
      <c r="L137">
        <v>0</v>
      </c>
      <c r="M137">
        <v>0</v>
      </c>
      <c r="N137">
        <v>0</v>
      </c>
      <c r="O137">
        <v>1</v>
      </c>
      <c r="P137">
        <v>0</v>
      </c>
      <c r="Q137">
        <v>1</v>
      </c>
      <c r="R137">
        <v>1</v>
      </c>
      <c r="S137">
        <v>0</v>
      </c>
      <c r="T137">
        <v>0</v>
      </c>
      <c r="U137">
        <v>0</v>
      </c>
      <c r="V137">
        <v>0</v>
      </c>
      <c r="W137">
        <v>0</v>
      </c>
      <c r="X137">
        <v>1</v>
      </c>
      <c r="Y137">
        <v>1</v>
      </c>
      <c r="Z137">
        <v>1</v>
      </c>
      <c r="AA137">
        <v>1</v>
      </c>
      <c r="AB137">
        <v>1</v>
      </c>
      <c r="AC137">
        <v>0</v>
      </c>
      <c r="AD137">
        <v>1</v>
      </c>
      <c r="AE137">
        <v>0</v>
      </c>
      <c r="AF137">
        <v>0</v>
      </c>
    </row>
    <row r="138" spans="1:32" x14ac:dyDescent="0.25">
      <c r="A138">
        <v>607</v>
      </c>
      <c r="B138">
        <v>607</v>
      </c>
      <c r="C138" t="s">
        <v>357</v>
      </c>
      <c r="D138">
        <v>0</v>
      </c>
      <c r="E138" s="358">
        <v>1211712</v>
      </c>
      <c r="F138">
        <v>0</v>
      </c>
      <c r="G138">
        <v>0</v>
      </c>
      <c r="H138">
        <v>0</v>
      </c>
      <c r="I138">
        <v>0</v>
      </c>
      <c r="J138" s="358">
        <v>2406495</v>
      </c>
      <c r="K138">
        <v>0</v>
      </c>
      <c r="L138">
        <v>0</v>
      </c>
      <c r="M138">
        <v>0</v>
      </c>
      <c r="N138">
        <v>0</v>
      </c>
      <c r="O138">
        <v>0</v>
      </c>
      <c r="P138">
        <v>0</v>
      </c>
      <c r="Q138" s="358">
        <v>1065513</v>
      </c>
      <c r="R138" s="358">
        <v>62963</v>
      </c>
      <c r="S138">
        <v>0</v>
      </c>
      <c r="T138">
        <v>0</v>
      </c>
      <c r="U138">
        <v>0</v>
      </c>
      <c r="V138" s="358">
        <v>118316</v>
      </c>
      <c r="W138">
        <v>0</v>
      </c>
      <c r="X138" s="358">
        <v>308328</v>
      </c>
      <c r="Y138">
        <v>0</v>
      </c>
      <c r="Z138" s="358">
        <v>1140346</v>
      </c>
      <c r="AA138" s="358">
        <v>6797224</v>
      </c>
      <c r="AB138">
        <v>0</v>
      </c>
      <c r="AC138">
        <v>0</v>
      </c>
      <c r="AD138">
        <v>0</v>
      </c>
      <c r="AE138">
        <v>0</v>
      </c>
      <c r="AF138">
        <v>0</v>
      </c>
    </row>
    <row r="139" spans="1:32" x14ac:dyDescent="0.25">
      <c r="A139">
        <v>608</v>
      </c>
      <c r="B139">
        <v>608</v>
      </c>
      <c r="C139" t="s">
        <v>358</v>
      </c>
      <c r="D139">
        <v>0</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row>
    <row r="140" spans="1:32" x14ac:dyDescent="0.25">
      <c r="A140">
        <v>609</v>
      </c>
      <c r="B140">
        <v>609</v>
      </c>
      <c r="C140" t="s">
        <v>385</v>
      </c>
      <c r="D140">
        <v>0</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row>
    <row r="141" spans="1:32" x14ac:dyDescent="0.25">
      <c r="A141">
        <v>610</v>
      </c>
      <c r="B141">
        <v>610</v>
      </c>
      <c r="C141" t="s">
        <v>361</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row>
    <row r="142" spans="1:32" x14ac:dyDescent="0.25">
      <c r="A142">
        <v>611</v>
      </c>
      <c r="B142">
        <v>611</v>
      </c>
      <c r="C142" t="s">
        <v>362</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row>
    <row r="143" spans="1:32" x14ac:dyDescent="0.25">
      <c r="A143">
        <v>612</v>
      </c>
      <c r="B143">
        <v>612</v>
      </c>
      <c r="C143" t="s">
        <v>386</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row>
    <row r="144" spans="1:32" x14ac:dyDescent="0.25">
      <c r="A144">
        <v>613</v>
      </c>
      <c r="B144">
        <v>613</v>
      </c>
      <c r="C144" t="s">
        <v>364</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row>
    <row r="145" spans="1:32" x14ac:dyDescent="0.25">
      <c r="A145">
        <v>614</v>
      </c>
      <c r="B145">
        <v>614</v>
      </c>
      <c r="C145" t="s">
        <v>365</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row>
    <row r="146" spans="1:32" x14ac:dyDescent="0.25">
      <c r="A146">
        <v>615</v>
      </c>
      <c r="B146">
        <v>615</v>
      </c>
      <c r="C146" t="s">
        <v>387</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row>
    <row r="147" spans="1:32" x14ac:dyDescent="0.25">
      <c r="A147">
        <v>616</v>
      </c>
      <c r="B147">
        <v>616</v>
      </c>
      <c r="C147" t="s">
        <v>367</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0</v>
      </c>
    </row>
    <row r="148" spans="1:32" x14ac:dyDescent="0.25">
      <c r="A148">
        <v>617</v>
      </c>
      <c r="B148">
        <v>617</v>
      </c>
      <c r="C148" t="s">
        <v>368</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row>
    <row r="149" spans="1:32" x14ac:dyDescent="0.25">
      <c r="A149">
        <v>618</v>
      </c>
      <c r="B149">
        <v>618</v>
      </c>
      <c r="C149" t="s">
        <v>388</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row>
    <row r="150" spans="1:32" x14ac:dyDescent="0.25">
      <c r="A150">
        <v>620</v>
      </c>
      <c r="B150">
        <v>620</v>
      </c>
      <c r="C150" t="s">
        <v>377</v>
      </c>
      <c r="D150">
        <v>2</v>
      </c>
      <c r="E150">
        <v>2</v>
      </c>
      <c r="F150">
        <v>2</v>
      </c>
      <c r="G150">
        <v>2</v>
      </c>
      <c r="H150">
        <v>2</v>
      </c>
      <c r="I150">
        <v>2</v>
      </c>
      <c r="J150">
        <v>2</v>
      </c>
      <c r="K150">
        <v>2</v>
      </c>
      <c r="L150">
        <v>2</v>
      </c>
      <c r="M150">
        <v>2</v>
      </c>
      <c r="N150">
        <v>0</v>
      </c>
      <c r="O150">
        <v>2</v>
      </c>
      <c r="P150">
        <v>2</v>
      </c>
      <c r="Q150">
        <v>2</v>
      </c>
      <c r="R150">
        <v>2</v>
      </c>
      <c r="S150">
        <v>2</v>
      </c>
      <c r="T150">
        <v>2</v>
      </c>
      <c r="U150">
        <v>2</v>
      </c>
      <c r="V150">
        <v>2</v>
      </c>
      <c r="W150">
        <v>2</v>
      </c>
      <c r="X150">
        <v>2</v>
      </c>
      <c r="Y150">
        <v>2</v>
      </c>
      <c r="Z150">
        <v>2</v>
      </c>
      <c r="AA150">
        <v>2</v>
      </c>
      <c r="AB150">
        <v>2</v>
      </c>
      <c r="AC150">
        <v>0</v>
      </c>
      <c r="AD150">
        <v>2</v>
      </c>
      <c r="AE150">
        <v>0</v>
      </c>
      <c r="AF150">
        <v>2</v>
      </c>
    </row>
    <row r="153" spans="1:32" x14ac:dyDescent="0.25">
      <c r="D153" s="359">
        <f>SUM(D3:D152)</f>
        <v>14781685</v>
      </c>
      <c r="E153" s="359">
        <f t="shared" ref="E153:AF153" si="0">SUM(E3:E152)</f>
        <v>123666613</v>
      </c>
      <c r="F153" s="359">
        <f t="shared" si="0"/>
        <v>7210671</v>
      </c>
      <c r="G153" s="359">
        <f t="shared" si="0"/>
        <v>33275474</v>
      </c>
      <c r="H153" s="359">
        <f t="shared" si="0"/>
        <v>3329619</v>
      </c>
      <c r="I153" s="359">
        <f t="shared" si="0"/>
        <v>15249811</v>
      </c>
      <c r="J153" s="359">
        <f t="shared" si="0"/>
        <v>14285059</v>
      </c>
      <c r="K153" s="359">
        <f t="shared" si="0"/>
        <v>6706717</v>
      </c>
      <c r="L153" s="359">
        <f t="shared" si="0"/>
        <v>2279550</v>
      </c>
      <c r="M153" s="359">
        <f t="shared" si="0"/>
        <v>2293276</v>
      </c>
      <c r="N153" s="359">
        <f t="shared" si="0"/>
        <v>3742459</v>
      </c>
      <c r="O153" s="359">
        <f t="shared" si="0"/>
        <v>18693636</v>
      </c>
      <c r="P153" s="359">
        <f t="shared" si="0"/>
        <v>2628486</v>
      </c>
      <c r="Q153" s="359">
        <f t="shared" si="0"/>
        <v>9622693</v>
      </c>
      <c r="R153" s="359">
        <f t="shared" si="0"/>
        <v>21620361</v>
      </c>
      <c r="S153" s="359">
        <f t="shared" si="0"/>
        <v>2439475</v>
      </c>
      <c r="T153" s="359">
        <f t="shared" si="0"/>
        <v>3177325</v>
      </c>
      <c r="U153" s="359">
        <f t="shared" si="0"/>
        <v>3800462</v>
      </c>
      <c r="V153" s="359">
        <f t="shared" si="0"/>
        <v>8596015</v>
      </c>
      <c r="W153" s="359">
        <f t="shared" si="0"/>
        <v>14670645</v>
      </c>
      <c r="X153" s="359">
        <f t="shared" si="0"/>
        <v>129662311</v>
      </c>
      <c r="Y153" s="359">
        <f t="shared" si="0"/>
        <v>301334149</v>
      </c>
      <c r="Z153" s="359">
        <f t="shared" si="0"/>
        <v>77216483</v>
      </c>
      <c r="AA153" s="359">
        <f t="shared" si="0"/>
        <v>1508559143</v>
      </c>
      <c r="AB153" s="359">
        <f t="shared" si="0"/>
        <v>8133136</v>
      </c>
      <c r="AC153" s="359">
        <f t="shared" si="0"/>
        <v>541072</v>
      </c>
      <c r="AD153" s="359">
        <f t="shared" si="0"/>
        <v>25848026</v>
      </c>
      <c r="AE153" s="359">
        <f t="shared" si="0"/>
        <v>6635060</v>
      </c>
      <c r="AF153" s="359">
        <f t="shared" si="0"/>
        <v>993916</v>
      </c>
    </row>
    <row r="154" spans="1:32" x14ac:dyDescent="0.25">
      <c r="D154">
        <f>SUM(D119:D124,D127,D134:D137)</f>
        <v>541834</v>
      </c>
      <c r="E154" s="337">
        <f t="shared" ref="E154:AF154" si="1">SUM(E119:E124,E127,E134:E137)</f>
        <v>12176290</v>
      </c>
      <c r="F154" s="337">
        <f t="shared" si="1"/>
        <v>2615061</v>
      </c>
      <c r="G154" s="337">
        <f t="shared" si="1"/>
        <v>1326618</v>
      </c>
      <c r="H154" s="337">
        <f t="shared" si="1"/>
        <v>541059</v>
      </c>
      <c r="I154" s="337">
        <f t="shared" si="1"/>
        <v>5260458</v>
      </c>
      <c r="J154" s="337">
        <f t="shared" si="1"/>
        <v>541060</v>
      </c>
      <c r="K154" s="337">
        <f t="shared" si="1"/>
        <v>2100389</v>
      </c>
      <c r="L154" s="337">
        <f t="shared" si="1"/>
        <v>541062</v>
      </c>
      <c r="M154" s="337">
        <f t="shared" si="1"/>
        <v>541789</v>
      </c>
      <c r="N154" s="337">
        <f t="shared" si="1"/>
        <v>541068</v>
      </c>
      <c r="O154" s="337">
        <f t="shared" si="1"/>
        <v>6424384</v>
      </c>
      <c r="P154" s="337">
        <f t="shared" si="1"/>
        <v>541082</v>
      </c>
      <c r="Q154" s="337">
        <f t="shared" si="1"/>
        <v>2414623</v>
      </c>
      <c r="R154" s="337">
        <f t="shared" si="1"/>
        <v>3747450</v>
      </c>
      <c r="S154" s="337">
        <f t="shared" si="1"/>
        <v>541082</v>
      </c>
      <c r="T154" s="337">
        <f t="shared" si="1"/>
        <v>541088</v>
      </c>
      <c r="U154" s="337">
        <f t="shared" si="1"/>
        <v>541083</v>
      </c>
      <c r="V154" s="337">
        <f t="shared" si="1"/>
        <v>541068</v>
      </c>
      <c r="W154" s="337">
        <f t="shared" si="1"/>
        <v>541070</v>
      </c>
      <c r="X154" s="337">
        <f t="shared" si="1"/>
        <v>11763656</v>
      </c>
      <c r="Y154" s="337">
        <f t="shared" si="1"/>
        <v>26895987</v>
      </c>
      <c r="Z154" s="337">
        <f t="shared" si="1"/>
        <v>27361744</v>
      </c>
      <c r="AA154" s="337">
        <f t="shared" si="1"/>
        <v>107915196</v>
      </c>
      <c r="AB154" s="337">
        <f t="shared" si="1"/>
        <v>2956755</v>
      </c>
      <c r="AC154" s="337">
        <f t="shared" si="1"/>
        <v>541072</v>
      </c>
      <c r="AD154" s="337">
        <f t="shared" si="1"/>
        <v>10292906</v>
      </c>
      <c r="AE154" s="337">
        <f t="shared" si="1"/>
        <v>541077</v>
      </c>
      <c r="AF154" s="337">
        <f t="shared" si="1"/>
        <v>541079</v>
      </c>
    </row>
    <row r="155" spans="1:32" x14ac:dyDescent="0.25">
      <c r="D155" s="359">
        <f>D153-D154</f>
        <v>14239851</v>
      </c>
      <c r="E155" s="359">
        <f t="shared" ref="E155:AF155" si="2">E153-E154</f>
        <v>111490323</v>
      </c>
      <c r="F155" s="359">
        <f t="shared" si="2"/>
        <v>4595610</v>
      </c>
      <c r="G155" s="359">
        <f t="shared" si="2"/>
        <v>31948856</v>
      </c>
      <c r="H155" s="359">
        <f t="shared" si="2"/>
        <v>2788560</v>
      </c>
      <c r="I155" s="359">
        <f t="shared" si="2"/>
        <v>9989353</v>
      </c>
      <c r="J155" s="359">
        <f t="shared" si="2"/>
        <v>13743999</v>
      </c>
      <c r="K155" s="359">
        <f t="shared" si="2"/>
        <v>4606328</v>
      </c>
      <c r="L155" s="359">
        <f t="shared" si="2"/>
        <v>1738488</v>
      </c>
      <c r="M155" s="359">
        <f t="shared" si="2"/>
        <v>1751487</v>
      </c>
      <c r="N155" s="359">
        <f t="shared" si="2"/>
        <v>3201391</v>
      </c>
      <c r="O155" s="359">
        <f t="shared" si="2"/>
        <v>12269252</v>
      </c>
      <c r="P155" s="359">
        <f t="shared" si="2"/>
        <v>2087404</v>
      </c>
      <c r="Q155" s="359">
        <f t="shared" si="2"/>
        <v>7208070</v>
      </c>
      <c r="R155" s="359">
        <f t="shared" si="2"/>
        <v>17872911</v>
      </c>
      <c r="S155" s="359">
        <f t="shared" si="2"/>
        <v>1898393</v>
      </c>
      <c r="T155" s="359">
        <f t="shared" si="2"/>
        <v>2636237</v>
      </c>
      <c r="U155" s="359">
        <f t="shared" si="2"/>
        <v>3259379</v>
      </c>
      <c r="V155" s="359">
        <f t="shared" si="2"/>
        <v>8054947</v>
      </c>
      <c r="W155" s="359">
        <f t="shared" si="2"/>
        <v>14129575</v>
      </c>
      <c r="X155" s="359">
        <f t="shared" si="2"/>
        <v>117898655</v>
      </c>
      <c r="Y155" s="359">
        <f t="shared" si="2"/>
        <v>274438162</v>
      </c>
      <c r="Z155" s="359">
        <f t="shared" si="2"/>
        <v>49854739</v>
      </c>
      <c r="AA155" s="359">
        <f t="shared" si="2"/>
        <v>1400643947</v>
      </c>
      <c r="AB155" s="359">
        <f t="shared" si="2"/>
        <v>5176381</v>
      </c>
      <c r="AC155" s="359">
        <f t="shared" si="2"/>
        <v>0</v>
      </c>
      <c r="AD155" s="359">
        <f t="shared" si="2"/>
        <v>15555120</v>
      </c>
      <c r="AE155" s="359">
        <f t="shared" si="2"/>
        <v>6093983</v>
      </c>
      <c r="AF155" s="359">
        <f t="shared" si="2"/>
        <v>452837</v>
      </c>
    </row>
    <row r="156" spans="1:32" x14ac:dyDescent="0.25">
      <c r="D156" s="359"/>
    </row>
    <row r="168" spans="4:33" x14ac:dyDescent="0.25">
      <c r="D168" s="359">
        <v>14781685</v>
      </c>
      <c r="E168" s="359">
        <v>123666613</v>
      </c>
      <c r="F168" s="359">
        <v>7210671</v>
      </c>
      <c r="G168" s="359">
        <v>33275474</v>
      </c>
      <c r="H168" s="359">
        <v>3329619</v>
      </c>
      <c r="I168" s="359">
        <v>15249811</v>
      </c>
      <c r="J168" s="359">
        <v>14285059</v>
      </c>
      <c r="K168" s="359">
        <v>6706717</v>
      </c>
      <c r="L168" s="359">
        <v>2279550</v>
      </c>
      <c r="M168" s="359">
        <v>2293276</v>
      </c>
      <c r="N168" s="359">
        <v>3742459</v>
      </c>
      <c r="O168" s="359">
        <v>18693636</v>
      </c>
      <c r="P168" s="359">
        <v>2628486</v>
      </c>
      <c r="Q168" s="359">
        <v>9622693</v>
      </c>
      <c r="R168" s="359">
        <v>21620361</v>
      </c>
      <c r="S168" s="359">
        <v>2439475</v>
      </c>
      <c r="T168" s="359">
        <v>3177325</v>
      </c>
      <c r="U168" s="359">
        <v>3800462</v>
      </c>
      <c r="V168" s="359">
        <v>8596015</v>
      </c>
      <c r="W168" s="359">
        <v>14670645</v>
      </c>
      <c r="X168" s="359">
        <v>129662311</v>
      </c>
      <c r="Y168" s="359">
        <v>301334149</v>
      </c>
      <c r="Z168" s="359">
        <v>77216483</v>
      </c>
      <c r="AA168" s="359">
        <v>1508559143</v>
      </c>
      <c r="AB168" s="359">
        <v>8133136</v>
      </c>
      <c r="AC168" t="s">
        <v>389</v>
      </c>
      <c r="AD168" s="359">
        <v>25848026</v>
      </c>
      <c r="AE168" s="359">
        <v>6635060</v>
      </c>
      <c r="AF168" s="359">
        <v>993916</v>
      </c>
    </row>
    <row r="169" spans="4:33" x14ac:dyDescent="0.25">
      <c r="D169" s="359">
        <f t="shared" ref="D169:AG169" si="3">D153-D168</f>
        <v>0</v>
      </c>
      <c r="E169" s="359">
        <f t="shared" si="3"/>
        <v>0</v>
      </c>
      <c r="F169" s="359">
        <f t="shared" si="3"/>
        <v>0</v>
      </c>
      <c r="G169" s="359">
        <f t="shared" si="3"/>
        <v>0</v>
      </c>
      <c r="H169" s="359">
        <f t="shared" si="3"/>
        <v>0</v>
      </c>
      <c r="I169" s="359">
        <f t="shared" si="3"/>
        <v>0</v>
      </c>
      <c r="J169" s="359">
        <f t="shared" si="3"/>
        <v>0</v>
      </c>
      <c r="K169" s="359">
        <f t="shared" si="3"/>
        <v>0</v>
      </c>
      <c r="L169" s="359">
        <f t="shared" si="3"/>
        <v>0</v>
      </c>
      <c r="M169" s="359">
        <f t="shared" si="3"/>
        <v>0</v>
      </c>
      <c r="N169" s="359">
        <f t="shared" si="3"/>
        <v>0</v>
      </c>
      <c r="O169" s="359">
        <f t="shared" si="3"/>
        <v>0</v>
      </c>
      <c r="P169" s="359">
        <f t="shared" si="3"/>
        <v>0</v>
      </c>
      <c r="Q169" s="359">
        <f t="shared" si="3"/>
        <v>0</v>
      </c>
      <c r="R169" s="359">
        <f t="shared" si="3"/>
        <v>0</v>
      </c>
      <c r="S169" s="359">
        <f t="shared" si="3"/>
        <v>0</v>
      </c>
      <c r="T169" s="359">
        <f t="shared" si="3"/>
        <v>0</v>
      </c>
      <c r="U169" s="359">
        <f t="shared" si="3"/>
        <v>0</v>
      </c>
      <c r="V169" s="359">
        <f t="shared" si="3"/>
        <v>0</v>
      </c>
      <c r="W169" s="359">
        <f t="shared" si="3"/>
        <v>0</v>
      </c>
      <c r="X169" s="359">
        <f t="shared" si="3"/>
        <v>0</v>
      </c>
      <c r="Y169" s="359">
        <f t="shared" si="3"/>
        <v>0</v>
      </c>
      <c r="Z169" s="359">
        <f t="shared" si="3"/>
        <v>0</v>
      </c>
      <c r="AA169" s="359">
        <f t="shared" si="3"/>
        <v>0</v>
      </c>
      <c r="AB169" s="359">
        <f t="shared" si="3"/>
        <v>0</v>
      </c>
      <c r="AC169" s="359" t="e">
        <f t="shared" si="3"/>
        <v>#VALUE!</v>
      </c>
      <c r="AD169" s="359">
        <f t="shared" si="3"/>
        <v>0</v>
      </c>
      <c r="AE169" s="359">
        <f t="shared" si="3"/>
        <v>0</v>
      </c>
      <c r="AF169" s="359">
        <f t="shared" si="3"/>
        <v>0</v>
      </c>
      <c r="AG169" s="359">
        <f t="shared" si="3"/>
        <v>0</v>
      </c>
    </row>
  </sheetData>
  <sheetProtection algorithmName="SHA-512" hashValue="H2wTP9INyHl6xuJ2d8vG1XL/4GpeYJd3i9S19fSIWHMsHSwhSNAb7tU889d8x4UVdAxet1y5kmJwmdCWGamOFQ==" saltValue="dAUhQCREuXJm/hujNgDs+A=="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DE6B1DBF4D8840B7EB4ABAA788F1E7" ma:contentTypeVersion="1" ma:contentTypeDescription="Create a new document." ma:contentTypeScope="" ma:versionID="efeaea188b7cb24963ac672785fa5ed1">
  <xsd:schema xmlns:xsd="http://www.w3.org/2001/XMLSchema" xmlns:xs="http://www.w3.org/2001/XMLSchema" xmlns:p="http://schemas.microsoft.com/office/2006/metadata/properties" xmlns:ns2="d4ea4015-5b02-447c-9074-d5807a41497e" targetNamespace="http://schemas.microsoft.com/office/2006/metadata/properties" ma:root="true" ma:fieldsID="26357a8f2741f71438dd457ebc97f38f" ns2:_="">
    <xsd:import namespace="d4ea4015-5b02-447c-9074-d5807a4149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2.xml><?xml version="1.0" encoding="utf-8"?>
<ds:datastoreItem xmlns:ds="http://schemas.openxmlformats.org/officeDocument/2006/customXml" ds:itemID="{58ACA649-DA90-4A76-AE7B-BFF3C6DFDAE3}"/>
</file>

<file path=customXml/itemProps3.xml><?xml version="1.0" encoding="utf-8"?>
<ds:datastoreItem xmlns:ds="http://schemas.openxmlformats.org/officeDocument/2006/customXml" ds:itemID="{DCA0F052-A202-4FFD-B02A-5FE80DBD2891}">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DDBE649F-A124-46ED-A13C-0111C90A0C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 </vt:lpstr>
      <vt:lpstr>Collection Worksheet</vt:lpstr>
      <vt:lpstr>IMPORT</vt:lpstr>
      <vt:lpstr>RSS</vt:lpstr>
      <vt:lpstr>Unit Names</vt:lpstr>
      <vt:lpstr>2018 Data</vt:lpstr>
      <vt:lpstr>'Collection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2017-06-28T18:45:02Z</cp:lastPrinted>
  <dcterms:created xsi:type="dcterms:W3CDTF">2011-03-11T21:05:05Z</dcterms:created>
  <dcterms:modified xsi:type="dcterms:W3CDTF">2019-07-31T21:41:08Z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2019 Review Year</vt:lpwstr>
  </property>
  <property fmtid="{D5CDD505-2E9C-101B-9397-08002B2CF9AE}" pid="6" name="tabIndex">
    <vt:lpwstr/>
  </property>
  <property fmtid="{D5CDD505-2E9C-101B-9397-08002B2CF9AE}" pid="7" name="workpaperIndex">
    <vt:lpwstr/>
  </property>
  <property fmtid="{D5CDD505-2E9C-101B-9397-08002B2CF9AE}" pid="8" name="ContentTypeId">
    <vt:lpwstr>0x01010074DE6B1DBF4D8840B7EB4ABAA788F1E7</vt:lpwstr>
  </property>
</Properties>
</file>