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codeName="ThisWorkbook" defaultThemeVersion="124226"/>
  <mc:AlternateContent xmlns:mc="http://schemas.openxmlformats.org/markup-compatibility/2006">
    <mc:Choice Requires="x15">
      <x15ac:absPath xmlns:x15ac="http://schemas.microsoft.com/office/spreadsheetml/2010/11/ac" url="L:\2021 Implementation of Administrative code-audit review\Data Input Worksheet\2021 DIW - Final\"/>
    </mc:Choice>
  </mc:AlternateContent>
  <xr:revisionPtr revIDLastSave="0" documentId="13_ncr:1_{21921540-AE30-4A59-BA52-DE696E18C8CE}" xr6:coauthVersionLast="46" xr6:coauthVersionMax="46" xr10:uidLastSave="{00000000-0000-0000-0000-000000000000}"/>
  <bookViews>
    <workbookView xWindow="57480" yWindow="-120" windowWidth="29040" windowHeight="15840" tabRatio="708" xr2:uid="{00000000-000D-0000-FFFF-FFFF00000000}"/>
  </bookViews>
  <sheets>
    <sheet name="Instructions" sheetId="49" r:id="rId1"/>
    <sheet name="Unit Data from Audit Worksheet" sheetId="1" r:id="rId2"/>
    <sheet name="TD Info Completed by Auditor" sheetId="53" r:id="rId3"/>
    <sheet name="Import" sheetId="28" state="hidden" r:id="rId4"/>
    <sheet name="Performance  Indicators Print" sheetId="80" r:id="rId5"/>
    <sheet name="PI series #" sheetId="73" state="hidden" r:id="rId6"/>
    <sheet name="RSS" sheetId="30" state="hidden" r:id="rId7"/>
    <sheet name="Debt Service Funds (H)" sheetId="41" state="hidden" r:id="rId8"/>
    <sheet name="UAL" sheetId="75" state="hidden" r:id="rId9"/>
    <sheet name="2020 Data(H)" sheetId="74" state="hidden" r:id="rId10"/>
    <sheet name="2019 Data(H)" sheetId="42" state="hidden" r:id="rId11"/>
    <sheet name="Tax Reval Rate" sheetId="72" state="hidden" r:id="rId12"/>
    <sheet name="Unit Names(H)" sheetId="29" state="hidden" r:id="rId13"/>
    <sheet name="Electric trans" sheetId="71" state="hidden" r:id="rId14"/>
  </sheets>
  <externalReferences>
    <externalReference r:id="rId15"/>
  </externalReferences>
  <definedNames>
    <definedName name="Audit_Dtl">[1]Database!$AC$3:$AP$413</definedName>
    <definedName name="errorCount">'TD Info Completed by Auditor'!$U$5</definedName>
    <definedName name="_xlnm.Print_Area" localSheetId="9">'2020 Data(H)'!$B$297:$E$320</definedName>
    <definedName name="_xlnm.Print_Area" localSheetId="0">Instructions!$B$1:$B$50</definedName>
    <definedName name="_xlnm.Print_Area" localSheetId="4">'Performance  Indicators Print'!$A$1:$H$51</definedName>
    <definedName name="_xlnm.Print_Area" localSheetId="5">'PI series #'!$A$1:$I$24</definedName>
    <definedName name="_xlnm.Print_Area" localSheetId="1">'Unit Data from Audit Worksheet'!$A$7:$D$297</definedName>
    <definedName name="Print_Selection_Auditor">'TD Info Completed by Auditor'!$A$1:$N$94</definedName>
    <definedName name="Print_Selection_Internal">#REF!</definedName>
    <definedName name="_xlnm.Print_Titles" localSheetId="4">'Performance  Indicators Print'!$3:$5</definedName>
    <definedName name="_xlnm.Print_Titles" localSheetId="5">'PI series #'!$1:$4</definedName>
    <definedName name="_xlnm.Print_Titles" localSheetId="1">'Unit Data from Audit Worksheet'!$5:$5</definedName>
    <definedName name="showError">'TD Info Completed by Auditor'!$W$5</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5" i="53" l="1"/>
  <c r="E83" i="53"/>
  <c r="E81" i="53"/>
  <c r="F66" i="53"/>
  <c r="F64" i="53"/>
  <c r="F62" i="53"/>
  <c r="E251" i="28" l="1"/>
  <c r="E250" i="28"/>
  <c r="E260" i="28"/>
  <c r="E259" i="28"/>
  <c r="E258" i="28"/>
  <c r="E255" i="28"/>
  <c r="L255" i="28" s="1"/>
  <c r="E253" i="28"/>
  <c r="E252" i="28"/>
  <c r="E249" i="28"/>
  <c r="E248" i="28"/>
  <c r="E247" i="28"/>
  <c r="E246" i="28"/>
  <c r="L260" i="28" l="1"/>
  <c r="C260" i="28"/>
  <c r="C259" i="28"/>
  <c r="A260" i="28"/>
  <c r="A259" i="28"/>
  <c r="H78" i="53"/>
  <c r="T3" i="29" l="1"/>
  <c r="U3" i="29"/>
  <c r="T4" i="29"/>
  <c r="U4" i="29"/>
  <c r="T5" i="29"/>
  <c r="U5" i="29"/>
  <c r="T6" i="29"/>
  <c r="U6" i="29"/>
  <c r="T7" i="29"/>
  <c r="U7" i="29"/>
  <c r="T8" i="29"/>
  <c r="U8" i="29"/>
  <c r="T9" i="29"/>
  <c r="U9" i="29"/>
  <c r="T10" i="29"/>
  <c r="U10" i="29"/>
  <c r="T11" i="29"/>
  <c r="U11" i="29"/>
  <c r="T12" i="29"/>
  <c r="U12" i="29"/>
  <c r="T13" i="29"/>
  <c r="U13" i="29"/>
  <c r="T14" i="29"/>
  <c r="U14" i="29"/>
  <c r="T15" i="29"/>
  <c r="U15" i="29"/>
  <c r="T16" i="29"/>
  <c r="U16" i="29"/>
  <c r="T17" i="29"/>
  <c r="U17" i="29"/>
  <c r="T18" i="29"/>
  <c r="U18" i="29"/>
  <c r="T19" i="29"/>
  <c r="U19" i="29"/>
  <c r="T20" i="29"/>
  <c r="U20" i="29"/>
  <c r="T21" i="29"/>
  <c r="U21" i="29"/>
  <c r="T22" i="29"/>
  <c r="U22" i="29"/>
  <c r="T23" i="29"/>
  <c r="U23" i="29"/>
  <c r="T24" i="29"/>
  <c r="U24" i="29"/>
  <c r="T25" i="29"/>
  <c r="U25" i="29"/>
  <c r="T26" i="29"/>
  <c r="U26" i="29"/>
  <c r="T27" i="29"/>
  <c r="U27" i="29"/>
  <c r="T28" i="29"/>
  <c r="U28" i="29"/>
  <c r="T29" i="29"/>
  <c r="U29" i="29"/>
  <c r="T30" i="29"/>
  <c r="U30" i="29"/>
  <c r="T31" i="29"/>
  <c r="U31" i="29"/>
  <c r="T32" i="29"/>
  <c r="U32" i="29"/>
  <c r="T33" i="29"/>
  <c r="U33" i="29"/>
  <c r="T34" i="29"/>
  <c r="U34" i="29"/>
  <c r="T35" i="29"/>
  <c r="U35" i="29"/>
  <c r="T36" i="29"/>
  <c r="U36" i="29"/>
  <c r="T37" i="29"/>
  <c r="U37" i="29"/>
  <c r="T38" i="29"/>
  <c r="U38" i="29"/>
  <c r="T39" i="29"/>
  <c r="U39" i="29"/>
  <c r="T40" i="29"/>
  <c r="U40" i="29"/>
  <c r="T41" i="29"/>
  <c r="U41" i="29"/>
  <c r="T42" i="29"/>
  <c r="U42" i="29"/>
  <c r="T43" i="29"/>
  <c r="U43" i="29"/>
  <c r="T44" i="29"/>
  <c r="U44" i="29"/>
  <c r="T45" i="29"/>
  <c r="U45" i="29"/>
  <c r="T46" i="29"/>
  <c r="U46" i="29"/>
  <c r="T47" i="29"/>
  <c r="U47" i="29"/>
  <c r="T48" i="29"/>
  <c r="U48" i="29"/>
  <c r="T49" i="29"/>
  <c r="U49" i="29"/>
  <c r="T50" i="29"/>
  <c r="U50" i="29"/>
  <c r="T51" i="29"/>
  <c r="U51" i="29"/>
  <c r="T52" i="29"/>
  <c r="U52" i="29"/>
  <c r="T53" i="29"/>
  <c r="U53" i="29"/>
  <c r="T54" i="29"/>
  <c r="U54" i="29"/>
  <c r="T55" i="29"/>
  <c r="U55" i="29"/>
  <c r="T56" i="29"/>
  <c r="U56" i="29"/>
  <c r="T57" i="29"/>
  <c r="U57" i="29"/>
  <c r="T58" i="29"/>
  <c r="U58" i="29"/>
  <c r="O3" i="29"/>
  <c r="P3" i="29"/>
  <c r="O4" i="29"/>
  <c r="P4" i="29"/>
  <c r="O5" i="29"/>
  <c r="P5" i="29"/>
  <c r="O6" i="29"/>
  <c r="P6" i="29"/>
  <c r="O7" i="29"/>
  <c r="P7" i="29"/>
  <c r="O8" i="29"/>
  <c r="P8" i="29"/>
  <c r="O9" i="29"/>
  <c r="P9" i="29"/>
  <c r="O10" i="29"/>
  <c r="P10" i="29"/>
  <c r="O11" i="29"/>
  <c r="P11" i="29"/>
  <c r="O12" i="29"/>
  <c r="P12" i="29"/>
  <c r="O13" i="29"/>
  <c r="P13" i="29"/>
  <c r="O14" i="29"/>
  <c r="P14" i="29"/>
  <c r="O15" i="29"/>
  <c r="P15" i="29"/>
  <c r="O16" i="29"/>
  <c r="P16" i="29"/>
  <c r="O17" i="29"/>
  <c r="P17" i="29"/>
  <c r="O18" i="29"/>
  <c r="P18" i="29"/>
  <c r="O19" i="29"/>
  <c r="P19" i="29"/>
  <c r="O20" i="29"/>
  <c r="P20" i="29"/>
  <c r="O21" i="29"/>
  <c r="P21" i="29"/>
  <c r="O22" i="29"/>
  <c r="P22" i="29"/>
  <c r="O23" i="29"/>
  <c r="P23" i="29"/>
  <c r="O24" i="29"/>
  <c r="P24" i="29"/>
  <c r="O25" i="29"/>
  <c r="P25" i="29"/>
  <c r="O26" i="29"/>
  <c r="P26" i="29"/>
  <c r="O27" i="29"/>
  <c r="P27" i="29"/>
  <c r="O28" i="29"/>
  <c r="P28" i="29"/>
  <c r="O29" i="29"/>
  <c r="P29" i="29"/>
  <c r="O30" i="29"/>
  <c r="P30" i="29"/>
  <c r="O31" i="29"/>
  <c r="P31" i="29"/>
  <c r="O32" i="29"/>
  <c r="P32" i="29"/>
  <c r="O33" i="29"/>
  <c r="P33" i="29"/>
  <c r="O34" i="29"/>
  <c r="P34" i="29"/>
  <c r="O35" i="29"/>
  <c r="P35" i="29"/>
  <c r="O36" i="29"/>
  <c r="P36" i="29"/>
  <c r="O37" i="29"/>
  <c r="P37" i="29"/>
  <c r="O38" i="29"/>
  <c r="P38" i="29"/>
  <c r="O39" i="29"/>
  <c r="P39" i="29"/>
  <c r="O40" i="29"/>
  <c r="P40" i="29"/>
  <c r="O41" i="29"/>
  <c r="P41" i="29"/>
  <c r="O42" i="29"/>
  <c r="P42" i="29"/>
  <c r="O43" i="29"/>
  <c r="P43" i="29"/>
  <c r="O44" i="29"/>
  <c r="P44" i="29"/>
  <c r="O45" i="29"/>
  <c r="P45" i="29"/>
  <c r="O46" i="29"/>
  <c r="P46" i="29"/>
  <c r="O47" i="29"/>
  <c r="P47" i="29"/>
  <c r="O48" i="29"/>
  <c r="P48" i="29"/>
  <c r="O49" i="29"/>
  <c r="P49" i="29"/>
  <c r="O50" i="29"/>
  <c r="P50" i="29"/>
  <c r="O51" i="29"/>
  <c r="P51" i="29"/>
  <c r="O52" i="29"/>
  <c r="P52" i="29"/>
  <c r="O53" i="29"/>
  <c r="P53" i="29"/>
  <c r="O54" i="29"/>
  <c r="P54" i="29"/>
  <c r="O55" i="29"/>
  <c r="P55" i="29"/>
  <c r="O56" i="29"/>
  <c r="P56" i="29"/>
  <c r="O57" i="29"/>
  <c r="P57" i="29"/>
  <c r="O58" i="29"/>
  <c r="P58" i="29"/>
  <c r="U2" i="29"/>
  <c r="T2" i="29"/>
  <c r="P2" i="29"/>
  <c r="O2" i="29"/>
  <c r="E97" i="1" l="1"/>
  <c r="E96" i="1"/>
  <c r="E95" i="1"/>
  <c r="E94" i="1"/>
  <c r="E92" i="1"/>
  <c r="E91" i="1"/>
  <c r="E90" i="1"/>
  <c r="E100" i="1"/>
  <c r="E96" i="53" l="1"/>
  <c r="A327" i="1"/>
  <c r="M51" i="80" l="1"/>
  <c r="K10" i="80" l="1"/>
  <c r="E10" i="80"/>
  <c r="B4" i="80"/>
  <c r="M14" i="80" l="1"/>
  <c r="M24" i="80"/>
  <c r="M23" i="80"/>
  <c r="M16" i="80"/>
  <c r="M21" i="80"/>
  <c r="M17" i="80"/>
  <c r="N18" i="80"/>
  <c r="H53" i="53" l="1"/>
  <c r="G160" i="1" l="1"/>
  <c r="G140" i="1"/>
  <c r="F323" i="1"/>
  <c r="E323" i="1"/>
  <c r="F322" i="1"/>
  <c r="E322" i="1"/>
  <c r="F321" i="1"/>
  <c r="E321" i="1"/>
  <c r="F320" i="1"/>
  <c r="E320" i="1"/>
  <c r="F319" i="1"/>
  <c r="E319" i="1"/>
  <c r="G172" i="1"/>
  <c r="H160" i="1"/>
  <c r="I140" i="1"/>
  <c r="H140" i="1"/>
  <c r="E127" i="1"/>
  <c r="E126" i="1"/>
  <c r="E125" i="1"/>
  <c r="E124" i="1"/>
  <c r="E123" i="1"/>
  <c r="E120" i="1"/>
  <c r="E119" i="1"/>
  <c r="E118" i="1"/>
  <c r="E117" i="1"/>
  <c r="E116" i="1"/>
  <c r="E115" i="1"/>
  <c r="E114" i="1"/>
  <c r="E113" i="1"/>
  <c r="E112" i="1"/>
  <c r="E111" i="1"/>
  <c r="E110" i="1"/>
  <c r="E109" i="1"/>
  <c r="E108" i="1"/>
  <c r="E107" i="1"/>
  <c r="E106" i="1"/>
  <c r="E105" i="1"/>
  <c r="E104" i="1"/>
  <c r="E103" i="1"/>
  <c r="E56" i="1"/>
  <c r="E55" i="1"/>
  <c r="E54" i="1"/>
  <c r="E53" i="1"/>
  <c r="E52" i="1"/>
  <c r="E51" i="1"/>
  <c r="E50" i="1"/>
  <c r="E49" i="1"/>
  <c r="E57" i="1"/>
  <c r="E48" i="1"/>
  <c r="E47" i="1"/>
  <c r="E46" i="1"/>
  <c r="G9" i="1"/>
  <c r="E96" i="28" l="1"/>
  <c r="L96" i="28" s="1"/>
  <c r="E97" i="28"/>
  <c r="L97" i="28" s="1"/>
  <c r="E98" i="28"/>
  <c r="L98" i="28" s="1"/>
  <c r="A97" i="28"/>
  <c r="B97" i="28"/>
  <c r="C97" i="28"/>
  <c r="E47" i="28"/>
  <c r="L47" i="28" s="1"/>
  <c r="A47" i="28"/>
  <c r="B47" i="28"/>
  <c r="C47" i="28"/>
  <c r="J299" i="28" l="1"/>
  <c r="J298" i="28"/>
  <c r="J301" i="28"/>
  <c r="J300" i="28" l="1"/>
  <c r="J302" i="28" s="1"/>
  <c r="A96" i="28"/>
  <c r="B96" i="28"/>
  <c r="C96" i="28"/>
  <c r="A98" i="28"/>
  <c r="B98" i="28"/>
  <c r="C98" i="28"/>
  <c r="E93" i="28"/>
  <c r="L93" i="28" s="1"/>
  <c r="E92" i="28"/>
  <c r="L92" i="28" s="1"/>
  <c r="A93" i="28"/>
  <c r="W93" i="28" s="1"/>
  <c r="B93" i="28"/>
  <c r="C93" i="28"/>
  <c r="C92" i="28"/>
  <c r="B92" i="28"/>
  <c r="A92" i="28"/>
  <c r="W92" i="28" s="1"/>
  <c r="E38" i="28"/>
  <c r="L38" i="28" s="1"/>
  <c r="E39" i="28"/>
  <c r="L39" i="28" s="1"/>
  <c r="E40" i="28"/>
  <c r="L40" i="28" s="1"/>
  <c r="E41" i="28"/>
  <c r="L41" i="28" s="1"/>
  <c r="E42" i="28"/>
  <c r="L42" i="28" s="1"/>
  <c r="E43" i="28"/>
  <c r="L43" i="28" s="1"/>
  <c r="E44" i="28"/>
  <c r="L44" i="28" s="1"/>
  <c r="E45" i="28"/>
  <c r="L45" i="28" s="1"/>
  <c r="E46" i="28"/>
  <c r="L46" i="28" s="1"/>
  <c r="E48" i="28"/>
  <c r="L48" i="28" s="1"/>
  <c r="E49" i="28"/>
  <c r="L49" i="28" s="1"/>
  <c r="E50" i="28"/>
  <c r="L50" i="28" s="1"/>
  <c r="E51" i="28"/>
  <c r="L51" i="28" s="1"/>
  <c r="A49" i="28"/>
  <c r="B49" i="28"/>
  <c r="C49" i="28"/>
  <c r="A50" i="28"/>
  <c r="B50" i="28"/>
  <c r="C50" i="28"/>
  <c r="A51" i="28"/>
  <c r="B51" i="28"/>
  <c r="C51" i="28"/>
  <c r="A38" i="28"/>
  <c r="B38" i="28"/>
  <c r="C38" i="28"/>
  <c r="A39" i="28"/>
  <c r="B39" i="28"/>
  <c r="C39" i="28"/>
  <c r="A40" i="28"/>
  <c r="B40" i="28"/>
  <c r="C40" i="28"/>
  <c r="A41" i="28"/>
  <c r="B41" i="28"/>
  <c r="C41" i="28"/>
  <c r="A42" i="28"/>
  <c r="B42" i="28"/>
  <c r="C42" i="28"/>
  <c r="A43" i="28"/>
  <c r="B43" i="28"/>
  <c r="C43" i="28"/>
  <c r="A44" i="28"/>
  <c r="B44" i="28"/>
  <c r="C44" i="28"/>
  <c r="A45" i="28"/>
  <c r="B45" i="28"/>
  <c r="C45" i="28"/>
  <c r="A46" i="28"/>
  <c r="B46" i="28"/>
  <c r="C46" i="28"/>
  <c r="A48" i="28"/>
  <c r="B48" i="28"/>
  <c r="C48" i="28"/>
  <c r="E113" i="28" l="1"/>
  <c r="L113" i="28" s="1"/>
  <c r="E114" i="28"/>
  <c r="L114" i="28" s="1"/>
  <c r="E104" i="28"/>
  <c r="L104" i="28" s="1"/>
  <c r="E105" i="28"/>
  <c r="L105" i="28" s="1"/>
  <c r="E106" i="28"/>
  <c r="L106" i="28" s="1"/>
  <c r="E107" i="28"/>
  <c r="L107" i="28" s="1"/>
  <c r="E108" i="28"/>
  <c r="L108" i="28" s="1"/>
  <c r="E109" i="28"/>
  <c r="L109" i="28" s="1"/>
  <c r="E110" i="28"/>
  <c r="E99" i="28"/>
  <c r="L99" i="28" s="1"/>
  <c r="E100" i="28"/>
  <c r="L100" i="28" s="1"/>
  <c r="E101" i="28"/>
  <c r="L101" i="28" s="1"/>
  <c r="E102" i="28"/>
  <c r="L102" i="28" s="1"/>
  <c r="A113" i="28"/>
  <c r="B113" i="28"/>
  <c r="C113" i="28"/>
  <c r="A114" i="28"/>
  <c r="B114" i="28"/>
  <c r="C114" i="28"/>
  <c r="A109" i="28"/>
  <c r="B109" i="28"/>
  <c r="C109" i="28"/>
  <c r="A104" i="28"/>
  <c r="B104" i="28"/>
  <c r="C104" i="28"/>
  <c r="A105" i="28"/>
  <c r="B105" i="28"/>
  <c r="C105" i="28"/>
  <c r="A106" i="28"/>
  <c r="B106" i="28"/>
  <c r="C106" i="28"/>
  <c r="A107" i="28"/>
  <c r="B107" i="28"/>
  <c r="C107" i="28"/>
  <c r="A108" i="28"/>
  <c r="B108" i="28"/>
  <c r="C108" i="28"/>
  <c r="A99" i="28"/>
  <c r="B99" i="28"/>
  <c r="C99" i="28"/>
  <c r="A100" i="28"/>
  <c r="B100" i="28"/>
  <c r="C100" i="28"/>
  <c r="A101" i="28"/>
  <c r="B101" i="28"/>
  <c r="C101" i="28"/>
  <c r="A102" i="28"/>
  <c r="B102" i="28"/>
  <c r="C102" i="28"/>
  <c r="E85" i="28" l="1"/>
  <c r="L85" i="28" s="1"/>
  <c r="E86" i="28"/>
  <c r="L86" i="28" s="1"/>
  <c r="E87" i="28"/>
  <c r="L87" i="28" s="1"/>
  <c r="E88" i="28"/>
  <c r="L88" i="28" s="1"/>
  <c r="A85" i="28"/>
  <c r="W85" i="28" s="1"/>
  <c r="B85" i="28"/>
  <c r="C85" i="28"/>
  <c r="A86" i="28"/>
  <c r="W86" i="28" s="1"/>
  <c r="B86" i="28"/>
  <c r="C86" i="28"/>
  <c r="A87" i="28"/>
  <c r="W87" i="28" s="1"/>
  <c r="B87" i="28"/>
  <c r="C87" i="28"/>
  <c r="A88" i="28"/>
  <c r="W88" i="28" s="1"/>
  <c r="B88" i="28"/>
  <c r="C88" i="28"/>
  <c r="E296" i="1"/>
  <c r="E295" i="1"/>
  <c r="E294" i="1"/>
  <c r="E293" i="1"/>
  <c r="E292" i="1"/>
  <c r="E291" i="1"/>
  <c r="E290" i="1"/>
  <c r="E289" i="1"/>
  <c r="E286" i="1"/>
  <c r="E284" i="1"/>
  <c r="E282" i="1"/>
  <c r="E279" i="1"/>
  <c r="E278" i="1"/>
  <c r="E277" i="1"/>
  <c r="E274" i="1"/>
  <c r="E273" i="1"/>
  <c r="E272" i="1"/>
  <c r="E271" i="1"/>
  <c r="E270" i="1"/>
  <c r="E268" i="1"/>
  <c r="E267" i="1"/>
  <c r="E266" i="1"/>
  <c r="E265" i="1"/>
  <c r="E262" i="1"/>
  <c r="E260" i="1"/>
  <c r="E259" i="1"/>
  <c r="E258" i="1"/>
  <c r="E257" i="1"/>
  <c r="E255" i="1"/>
  <c r="E254" i="1"/>
  <c r="E253" i="1"/>
  <c r="E248" i="1"/>
  <c r="E247" i="1"/>
  <c r="E246" i="1"/>
  <c r="E245" i="1"/>
  <c r="E242" i="1"/>
  <c r="E241" i="1"/>
  <c r="E240" i="1"/>
  <c r="E239" i="1"/>
  <c r="E236" i="1"/>
  <c r="E235" i="1"/>
  <c r="E234" i="1"/>
  <c r="E233" i="1"/>
  <c r="E229" i="1"/>
  <c r="E228" i="1"/>
  <c r="E221" i="1"/>
  <c r="E220" i="1"/>
  <c r="E216" i="1"/>
  <c r="E214" i="1"/>
  <c r="E212" i="1"/>
  <c r="E210" i="1"/>
  <c r="E209" i="1"/>
  <c r="E208" i="1"/>
  <c r="E206" i="1"/>
  <c r="E205" i="1"/>
  <c r="E204" i="1"/>
  <c r="E199" i="1"/>
  <c r="E198" i="1"/>
  <c r="E197" i="1"/>
  <c r="E196" i="1"/>
  <c r="E195" i="1"/>
  <c r="E194" i="1"/>
  <c r="E193" i="1"/>
  <c r="E192" i="1"/>
  <c r="E191" i="1"/>
  <c r="E190" i="1"/>
  <c r="E189" i="1"/>
  <c r="E188" i="1"/>
  <c r="E187" i="1"/>
  <c r="E185" i="1"/>
  <c r="E184" i="1"/>
  <c r="E183" i="1"/>
  <c r="E182" i="1"/>
  <c r="E181" i="1"/>
  <c r="E179" i="1"/>
  <c r="E178" i="1"/>
  <c r="E177" i="1"/>
  <c r="E176" i="1"/>
  <c r="E175" i="1"/>
  <c r="E174" i="1"/>
  <c r="E173" i="1"/>
  <c r="E172" i="1"/>
  <c r="E171" i="1"/>
  <c r="E168" i="1"/>
  <c r="E167" i="1"/>
  <c r="E166" i="1"/>
  <c r="E165" i="1"/>
  <c r="E164" i="1"/>
  <c r="E163" i="1"/>
  <c r="E162" i="1"/>
  <c r="E161" i="1"/>
  <c r="E160" i="1"/>
  <c r="E159" i="1"/>
  <c r="E158" i="1"/>
  <c r="E157" i="1"/>
  <c r="E156" i="1"/>
  <c r="E155" i="1"/>
  <c r="E154" i="1"/>
  <c r="E153" i="1"/>
  <c r="E152" i="1"/>
  <c r="E151" i="1"/>
  <c r="E149" i="1"/>
  <c r="E148" i="1"/>
  <c r="E147" i="1"/>
  <c r="E146" i="1"/>
  <c r="E145" i="1"/>
  <c r="E144" i="1"/>
  <c r="E143" i="1"/>
  <c r="E142" i="1"/>
  <c r="E141" i="1"/>
  <c r="E140" i="1"/>
  <c r="E139" i="1"/>
  <c r="E138" i="1"/>
  <c r="E137" i="1"/>
  <c r="E136" i="1"/>
  <c r="E135" i="1"/>
  <c r="E134" i="1"/>
  <c r="E133" i="1"/>
  <c r="E132" i="1"/>
  <c r="E131" i="1"/>
  <c r="E101" i="1"/>
  <c r="E98" i="1"/>
  <c r="E93" i="1"/>
  <c r="E89" i="1"/>
  <c r="E87" i="1"/>
  <c r="E86" i="1"/>
  <c r="E85" i="1"/>
  <c r="E84" i="1"/>
  <c r="E83" i="1"/>
  <c r="E82" i="1"/>
  <c r="E81" i="1"/>
  <c r="E80" i="1"/>
  <c r="E79" i="1"/>
  <c r="E78" i="1"/>
  <c r="E77" i="1"/>
  <c r="E73" i="1"/>
  <c r="E72" i="1"/>
  <c r="G89" i="1" s="1"/>
  <c r="E71" i="1"/>
  <c r="E70" i="1"/>
  <c r="E69" i="1"/>
  <c r="E68" i="1"/>
  <c r="E67" i="1"/>
  <c r="E66" i="1"/>
  <c r="E65" i="1"/>
  <c r="E64" i="1"/>
  <c r="E63" i="1"/>
  <c r="E62" i="1"/>
  <c r="E61" i="1"/>
  <c r="E60" i="1"/>
  <c r="E59" i="1"/>
  <c r="E42" i="1"/>
  <c r="E41" i="1"/>
  <c r="E39" i="1"/>
  <c r="E38" i="1"/>
  <c r="E37" i="1"/>
  <c r="E36" i="1"/>
  <c r="E35" i="1"/>
  <c r="E34" i="1"/>
  <c r="E33" i="1"/>
  <c r="E32" i="1"/>
  <c r="E31" i="1"/>
  <c r="E30" i="1"/>
  <c r="E29" i="1"/>
  <c r="E28" i="1"/>
  <c r="E26" i="1"/>
  <c r="E25" i="1"/>
  <c r="E23" i="1"/>
  <c r="E22" i="1"/>
  <c r="E21" i="1"/>
  <c r="E20" i="1"/>
  <c r="E19" i="1"/>
  <c r="E18" i="1"/>
  <c r="E17" i="1"/>
  <c r="E16" i="1"/>
  <c r="E15" i="1"/>
  <c r="E14" i="1"/>
  <c r="E13" i="1"/>
  <c r="E11" i="1"/>
  <c r="E10" i="1"/>
  <c r="E8" i="1"/>
  <c r="E7" i="1"/>
  <c r="E9" i="1" l="1"/>
  <c r="E12" i="1"/>
  <c r="H38" i="1"/>
  <c r="G38" i="1" s="1"/>
  <c r="A95" i="28"/>
  <c r="B95" i="28"/>
  <c r="C95" i="28"/>
  <c r="E95" i="28"/>
  <c r="L95" i="28" s="1"/>
  <c r="A103" i="28"/>
  <c r="B103" i="28"/>
  <c r="C103" i="28"/>
  <c r="E103" i="28"/>
  <c r="L103" i="28" s="1"/>
  <c r="A110" i="28"/>
  <c r="B110" i="28"/>
  <c r="C110" i="28"/>
  <c r="L110" i="28"/>
  <c r="A111" i="28"/>
  <c r="B111" i="28"/>
  <c r="C111" i="28"/>
  <c r="E111" i="28"/>
  <c r="L111" i="28" s="1"/>
  <c r="A112" i="28"/>
  <c r="B112" i="28"/>
  <c r="C112" i="28"/>
  <c r="E112" i="28"/>
  <c r="L112" i="28" s="1"/>
  <c r="E94" i="28"/>
  <c r="L94" i="28" s="1"/>
  <c r="C94" i="28"/>
  <c r="B94" i="28"/>
  <c r="A94" i="28"/>
  <c r="N26" i="80" l="1"/>
  <c r="D26" i="80" s="1"/>
  <c r="M23" i="73"/>
  <c r="D23" i="73" s="1"/>
  <c r="C281" i="28"/>
  <c r="F26" i="80" l="1"/>
  <c r="G87" i="53"/>
  <c r="L266" i="28" l="1"/>
  <c r="L267" i="28"/>
  <c r="N20" i="80" s="1"/>
  <c r="L268" i="28"/>
  <c r="N13" i="80" s="1"/>
  <c r="E244" i="28"/>
  <c r="L252" i="28"/>
  <c r="C252" i="28"/>
  <c r="A252" i="28"/>
  <c r="W252" i="28" s="1"/>
  <c r="G273" i="1" l="1"/>
  <c r="E290" i="28"/>
  <c r="E278" i="28" l="1"/>
  <c r="E281" i="28" l="1"/>
  <c r="E287" i="28"/>
  <c r="C290" i="28" l="1"/>
  <c r="L290" i="28"/>
  <c r="A290" i="28"/>
  <c r="E90" i="28"/>
  <c r="L90" i="28" s="1"/>
  <c r="C90" i="28"/>
  <c r="B90" i="28"/>
  <c r="A90" i="28"/>
  <c r="W90" i="28" s="1"/>
  <c r="E81" i="28"/>
  <c r="L81" i="28" s="1"/>
  <c r="E82" i="28"/>
  <c r="L82" i="28" s="1"/>
  <c r="E83" i="28"/>
  <c r="L83" i="28" s="1"/>
  <c r="E84" i="28"/>
  <c r="L84" i="28" s="1"/>
  <c r="B81" i="28"/>
  <c r="C81" i="28"/>
  <c r="B82" i="28"/>
  <c r="C82" i="28"/>
  <c r="B83" i="28"/>
  <c r="C83" i="28"/>
  <c r="B84" i="28"/>
  <c r="C84" i="28"/>
  <c r="A81" i="28"/>
  <c r="W81" i="28" s="1"/>
  <c r="A82" i="28"/>
  <c r="W82" i="28" s="1"/>
  <c r="A83" i="28"/>
  <c r="W83" i="28" s="1"/>
  <c r="A84" i="28"/>
  <c r="W84" i="28" s="1"/>
  <c r="G199" i="1" l="1"/>
  <c r="G183" i="1"/>
  <c r="G132" i="1"/>
  <c r="H74" i="53" l="1"/>
  <c r="H72" i="53"/>
  <c r="H70" i="53"/>
  <c r="H68" i="53"/>
  <c r="H66" i="53"/>
  <c r="H64" i="53"/>
  <c r="H62" i="53"/>
  <c r="H60" i="53"/>
  <c r="H55" i="53"/>
  <c r="H51" i="53"/>
  <c r="H49" i="53"/>
  <c r="H47" i="53"/>
  <c r="H45" i="53"/>
  <c r="H43" i="53"/>
  <c r="H41" i="53"/>
  <c r="H57" i="53"/>
  <c r="H76" i="53"/>
  <c r="G180" i="1" l="1"/>
  <c r="D17" i="73"/>
  <c r="C17" i="73"/>
  <c r="B17" i="73"/>
  <c r="B11" i="73"/>
  <c r="C11" i="73"/>
  <c r="D11" i="73"/>
  <c r="E243" i="28" l="1"/>
  <c r="L243" i="28" s="1"/>
  <c r="B20" i="71" s="1"/>
  <c r="C243" i="28"/>
  <c r="A243" i="28"/>
  <c r="B2" i="71"/>
  <c r="B8" i="71" l="1"/>
  <c r="B12" i="71"/>
  <c r="W243" i="28"/>
  <c r="L253" i="28"/>
  <c r="C253" i="28"/>
  <c r="A253" i="28"/>
  <c r="E257" i="28"/>
  <c r="D43" i="80" l="1"/>
  <c r="F43" i="80" s="1"/>
  <c r="W253" i="28"/>
  <c r="G222" i="1"/>
  <c r="E256" i="28"/>
  <c r="C258" i="28"/>
  <c r="C257" i="28"/>
  <c r="C256" i="28"/>
  <c r="C255" i="28"/>
  <c r="C254" i="28"/>
  <c r="C251" i="28"/>
  <c r="C250" i="28"/>
  <c r="C249" i="28"/>
  <c r="C248" i="28"/>
  <c r="L244" i="28" l="1"/>
  <c r="H244" i="28"/>
  <c r="A244" i="28"/>
  <c r="C244" i="28"/>
  <c r="H229" i="28"/>
  <c r="A229" i="28"/>
  <c r="B229" i="28"/>
  <c r="C229" i="28"/>
  <c r="E229" i="28"/>
  <c r="L229" i="28" s="1"/>
  <c r="F19" i="71" s="1"/>
  <c r="H191" i="28"/>
  <c r="H192" i="28"/>
  <c r="H193" i="28"/>
  <c r="E191" i="28"/>
  <c r="L191" i="28" s="1"/>
  <c r="E192" i="28"/>
  <c r="L192" i="28" s="1"/>
  <c r="E193" i="28"/>
  <c r="L193" i="28" s="1"/>
  <c r="B191" i="28"/>
  <c r="C191" i="28"/>
  <c r="B192" i="28"/>
  <c r="C192" i="28"/>
  <c r="B193" i="28"/>
  <c r="C193" i="28"/>
  <c r="A191" i="28"/>
  <c r="A192" i="28"/>
  <c r="A193" i="28"/>
  <c r="H160" i="28"/>
  <c r="E161" i="28"/>
  <c r="L161" i="28" s="1"/>
  <c r="A161" i="28"/>
  <c r="B161" i="28"/>
  <c r="C161" i="28"/>
  <c r="E68" i="28"/>
  <c r="L68" i="28" s="1"/>
  <c r="E67" i="28"/>
  <c r="L67" i="28" s="1"/>
  <c r="C68" i="28"/>
  <c r="C67" i="28"/>
  <c r="B68" i="28"/>
  <c r="B67" i="28"/>
  <c r="A68" i="28"/>
  <c r="A67" i="28"/>
  <c r="L247" i="28"/>
  <c r="L47" i="80" s="1"/>
  <c r="L246" i="28"/>
  <c r="E254" i="28"/>
  <c r="C247" i="28"/>
  <c r="C246" i="28"/>
  <c r="A258" i="28"/>
  <c r="A257" i="28"/>
  <c r="A256" i="28"/>
  <c r="A255" i="28"/>
  <c r="A254" i="28"/>
  <c r="A251" i="28"/>
  <c r="A250" i="28"/>
  <c r="A249" i="28"/>
  <c r="A248" i="28"/>
  <c r="A247" i="28"/>
  <c r="A246" i="28"/>
  <c r="D33" i="80" l="1"/>
  <c r="F33" i="80" s="1"/>
  <c r="D45" i="80"/>
  <c r="F45" i="80" s="1"/>
  <c r="D31" i="80"/>
  <c r="F31" i="80" s="1"/>
  <c r="W246" i="28"/>
  <c r="W260" i="28"/>
  <c r="W192" i="28"/>
  <c r="W247" i="28"/>
  <c r="W255" i="28"/>
  <c r="W191" i="28"/>
  <c r="W248" i="28"/>
  <c r="W249" i="28"/>
  <c r="W257" i="28"/>
  <c r="W254" i="28"/>
  <c r="W250" i="28"/>
  <c r="W258" i="28"/>
  <c r="W161" i="28"/>
  <c r="W244" i="28"/>
  <c r="W259" i="28"/>
  <c r="W193" i="28"/>
  <c r="W256" i="28"/>
  <c r="W251" i="28"/>
  <c r="L254" i="28"/>
  <c r="D51" i="80" s="1"/>
  <c r="F51" i="80" s="1"/>
  <c r="L259" i="28"/>
  <c r="L258" i="28"/>
  <c r="D29" i="80" s="1"/>
  <c r="F29" i="80" s="1"/>
  <c r="L248" i="28"/>
  <c r="M47" i="80" s="1"/>
  <c r="L249" i="28"/>
  <c r="N47" i="80" s="1"/>
  <c r="L250" i="28"/>
  <c r="L256" i="28"/>
  <c r="L251" i="28"/>
  <c r="L257" i="28"/>
  <c r="D41" i="80" l="1"/>
  <c r="F41" i="80" s="1"/>
  <c r="D35" i="80"/>
  <c r="F35" i="80" s="1"/>
  <c r="D47" i="80"/>
  <c r="B2" i="73" l="1"/>
  <c r="C9" i="73" s="1"/>
  <c r="C8" i="73" l="1"/>
  <c r="C6" i="73"/>
  <c r="L14" i="73"/>
  <c r="L13" i="73"/>
  <c r="L20" i="73"/>
  <c r="L19" i="73"/>
  <c r="L18" i="73"/>
  <c r="L12" i="73"/>
  <c r="H28" i="53"/>
  <c r="E27" i="53"/>
  <c r="G11" i="53"/>
  <c r="G88" i="53" s="1"/>
  <c r="G89" i="53" l="1"/>
  <c r="E286" i="28" l="1"/>
  <c r="L286" i="28" s="1"/>
  <c r="Q286" i="28" s="1"/>
  <c r="L287" i="28"/>
  <c r="Q287" i="28" s="1"/>
  <c r="E288" i="28"/>
  <c r="L288" i="28" s="1"/>
  <c r="Q288" i="28" s="1"/>
  <c r="E289" i="28"/>
  <c r="L289" i="28" s="1"/>
  <c r="Q289" i="28" s="1"/>
  <c r="E285" i="28"/>
  <c r="L285" i="28" s="1"/>
  <c r="Q285" i="28" s="1"/>
  <c r="A286" i="28"/>
  <c r="A287" i="28"/>
  <c r="A288" i="28"/>
  <c r="A289" i="28"/>
  <c r="A285" i="28"/>
  <c r="G310" i="1"/>
  <c r="F283" i="28" s="1"/>
  <c r="G311" i="1"/>
  <c r="F284" i="28" s="1"/>
  <c r="F281" i="28"/>
  <c r="G309" i="1"/>
  <c r="F282" i="28" s="1"/>
  <c r="G305" i="1"/>
  <c r="F278" i="28" s="1"/>
  <c r="G306" i="1"/>
  <c r="F279" i="28" s="1"/>
  <c r="G307" i="1"/>
  <c r="F280" i="28" s="1"/>
  <c r="G304" i="1"/>
  <c r="F277" i="28" s="1"/>
  <c r="C286" i="28" l="1"/>
  <c r="C287" i="28"/>
  <c r="C288" i="28"/>
  <c r="C289" i="28"/>
  <c r="C285" i="28"/>
  <c r="G263" i="1" l="1"/>
  <c r="G157" i="1"/>
  <c r="G19" i="1"/>
  <c r="F289" i="28"/>
  <c r="F288" i="28"/>
  <c r="F287" i="28"/>
  <c r="F286" i="28"/>
  <c r="F285" i="28"/>
  <c r="G147" i="1" l="1"/>
  <c r="G166" i="1" l="1"/>
  <c r="G165" i="1"/>
  <c r="G164" i="1"/>
  <c r="G163" i="1"/>
  <c r="G162" i="1"/>
  <c r="G161" i="1"/>
  <c r="G155" i="1"/>
  <c r="G146" i="1"/>
  <c r="G145" i="1"/>
  <c r="G144" i="1"/>
  <c r="G143" i="1"/>
  <c r="G142" i="1"/>
  <c r="G141" i="1"/>
  <c r="Y276" i="28" l="1"/>
  <c r="D3" i="1" l="1"/>
  <c r="B5" i="80" l="1"/>
  <c r="L4" i="28"/>
  <c r="L291" i="28"/>
  <c r="L16" i="80"/>
  <c r="M13" i="80"/>
  <c r="M20" i="80"/>
  <c r="L24" i="80"/>
  <c r="L20" i="80"/>
  <c r="L14" i="80"/>
  <c r="D39" i="80"/>
  <c r="L23" i="80"/>
  <c r="L13" i="80"/>
  <c r="L17" i="80"/>
  <c r="L21" i="80"/>
  <c r="B3" i="71"/>
  <c r="B13" i="71"/>
  <c r="B3" i="73"/>
  <c r="Y266" i="28"/>
  <c r="B9" i="73" l="1"/>
  <c r="H39" i="80"/>
  <c r="F39" i="80"/>
  <c r="B24" i="80"/>
  <c r="B23" i="80"/>
  <c r="C23" i="80"/>
  <c r="C24" i="80"/>
  <c r="C16" i="80"/>
  <c r="C17" i="80"/>
  <c r="B16" i="80"/>
  <c r="B17" i="80"/>
  <c r="L11" i="73"/>
  <c r="L17" i="73"/>
  <c r="B8" i="73"/>
  <c r="B6" i="73"/>
  <c r="K18" i="73"/>
  <c r="K17" i="73"/>
  <c r="K14" i="73"/>
  <c r="K20" i="73"/>
  <c r="K12" i="73"/>
  <c r="K11" i="73"/>
  <c r="K19" i="73"/>
  <c r="K13" i="73"/>
  <c r="M17" i="73"/>
  <c r="M11" i="73"/>
  <c r="Y268" i="28"/>
  <c r="Y267" i="28"/>
  <c r="B18" i="73" l="1"/>
  <c r="B20" i="73"/>
  <c r="B19" i="73"/>
  <c r="B12" i="73"/>
  <c r="B14" i="73"/>
  <c r="B13" i="73"/>
  <c r="C20" i="73"/>
  <c r="C19" i="73"/>
  <c r="C18" i="73"/>
  <c r="C12" i="73"/>
  <c r="C14" i="73"/>
  <c r="C13" i="73"/>
  <c r="N236" i="28" l="1"/>
  <c r="X276" i="28"/>
  <c r="W124" i="28"/>
  <c r="W125" i="28"/>
  <c r="W126" i="28"/>
  <c r="W127" i="28"/>
  <c r="W128" i="28"/>
  <c r="W129" i="28"/>
  <c r="W221" i="28"/>
  <c r="W266" i="28"/>
  <c r="W267" i="28"/>
  <c r="W268" i="28"/>
  <c r="W276" i="28"/>
  <c r="W291" i="28"/>
  <c r="W4" i="28"/>
  <c r="E232" i="28"/>
  <c r="L232" i="28" s="1"/>
  <c r="H4" i="30" l="1"/>
  <c r="F4" i="30"/>
  <c r="B4" i="30"/>
  <c r="F295" i="28"/>
  <c r="E295" i="28"/>
  <c r="C295" i="28"/>
  <c r="B295" i="28"/>
  <c r="A295" i="28"/>
  <c r="E284" i="28"/>
  <c r="C284" i="28"/>
  <c r="A284" i="28"/>
  <c r="E283" i="28"/>
  <c r="C283" i="28"/>
  <c r="A283" i="28"/>
  <c r="E282" i="28"/>
  <c r="C282" i="28"/>
  <c r="A282" i="28"/>
  <c r="A281" i="28"/>
  <c r="E280" i="28"/>
  <c r="C280" i="28"/>
  <c r="A280" i="28"/>
  <c r="E279" i="28"/>
  <c r="C279" i="28"/>
  <c r="A279" i="28"/>
  <c r="C278" i="28"/>
  <c r="A278" i="28"/>
  <c r="E277" i="28"/>
  <c r="L277" i="28" s="1"/>
  <c r="Q277" i="28" s="1"/>
  <c r="C277" i="28"/>
  <c r="A277" i="28"/>
  <c r="H245" i="28"/>
  <c r="E245" i="28"/>
  <c r="L245" i="28" s="1"/>
  <c r="C245" i="28"/>
  <c r="A245" i="28"/>
  <c r="E242" i="28"/>
  <c r="L242" i="28" s="1"/>
  <c r="C242" i="28"/>
  <c r="A242" i="28"/>
  <c r="H241" i="28"/>
  <c r="E241" i="28"/>
  <c r="L241" i="28" s="1"/>
  <c r="C241" i="28"/>
  <c r="B241" i="28"/>
  <c r="A241" i="28"/>
  <c r="H240" i="28"/>
  <c r="E240" i="28"/>
  <c r="L240" i="28" s="1"/>
  <c r="C240" i="28"/>
  <c r="B240" i="28"/>
  <c r="A240" i="28"/>
  <c r="E239" i="28"/>
  <c r="L239" i="28" s="1"/>
  <c r="C239" i="28"/>
  <c r="B239" i="28"/>
  <c r="A239" i="28"/>
  <c r="E238" i="28"/>
  <c r="L238" i="28" s="1"/>
  <c r="C238" i="28"/>
  <c r="B238" i="28"/>
  <c r="A238" i="28"/>
  <c r="E237" i="28"/>
  <c r="L237" i="28" s="1"/>
  <c r="C237" i="28"/>
  <c r="B237" i="28"/>
  <c r="A237" i="28"/>
  <c r="E236" i="28"/>
  <c r="L236" i="28" s="1"/>
  <c r="C236" i="28"/>
  <c r="B236" i="28"/>
  <c r="A236" i="28"/>
  <c r="E235" i="28"/>
  <c r="L235" i="28" s="1"/>
  <c r="C235" i="28"/>
  <c r="B235" i="28"/>
  <c r="A235" i="28"/>
  <c r="E234" i="28"/>
  <c r="L234" i="28" s="1"/>
  <c r="C234" i="28"/>
  <c r="B234" i="28"/>
  <c r="A234" i="28"/>
  <c r="E233" i="28"/>
  <c r="L233" i="28" s="1"/>
  <c r="C233" i="28"/>
  <c r="B233" i="28"/>
  <c r="A233" i="28"/>
  <c r="H232" i="28"/>
  <c r="C232" i="28"/>
  <c r="B232" i="28"/>
  <c r="A232" i="28"/>
  <c r="H231" i="28"/>
  <c r="E231" i="28"/>
  <c r="C231" i="28"/>
  <c r="B231" i="28"/>
  <c r="A231" i="28"/>
  <c r="H230" i="28"/>
  <c r="E230" i="28"/>
  <c r="L230" i="28" s="1"/>
  <c r="C230" i="28"/>
  <c r="B230" i="28"/>
  <c r="A230" i="28"/>
  <c r="H228" i="28"/>
  <c r="E228" i="28"/>
  <c r="L228" i="28" s="1"/>
  <c r="C228" i="28"/>
  <c r="B228" i="28"/>
  <c r="A228" i="28"/>
  <c r="H227" i="28"/>
  <c r="E227" i="28"/>
  <c r="L227" i="28" s="1"/>
  <c r="C227" i="28"/>
  <c r="B227" i="28"/>
  <c r="A227" i="28"/>
  <c r="H226" i="28"/>
  <c r="E226" i="28"/>
  <c r="L226" i="28" s="1"/>
  <c r="C226" i="28"/>
  <c r="B226" i="28"/>
  <c r="A226" i="28"/>
  <c r="E225" i="28"/>
  <c r="L225" i="28" s="1"/>
  <c r="C225" i="28"/>
  <c r="B225" i="28"/>
  <c r="A225" i="28"/>
  <c r="H224" i="28"/>
  <c r="E224" i="28"/>
  <c r="L224" i="28" s="1"/>
  <c r="C224" i="28"/>
  <c r="B224" i="28"/>
  <c r="A224" i="28"/>
  <c r="H223" i="28"/>
  <c r="E223" i="28"/>
  <c r="L223" i="28" s="1"/>
  <c r="C223" i="28"/>
  <c r="B223" i="28"/>
  <c r="A223" i="28"/>
  <c r="H222" i="28"/>
  <c r="E222" i="28"/>
  <c r="L222" i="28" s="1"/>
  <c r="C222" i="28"/>
  <c r="B222" i="28"/>
  <c r="A222" i="28"/>
  <c r="E221" i="28"/>
  <c r="L221" i="28" s="1"/>
  <c r="C221" i="28"/>
  <c r="E220" i="28"/>
  <c r="L220" i="28" s="1"/>
  <c r="C220" i="28"/>
  <c r="B220" i="28"/>
  <c r="A220" i="28"/>
  <c r="H219" i="28"/>
  <c r="E219" i="28"/>
  <c r="L219" i="28" s="1"/>
  <c r="C219" i="28"/>
  <c r="B219" i="28"/>
  <c r="A219" i="28"/>
  <c r="H218" i="28"/>
  <c r="E218" i="28"/>
  <c r="L218" i="28" s="1"/>
  <c r="C218" i="28"/>
  <c r="B218" i="28"/>
  <c r="A218" i="28"/>
  <c r="H217" i="28"/>
  <c r="E217" i="28"/>
  <c r="L217" i="28" s="1"/>
  <c r="C217" i="28"/>
  <c r="B217" i="28"/>
  <c r="A217" i="28"/>
  <c r="E216" i="28"/>
  <c r="L216" i="28" s="1"/>
  <c r="C216" i="28"/>
  <c r="B216" i="28"/>
  <c r="A216" i="28"/>
  <c r="E215" i="28"/>
  <c r="L215" i="28" s="1"/>
  <c r="C215" i="28"/>
  <c r="B215" i="28"/>
  <c r="A215" i="28"/>
  <c r="H214" i="28"/>
  <c r="E214" i="28"/>
  <c r="L214" i="28" s="1"/>
  <c r="C214" i="28"/>
  <c r="B214" i="28"/>
  <c r="A214" i="28"/>
  <c r="H213" i="28"/>
  <c r="E213" i="28"/>
  <c r="L213" i="28" s="1"/>
  <c r="C213" i="28"/>
  <c r="B213" i="28"/>
  <c r="A213" i="28"/>
  <c r="H212" i="28"/>
  <c r="E212" i="28"/>
  <c r="L212" i="28" s="1"/>
  <c r="C212" i="28"/>
  <c r="B212" i="28"/>
  <c r="A212" i="28"/>
  <c r="H211" i="28"/>
  <c r="E211" i="28"/>
  <c r="L211" i="28" s="1"/>
  <c r="C211" i="28"/>
  <c r="B211" i="28"/>
  <c r="A211" i="28"/>
  <c r="H210" i="28"/>
  <c r="E210" i="28"/>
  <c r="L210" i="28" s="1"/>
  <c r="C210" i="28"/>
  <c r="B210" i="28"/>
  <c r="A210" i="28"/>
  <c r="H209" i="28"/>
  <c r="E209" i="28"/>
  <c r="L209" i="28" s="1"/>
  <c r="C209" i="28"/>
  <c r="B209" i="28"/>
  <c r="A209" i="28"/>
  <c r="H208" i="28"/>
  <c r="E208" i="28"/>
  <c r="L208" i="28" s="1"/>
  <c r="C208" i="28"/>
  <c r="B208" i="28"/>
  <c r="A208" i="28"/>
  <c r="H207" i="28"/>
  <c r="E207" i="28"/>
  <c r="L207" i="28" s="1"/>
  <c r="C207" i="28"/>
  <c r="B207" i="28"/>
  <c r="A207" i="28"/>
  <c r="H206" i="28"/>
  <c r="E206" i="28"/>
  <c r="L206" i="28" s="1"/>
  <c r="C206" i="28"/>
  <c r="B206" i="28"/>
  <c r="A206" i="28"/>
  <c r="H205" i="28"/>
  <c r="E205" i="28"/>
  <c r="L205" i="28" s="1"/>
  <c r="C205" i="28"/>
  <c r="B205" i="28"/>
  <c r="A205" i="28"/>
  <c r="H204" i="28"/>
  <c r="E204" i="28"/>
  <c r="L204" i="28" s="1"/>
  <c r="C204" i="28"/>
  <c r="B204" i="28"/>
  <c r="A204" i="28"/>
  <c r="H203" i="28"/>
  <c r="E203" i="28"/>
  <c r="L203" i="28" s="1"/>
  <c r="C203" i="28"/>
  <c r="B203" i="28"/>
  <c r="A203" i="28"/>
  <c r="H202" i="28"/>
  <c r="E202" i="28"/>
  <c r="L202" i="28" s="1"/>
  <c r="C202" i="28"/>
  <c r="B202" i="28"/>
  <c r="A202" i="28"/>
  <c r="H201" i="28"/>
  <c r="E201" i="28"/>
  <c r="L201" i="28" s="1"/>
  <c r="C201" i="28"/>
  <c r="B201" i="28"/>
  <c r="A201" i="28"/>
  <c r="H200" i="28"/>
  <c r="E200" i="28"/>
  <c r="L200" i="28" s="1"/>
  <c r="C200" i="28"/>
  <c r="B200" i="28"/>
  <c r="A200" i="28"/>
  <c r="H199" i="28"/>
  <c r="E199" i="28"/>
  <c r="L199" i="28" s="1"/>
  <c r="C199" i="28"/>
  <c r="B199" i="28"/>
  <c r="A199" i="28"/>
  <c r="H198" i="28"/>
  <c r="E198" i="28"/>
  <c r="L198" i="28" s="1"/>
  <c r="C198" i="28"/>
  <c r="B198" i="28"/>
  <c r="A198" i="28"/>
  <c r="H197" i="28"/>
  <c r="E197" i="28"/>
  <c r="L197" i="28" s="1"/>
  <c r="C197" i="28"/>
  <c r="B197" i="28"/>
  <c r="A197" i="28"/>
  <c r="H196" i="28"/>
  <c r="E196" i="28"/>
  <c r="L196" i="28" s="1"/>
  <c r="C196" i="28"/>
  <c r="B196" i="28"/>
  <c r="A196" i="28"/>
  <c r="H195" i="28"/>
  <c r="C195" i="28"/>
  <c r="B195" i="28"/>
  <c r="A195" i="28"/>
  <c r="H194" i="28"/>
  <c r="C194" i="28"/>
  <c r="B194" i="28"/>
  <c r="A194" i="28"/>
  <c r="H190" i="28"/>
  <c r="E190" i="28"/>
  <c r="L190" i="28" s="1"/>
  <c r="C190" i="28"/>
  <c r="B190" i="28"/>
  <c r="A190" i="28"/>
  <c r="H189" i="28"/>
  <c r="E189" i="28"/>
  <c r="L189" i="28" s="1"/>
  <c r="C189" i="28"/>
  <c r="B189" i="28"/>
  <c r="A189" i="28"/>
  <c r="H188" i="28"/>
  <c r="E188" i="28"/>
  <c r="L188" i="28" s="1"/>
  <c r="C188" i="28"/>
  <c r="B188" i="28"/>
  <c r="A188" i="28"/>
  <c r="E187" i="28"/>
  <c r="L187" i="28" s="1"/>
  <c r="C187" i="28"/>
  <c r="B187" i="28"/>
  <c r="A187" i="28"/>
  <c r="H186" i="28"/>
  <c r="E186" i="28"/>
  <c r="L186" i="28" s="1"/>
  <c r="C186" i="28"/>
  <c r="B186" i="28"/>
  <c r="A186" i="28"/>
  <c r="H185" i="28"/>
  <c r="E185" i="28"/>
  <c r="L185" i="28" s="1"/>
  <c r="C185" i="28"/>
  <c r="B185" i="28"/>
  <c r="A185" i="28"/>
  <c r="H184" i="28"/>
  <c r="E184" i="28"/>
  <c r="L184" i="28" s="1"/>
  <c r="C184" i="28"/>
  <c r="B184" i="28"/>
  <c r="A184" i="28"/>
  <c r="H183" i="28"/>
  <c r="E183" i="28"/>
  <c r="L183" i="28" s="1"/>
  <c r="C183" i="28"/>
  <c r="B183" i="28"/>
  <c r="A183" i="28"/>
  <c r="H182" i="28"/>
  <c r="E182" i="28"/>
  <c r="L182" i="28" s="1"/>
  <c r="C182" i="28"/>
  <c r="B182" i="28"/>
  <c r="A182" i="28"/>
  <c r="H181" i="28"/>
  <c r="E181" i="28"/>
  <c r="L181" i="28" s="1"/>
  <c r="C181" i="28"/>
  <c r="B181" i="28"/>
  <c r="A181" i="28"/>
  <c r="H180" i="28"/>
  <c r="E180" i="28"/>
  <c r="L180" i="28" s="1"/>
  <c r="C180" i="28"/>
  <c r="B180" i="28"/>
  <c r="A180" i="28"/>
  <c r="H179" i="28"/>
  <c r="E179" i="28"/>
  <c r="L179" i="28" s="1"/>
  <c r="C179" i="28"/>
  <c r="B179" i="28"/>
  <c r="A179" i="28"/>
  <c r="H178" i="28"/>
  <c r="E178" i="28"/>
  <c r="L178" i="28" s="1"/>
  <c r="C178" i="28"/>
  <c r="B178" i="28"/>
  <c r="A178" i="28"/>
  <c r="H177" i="28"/>
  <c r="E177" i="28"/>
  <c r="L177" i="28" s="1"/>
  <c r="F14" i="71" s="1"/>
  <c r="C177" i="28"/>
  <c r="B177" i="28"/>
  <c r="A177" i="28"/>
  <c r="H176" i="28"/>
  <c r="E176" i="28"/>
  <c r="L176" i="28" s="1"/>
  <c r="C176" i="28"/>
  <c r="B176" i="28"/>
  <c r="A176" i="28"/>
  <c r="H175" i="28"/>
  <c r="E175" i="28"/>
  <c r="L175" i="28" s="1"/>
  <c r="C175" i="28"/>
  <c r="B175" i="28"/>
  <c r="A175" i="28"/>
  <c r="H174" i="28"/>
  <c r="E174" i="28"/>
  <c r="L174" i="28" s="1"/>
  <c r="C174" i="28"/>
  <c r="B174" i="28"/>
  <c r="A174" i="28"/>
  <c r="H173" i="28"/>
  <c r="E173" i="28"/>
  <c r="L173" i="28" s="1"/>
  <c r="C173" i="28"/>
  <c r="B173" i="28"/>
  <c r="A173" i="28"/>
  <c r="H172" i="28"/>
  <c r="E172" i="28"/>
  <c r="L172" i="28" s="1"/>
  <c r="C172" i="28"/>
  <c r="B172" i="28"/>
  <c r="A172" i="28"/>
  <c r="H171" i="28"/>
  <c r="E171" i="28"/>
  <c r="L171" i="28" s="1"/>
  <c r="C171" i="28"/>
  <c r="B171" i="28"/>
  <c r="A171" i="28"/>
  <c r="H170" i="28"/>
  <c r="E170" i="28"/>
  <c r="L170" i="28" s="1"/>
  <c r="C170" i="28"/>
  <c r="B170" i="28"/>
  <c r="A170" i="28"/>
  <c r="H169" i="28"/>
  <c r="E169" i="28"/>
  <c r="L169" i="28" s="1"/>
  <c r="C169" i="28"/>
  <c r="B169" i="28"/>
  <c r="A169" i="28"/>
  <c r="H168" i="28"/>
  <c r="E168" i="28"/>
  <c r="L168" i="28" s="1"/>
  <c r="C168" i="28"/>
  <c r="B168" i="28"/>
  <c r="A168" i="28"/>
  <c r="H167" i="28"/>
  <c r="E167" i="28"/>
  <c r="L167" i="28" s="1"/>
  <c r="C167" i="28"/>
  <c r="B167" i="28"/>
  <c r="A167" i="28"/>
  <c r="H166" i="28"/>
  <c r="E166" i="28"/>
  <c r="L166" i="28" s="1"/>
  <c r="C166" i="28"/>
  <c r="B166" i="28"/>
  <c r="A166" i="28"/>
  <c r="H165" i="28"/>
  <c r="E165" i="28"/>
  <c r="L165" i="28" s="1"/>
  <c r="C165" i="28"/>
  <c r="B165" i="28"/>
  <c r="A165" i="28"/>
  <c r="H164" i="28"/>
  <c r="E164" i="28"/>
  <c r="L164" i="28" s="1"/>
  <c r="C164" i="28"/>
  <c r="B164" i="28"/>
  <c r="A164" i="28"/>
  <c r="H163" i="28"/>
  <c r="E163" i="28"/>
  <c r="L163" i="28" s="1"/>
  <c r="C163" i="28"/>
  <c r="B163" i="28"/>
  <c r="A163" i="28"/>
  <c r="H162" i="28"/>
  <c r="E162" i="28"/>
  <c r="L162" i="28" s="1"/>
  <c r="C162" i="28"/>
  <c r="B162" i="28"/>
  <c r="A162" i="28"/>
  <c r="E160" i="28"/>
  <c r="L160" i="28" s="1"/>
  <c r="C160" i="28"/>
  <c r="B160" i="28"/>
  <c r="A160" i="28"/>
  <c r="H159" i="28"/>
  <c r="E159" i="28"/>
  <c r="L159" i="28" s="1"/>
  <c r="C159" i="28"/>
  <c r="B159" i="28"/>
  <c r="A159" i="28"/>
  <c r="H158" i="28"/>
  <c r="E158" i="28"/>
  <c r="L158" i="28" s="1"/>
  <c r="C158" i="28"/>
  <c r="B158" i="28"/>
  <c r="A158" i="28"/>
  <c r="H157" i="28"/>
  <c r="E157" i="28"/>
  <c r="L157" i="28" s="1"/>
  <c r="C157" i="28"/>
  <c r="B157" i="28"/>
  <c r="A157" i="28"/>
  <c r="H156" i="28"/>
  <c r="E156" i="28"/>
  <c r="L156" i="28" s="1"/>
  <c r="C156" i="28"/>
  <c r="B156" i="28"/>
  <c r="A156" i="28"/>
  <c r="H155" i="28"/>
  <c r="E155" i="28"/>
  <c r="L155" i="28" s="1"/>
  <c r="C155" i="28"/>
  <c r="B155" i="28"/>
  <c r="A155" i="28"/>
  <c r="H154" i="28"/>
  <c r="E154" i="28"/>
  <c r="L154" i="28" s="1"/>
  <c r="C154" i="28"/>
  <c r="B154" i="28"/>
  <c r="A154" i="28"/>
  <c r="H153" i="28"/>
  <c r="E153" i="28"/>
  <c r="L153" i="28" s="1"/>
  <c r="C153" i="28"/>
  <c r="B153" i="28"/>
  <c r="A153" i="28"/>
  <c r="H152" i="28"/>
  <c r="E152" i="28"/>
  <c r="L152" i="28" s="1"/>
  <c r="C152" i="28"/>
  <c r="B152" i="28"/>
  <c r="A152" i="28"/>
  <c r="H151" i="28"/>
  <c r="E151" i="28"/>
  <c r="L151" i="28" s="1"/>
  <c r="C151" i="28"/>
  <c r="B151" i="28"/>
  <c r="A151" i="28"/>
  <c r="H150" i="28"/>
  <c r="E150" i="28"/>
  <c r="L150" i="28" s="1"/>
  <c r="C150" i="28"/>
  <c r="B150" i="28"/>
  <c r="A150" i="28"/>
  <c r="H149" i="28"/>
  <c r="E149" i="28"/>
  <c r="L149" i="28" s="1"/>
  <c r="C149" i="28"/>
  <c r="B149" i="28"/>
  <c r="A149" i="28"/>
  <c r="H148" i="28"/>
  <c r="E148" i="28"/>
  <c r="L148" i="28" s="1"/>
  <c r="C148" i="28"/>
  <c r="B148" i="28"/>
  <c r="A148" i="28"/>
  <c r="H147" i="28"/>
  <c r="E147" i="28"/>
  <c r="L147" i="28" s="1"/>
  <c r="C147" i="28"/>
  <c r="B147" i="28"/>
  <c r="A147" i="28"/>
  <c r="H146" i="28"/>
  <c r="E146" i="28"/>
  <c r="L146" i="28" s="1"/>
  <c r="C146" i="28"/>
  <c r="B146" i="28"/>
  <c r="A146" i="28"/>
  <c r="H145" i="28"/>
  <c r="E145" i="28"/>
  <c r="L145" i="28" s="1"/>
  <c r="C145" i="28"/>
  <c r="B145" i="28"/>
  <c r="A145" i="28"/>
  <c r="H144" i="28"/>
  <c r="E144" i="28"/>
  <c r="L144" i="28" s="1"/>
  <c r="C144" i="28"/>
  <c r="B144" i="28"/>
  <c r="A144" i="28"/>
  <c r="H143" i="28"/>
  <c r="C143" i="28"/>
  <c r="B143" i="28"/>
  <c r="A143" i="28"/>
  <c r="H142" i="28"/>
  <c r="E142" i="28"/>
  <c r="L142" i="28" s="1"/>
  <c r="C142" i="28"/>
  <c r="B142" i="28"/>
  <c r="A142" i="28"/>
  <c r="H141" i="28"/>
  <c r="E141" i="28"/>
  <c r="L141" i="28" s="1"/>
  <c r="C141" i="28"/>
  <c r="B141" i="28"/>
  <c r="A141" i="28"/>
  <c r="H140" i="28"/>
  <c r="E140" i="28"/>
  <c r="L140" i="28" s="1"/>
  <c r="C140" i="28"/>
  <c r="B140" i="28"/>
  <c r="A140" i="28"/>
  <c r="E139" i="28"/>
  <c r="L139" i="28" s="1"/>
  <c r="C139" i="28"/>
  <c r="B139" i="28"/>
  <c r="A139" i="28"/>
  <c r="H138" i="28"/>
  <c r="E138" i="28"/>
  <c r="L138" i="28" s="1"/>
  <c r="C138" i="28"/>
  <c r="B138" i="28"/>
  <c r="A138" i="28"/>
  <c r="H137" i="28"/>
  <c r="E137" i="28"/>
  <c r="L137" i="28" s="1"/>
  <c r="C137" i="28"/>
  <c r="B137" i="28"/>
  <c r="A137" i="28"/>
  <c r="E136" i="28"/>
  <c r="L136" i="28" s="1"/>
  <c r="C136" i="28"/>
  <c r="B136" i="28"/>
  <c r="A136" i="28"/>
  <c r="H135" i="28"/>
  <c r="E135" i="28"/>
  <c r="L135" i="28" s="1"/>
  <c r="C135" i="28"/>
  <c r="B135" i="28"/>
  <c r="A135" i="28"/>
  <c r="H134" i="28"/>
  <c r="E134" i="28"/>
  <c r="L134" i="28" s="1"/>
  <c r="C134" i="28"/>
  <c r="B134" i="28"/>
  <c r="A134" i="28"/>
  <c r="H133" i="28"/>
  <c r="E133" i="28"/>
  <c r="L133" i="28" s="1"/>
  <c r="C133" i="28"/>
  <c r="B133" i="28"/>
  <c r="A133" i="28"/>
  <c r="H132" i="28"/>
  <c r="E132" i="28"/>
  <c r="L132" i="28" s="1"/>
  <c r="C132" i="28"/>
  <c r="B132" i="28"/>
  <c r="A132" i="28"/>
  <c r="H131" i="28"/>
  <c r="E131" i="28"/>
  <c r="L131" i="28" s="1"/>
  <c r="C131" i="28"/>
  <c r="B131" i="28"/>
  <c r="A131" i="28"/>
  <c r="H130" i="28"/>
  <c r="E130" i="28"/>
  <c r="L130" i="28" s="1"/>
  <c r="C130" i="28"/>
  <c r="B130" i="28"/>
  <c r="A130" i="28"/>
  <c r="E129" i="28"/>
  <c r="L129" i="28" s="1"/>
  <c r="C129" i="28"/>
  <c r="B129" i="28"/>
  <c r="E128" i="28"/>
  <c r="L128" i="28" s="1"/>
  <c r="C128" i="28"/>
  <c r="B128" i="28"/>
  <c r="E127" i="28"/>
  <c r="L127" i="28" s="1"/>
  <c r="C127" i="28"/>
  <c r="B127" i="28"/>
  <c r="E126" i="28"/>
  <c r="L126" i="28" s="1"/>
  <c r="C126" i="28"/>
  <c r="B126" i="28"/>
  <c r="E125" i="28"/>
  <c r="L125" i="28" s="1"/>
  <c r="C125" i="28"/>
  <c r="B125" i="28"/>
  <c r="C124" i="28"/>
  <c r="B124" i="28"/>
  <c r="E123" i="28"/>
  <c r="L123" i="28" s="1"/>
  <c r="C123" i="28"/>
  <c r="B123" i="28"/>
  <c r="A123" i="28"/>
  <c r="H122" i="28"/>
  <c r="E122" i="28"/>
  <c r="L122" i="28" s="1"/>
  <c r="C122" i="28"/>
  <c r="B122" i="28"/>
  <c r="A122" i="28"/>
  <c r="E121" i="28"/>
  <c r="L121" i="28" s="1"/>
  <c r="C121" i="28"/>
  <c r="B121" i="28"/>
  <c r="A121" i="28"/>
  <c r="H120" i="28"/>
  <c r="E120" i="28"/>
  <c r="L120" i="28" s="1"/>
  <c r="C120" i="28"/>
  <c r="B120" i="28"/>
  <c r="A120" i="28"/>
  <c r="H119" i="28"/>
  <c r="E119" i="28"/>
  <c r="L119" i="28" s="1"/>
  <c r="C119" i="28"/>
  <c r="B119" i="28"/>
  <c r="A119" i="28"/>
  <c r="E118" i="28"/>
  <c r="L118" i="28" s="1"/>
  <c r="C118" i="28"/>
  <c r="B118" i="28"/>
  <c r="A118" i="28"/>
  <c r="H117" i="28"/>
  <c r="E117" i="28"/>
  <c r="L117" i="28" s="1"/>
  <c r="C117" i="28"/>
  <c r="B117" i="28"/>
  <c r="A117" i="28"/>
  <c r="H116" i="28"/>
  <c r="E116" i="28"/>
  <c r="L116" i="28" s="1"/>
  <c r="C116" i="28"/>
  <c r="B116" i="28"/>
  <c r="A116" i="28"/>
  <c r="H115" i="28"/>
  <c r="E115" i="28"/>
  <c r="L115" i="28" s="1"/>
  <c r="C115" i="28"/>
  <c r="A115" i="28"/>
  <c r="H91" i="28"/>
  <c r="C91" i="28"/>
  <c r="B91" i="28"/>
  <c r="A91" i="28"/>
  <c r="H89" i="28"/>
  <c r="E89" i="28"/>
  <c r="L89" i="28" s="1"/>
  <c r="C89" i="28"/>
  <c r="B89" i="28"/>
  <c r="A89" i="28"/>
  <c r="H80" i="28"/>
  <c r="E80" i="28"/>
  <c r="L80" i="28" s="1"/>
  <c r="C80" i="28"/>
  <c r="B80" i="28"/>
  <c r="A80" i="28"/>
  <c r="H79" i="28"/>
  <c r="E79" i="28"/>
  <c r="L79" i="28" s="1"/>
  <c r="C79" i="28"/>
  <c r="B79" i="28"/>
  <c r="A79" i="28"/>
  <c r="H78" i="28"/>
  <c r="E78" i="28"/>
  <c r="L78" i="28" s="1"/>
  <c r="C78" i="28"/>
  <c r="B78" i="28"/>
  <c r="A78" i="28"/>
  <c r="H77" i="28"/>
  <c r="E77" i="28"/>
  <c r="L77" i="28" s="1"/>
  <c r="C77" i="28"/>
  <c r="B77" i="28"/>
  <c r="A77" i="28"/>
  <c r="H76" i="28"/>
  <c r="E76" i="28"/>
  <c r="L76" i="28" s="1"/>
  <c r="C76" i="28"/>
  <c r="B76" i="28"/>
  <c r="A76" i="28"/>
  <c r="H75" i="28"/>
  <c r="E75" i="28"/>
  <c r="L75" i="28" s="1"/>
  <c r="C75" i="28"/>
  <c r="B75" i="28"/>
  <c r="A75" i="28"/>
  <c r="H74" i="28"/>
  <c r="E74" i="28"/>
  <c r="L74" i="28" s="1"/>
  <c r="C74" i="28"/>
  <c r="B74" i="28"/>
  <c r="A74" i="28"/>
  <c r="H73" i="28"/>
  <c r="E73" i="28"/>
  <c r="L73" i="28" s="1"/>
  <c r="C73" i="28"/>
  <c r="B73" i="28"/>
  <c r="A73" i="28"/>
  <c r="H72" i="28"/>
  <c r="E72" i="28"/>
  <c r="L72" i="28" s="1"/>
  <c r="C72" i="28"/>
  <c r="B72" i="28"/>
  <c r="A72" i="28"/>
  <c r="H71" i="28"/>
  <c r="E71" i="28"/>
  <c r="L71" i="28" s="1"/>
  <c r="C71" i="28"/>
  <c r="B71" i="28"/>
  <c r="A71" i="28"/>
  <c r="H70" i="28"/>
  <c r="E70" i="28"/>
  <c r="L70" i="28" s="1"/>
  <c r="C70" i="28"/>
  <c r="B70" i="28"/>
  <c r="A70" i="28"/>
  <c r="H69" i="28"/>
  <c r="E69" i="28"/>
  <c r="L69" i="28" s="1"/>
  <c r="C69" i="28"/>
  <c r="B69" i="28"/>
  <c r="A69" i="28"/>
  <c r="H66" i="28"/>
  <c r="E66" i="28"/>
  <c r="L66" i="28" s="1"/>
  <c r="C66" i="28"/>
  <c r="B66" i="28"/>
  <c r="A66" i="28"/>
  <c r="H65" i="28"/>
  <c r="E65" i="28"/>
  <c r="L65" i="28" s="1"/>
  <c r="D12" i="80" s="1"/>
  <c r="F12" i="80" s="1"/>
  <c r="C65" i="28"/>
  <c r="B65" i="28"/>
  <c r="A65" i="28"/>
  <c r="H64" i="28"/>
  <c r="E64" i="28"/>
  <c r="L64" i="28" s="1"/>
  <c r="C64" i="28"/>
  <c r="B64" i="28"/>
  <c r="A64" i="28"/>
  <c r="H63" i="28"/>
  <c r="E63" i="28"/>
  <c r="L63" i="28" s="1"/>
  <c r="C63" i="28"/>
  <c r="B63" i="28"/>
  <c r="A63" i="28"/>
  <c r="H62" i="28"/>
  <c r="E62" i="28"/>
  <c r="L62" i="28" s="1"/>
  <c r="C62" i="28"/>
  <c r="B62" i="28"/>
  <c r="A62" i="28"/>
  <c r="H61" i="28"/>
  <c r="E61" i="28"/>
  <c r="L61" i="28" s="1"/>
  <c r="C61" i="28"/>
  <c r="B61" i="28"/>
  <c r="A61" i="28"/>
  <c r="H60" i="28"/>
  <c r="E60" i="28"/>
  <c r="L60" i="28" s="1"/>
  <c r="C60" i="28"/>
  <c r="B60" i="28"/>
  <c r="A60" i="28"/>
  <c r="H59" i="28"/>
  <c r="E59" i="28"/>
  <c r="L59" i="28" s="1"/>
  <c r="C59" i="28"/>
  <c r="B59" i="28"/>
  <c r="A59" i="28"/>
  <c r="H58" i="28"/>
  <c r="E58" i="28"/>
  <c r="L58" i="28" s="1"/>
  <c r="C58" i="28"/>
  <c r="B58" i="28"/>
  <c r="A58" i="28"/>
  <c r="H57" i="28"/>
  <c r="E57" i="28"/>
  <c r="L57" i="28" s="1"/>
  <c r="C57" i="28"/>
  <c r="B57" i="28"/>
  <c r="A57" i="28"/>
  <c r="H56" i="28"/>
  <c r="E56" i="28"/>
  <c r="L56" i="28" s="1"/>
  <c r="C56" i="28"/>
  <c r="B56" i="28"/>
  <c r="A56" i="28"/>
  <c r="H55" i="28"/>
  <c r="E55" i="28"/>
  <c r="L55" i="28" s="1"/>
  <c r="C55" i="28"/>
  <c r="B55" i="28"/>
  <c r="A55" i="28"/>
  <c r="E54" i="28"/>
  <c r="L54" i="28" s="1"/>
  <c r="C54" i="28"/>
  <c r="B54" i="28"/>
  <c r="A54" i="28"/>
  <c r="H53" i="28"/>
  <c r="E53" i="28"/>
  <c r="L53" i="28" s="1"/>
  <c r="C53" i="28"/>
  <c r="B53" i="28"/>
  <c r="A53" i="28"/>
  <c r="H52" i="28"/>
  <c r="E52" i="28"/>
  <c r="L52" i="28" s="1"/>
  <c r="C52" i="28"/>
  <c r="B52" i="28"/>
  <c r="A52" i="28"/>
  <c r="H37" i="28"/>
  <c r="E37" i="28"/>
  <c r="L37" i="28" s="1"/>
  <c r="C37" i="28"/>
  <c r="B37" i="28"/>
  <c r="A37" i="28"/>
  <c r="H36" i="28"/>
  <c r="E36" i="28"/>
  <c r="L36" i="28" s="1"/>
  <c r="C36" i="28"/>
  <c r="B36" i="28"/>
  <c r="A36" i="28"/>
  <c r="H35" i="28"/>
  <c r="E35" i="28"/>
  <c r="L35" i="28" s="1"/>
  <c r="C35" i="28"/>
  <c r="B35" i="28"/>
  <c r="A35" i="28"/>
  <c r="H34" i="28"/>
  <c r="E34" i="28"/>
  <c r="L34" i="28" s="1"/>
  <c r="C34" i="28"/>
  <c r="B34" i="28"/>
  <c r="A34" i="28"/>
  <c r="H33" i="28"/>
  <c r="E33" i="28"/>
  <c r="L33" i="28" s="1"/>
  <c r="C33" i="28"/>
  <c r="B33" i="28"/>
  <c r="A33" i="28"/>
  <c r="H32" i="28"/>
  <c r="E32" i="28"/>
  <c r="L32" i="28" s="1"/>
  <c r="C32" i="28"/>
  <c r="B32" i="28"/>
  <c r="A32" i="28"/>
  <c r="H31" i="28"/>
  <c r="E31" i="28"/>
  <c r="L31" i="28" s="1"/>
  <c r="C31" i="28"/>
  <c r="B31" i="28"/>
  <c r="A31" i="28"/>
  <c r="H30" i="28"/>
  <c r="E30" i="28"/>
  <c r="L30" i="28" s="1"/>
  <c r="C30" i="28"/>
  <c r="B30" i="28"/>
  <c r="A30" i="28"/>
  <c r="H29" i="28"/>
  <c r="E29" i="28"/>
  <c r="L29" i="28" s="1"/>
  <c r="C29" i="28"/>
  <c r="B29" i="28"/>
  <c r="A29" i="28"/>
  <c r="H28" i="28"/>
  <c r="E28" i="28"/>
  <c r="L28" i="28" s="1"/>
  <c r="C28" i="28"/>
  <c r="B28" i="28"/>
  <c r="A28" i="28"/>
  <c r="H27" i="28"/>
  <c r="E27" i="28"/>
  <c r="L27" i="28" s="1"/>
  <c r="C27" i="28"/>
  <c r="B27" i="28"/>
  <c r="A27" i="28"/>
  <c r="H26" i="28"/>
  <c r="E26" i="28"/>
  <c r="L26" i="28" s="1"/>
  <c r="C26" i="28"/>
  <c r="B26" i="28"/>
  <c r="A26" i="28"/>
  <c r="H25" i="28"/>
  <c r="E25" i="28"/>
  <c r="L25" i="28" s="1"/>
  <c r="C25" i="28"/>
  <c r="B25" i="28"/>
  <c r="A25" i="28"/>
  <c r="H24" i="28"/>
  <c r="E24" i="28"/>
  <c r="L24" i="28" s="1"/>
  <c r="C24" i="28"/>
  <c r="B24" i="28"/>
  <c r="A24" i="28"/>
  <c r="H23" i="28"/>
  <c r="E23" i="28"/>
  <c r="L23" i="28" s="1"/>
  <c r="C23" i="28"/>
  <c r="B23" i="28"/>
  <c r="A23" i="28"/>
  <c r="H22" i="28"/>
  <c r="E22" i="28"/>
  <c r="L22" i="28" s="1"/>
  <c r="C22" i="28"/>
  <c r="B22" i="28"/>
  <c r="A22" i="28"/>
  <c r="H21" i="28"/>
  <c r="E21" i="28"/>
  <c r="L21" i="28" s="1"/>
  <c r="C21" i="28"/>
  <c r="B21" i="28"/>
  <c r="A21" i="28"/>
  <c r="H20" i="28"/>
  <c r="E20" i="28"/>
  <c r="L20" i="28" s="1"/>
  <c r="C20" i="28"/>
  <c r="B20" i="28"/>
  <c r="A20" i="28"/>
  <c r="H19" i="28"/>
  <c r="E19" i="28"/>
  <c r="L19" i="28" s="1"/>
  <c r="C19" i="28"/>
  <c r="B19" i="28"/>
  <c r="A19" i="28"/>
  <c r="H18" i="28"/>
  <c r="E18" i="28"/>
  <c r="L18" i="28" s="1"/>
  <c r="C18" i="28"/>
  <c r="B18" i="28"/>
  <c r="A18" i="28"/>
  <c r="H17" i="28"/>
  <c r="E17" i="28"/>
  <c r="C17" i="28"/>
  <c r="B17" i="28"/>
  <c r="A17" i="28"/>
  <c r="E16" i="28"/>
  <c r="L16" i="28" s="1"/>
  <c r="C16" i="28"/>
  <c r="B16" i="28"/>
  <c r="A16" i="28"/>
  <c r="E15" i="28"/>
  <c r="L15" i="28" s="1"/>
  <c r="C15" i="28"/>
  <c r="B15" i="28"/>
  <c r="A15" i="28"/>
  <c r="E14" i="28"/>
  <c r="L14" i="28" s="1"/>
  <c r="C14" i="28"/>
  <c r="B14" i="28"/>
  <c r="A14" i="28"/>
  <c r="E13" i="28"/>
  <c r="L13" i="28" s="1"/>
  <c r="C13" i="28"/>
  <c r="B13" i="28"/>
  <c r="A13" i="28"/>
  <c r="E12" i="28"/>
  <c r="L12" i="28" s="1"/>
  <c r="C12" i="28"/>
  <c r="B12" i="28"/>
  <c r="A12" i="28"/>
  <c r="E11" i="28"/>
  <c r="L11" i="28" s="1"/>
  <c r="C11" i="28"/>
  <c r="B11" i="28"/>
  <c r="A11" i="28"/>
  <c r="H10" i="28"/>
  <c r="C10" i="28"/>
  <c r="B10" i="28"/>
  <c r="A10" i="28"/>
  <c r="H9" i="28"/>
  <c r="E9" i="28"/>
  <c r="L9" i="28" s="1"/>
  <c r="C9" i="28"/>
  <c r="B9" i="28"/>
  <c r="A9" i="28"/>
  <c r="H8" i="28"/>
  <c r="E8" i="28"/>
  <c r="L8" i="28" s="1"/>
  <c r="C8" i="28"/>
  <c r="B8" i="28"/>
  <c r="A8" i="28"/>
  <c r="H7" i="28"/>
  <c r="G7" i="28"/>
  <c r="E7" i="28"/>
  <c r="C7" i="28"/>
  <c r="B7" i="28"/>
  <c r="A7" i="28"/>
  <c r="H6" i="28"/>
  <c r="E6" i="28"/>
  <c r="L6" i="28" s="1"/>
  <c r="C6" i="28"/>
  <c r="B6" i="28"/>
  <c r="A6" i="28"/>
  <c r="H5" i="28"/>
  <c r="E5" i="28"/>
  <c r="L5" i="28" s="1"/>
  <c r="C5" i="28"/>
  <c r="B5" i="28"/>
  <c r="A5" i="28"/>
  <c r="C2" i="28"/>
  <c r="G302" i="1"/>
  <c r="G298" i="1"/>
  <c r="H295" i="1"/>
  <c r="G295" i="1" s="1"/>
  <c r="H294" i="1"/>
  <c r="G294" i="1" s="1"/>
  <c r="H293" i="1"/>
  <c r="G293" i="1" s="1"/>
  <c r="G292" i="1"/>
  <c r="G291" i="1"/>
  <c r="G290" i="1"/>
  <c r="G289" i="1"/>
  <c r="G282" i="1"/>
  <c r="G279" i="1"/>
  <c r="G278" i="1"/>
  <c r="G277" i="1"/>
  <c r="H274" i="1"/>
  <c r="G274" i="1" s="1"/>
  <c r="H273" i="1"/>
  <c r="H272" i="1"/>
  <c r="G271" i="1"/>
  <c r="H268" i="1"/>
  <c r="G268" i="1" s="1"/>
  <c r="H267" i="1"/>
  <c r="G267" i="1"/>
  <c r="H266" i="1"/>
  <c r="G266" i="1"/>
  <c r="G265" i="1"/>
  <c r="L260" i="1"/>
  <c r="G260" i="1"/>
  <c r="G259" i="1"/>
  <c r="G258" i="1"/>
  <c r="G257" i="1"/>
  <c r="G255" i="1"/>
  <c r="F249" i="1"/>
  <c r="G248" i="1"/>
  <c r="G247" i="1"/>
  <c r="G246" i="1"/>
  <c r="G245" i="1"/>
  <c r="F243" i="1"/>
  <c r="G242" i="1"/>
  <c r="G241" i="1"/>
  <c r="G240" i="1"/>
  <c r="G239" i="1"/>
  <c r="F237" i="1"/>
  <c r="E195" i="28"/>
  <c r="L195" i="28" s="1"/>
  <c r="E194" i="28"/>
  <c r="L194" i="28" s="1"/>
  <c r="G221" i="1"/>
  <c r="G216" i="1"/>
  <c r="G212" i="1"/>
  <c r="G210" i="1"/>
  <c r="G209" i="1"/>
  <c r="G206" i="1"/>
  <c r="G205" i="1"/>
  <c r="H198" i="1"/>
  <c r="G198" i="1" s="1"/>
  <c r="G197" i="1"/>
  <c r="G196" i="1"/>
  <c r="G195" i="1"/>
  <c r="G194" i="1"/>
  <c r="G193" i="1"/>
  <c r="G192" i="1"/>
  <c r="G191" i="1"/>
  <c r="G190" i="1"/>
  <c r="G189" i="1"/>
  <c r="G188" i="1"/>
  <c r="H182" i="1"/>
  <c r="G182" i="1" s="1"/>
  <c r="G181" i="1"/>
  <c r="G179" i="1"/>
  <c r="G178" i="1"/>
  <c r="G177" i="1"/>
  <c r="G175" i="1"/>
  <c r="G174" i="1"/>
  <c r="G173" i="1"/>
  <c r="H168" i="1"/>
  <c r="G168" i="1" s="1"/>
  <c r="G154" i="1"/>
  <c r="G152" i="1"/>
  <c r="G151" i="1"/>
  <c r="H149" i="1"/>
  <c r="G149" i="1"/>
  <c r="H183" i="1"/>
  <c r="E124" i="28"/>
  <c r="L124" i="28" s="1"/>
  <c r="G138" i="1"/>
  <c r="G136" i="1"/>
  <c r="G116" i="28"/>
  <c r="G101" i="1"/>
  <c r="G98" i="1"/>
  <c r="H87" i="1"/>
  <c r="G87" i="1" s="1"/>
  <c r="G85" i="1"/>
  <c r="G82" i="1"/>
  <c r="G80" i="1"/>
  <c r="G79" i="1"/>
  <c r="H72" i="1"/>
  <c r="G72" i="1"/>
  <c r="H89" i="1"/>
  <c r="G71" i="1"/>
  <c r="G70" i="1"/>
  <c r="G69" i="1"/>
  <c r="G68" i="1"/>
  <c r="G67" i="1"/>
  <c r="G66" i="1"/>
  <c r="G65" i="1"/>
  <c r="G64" i="1"/>
  <c r="G63" i="1"/>
  <c r="G62" i="1"/>
  <c r="G61" i="1"/>
  <c r="G60" i="1"/>
  <c r="G59" i="1"/>
  <c r="G42" i="1"/>
  <c r="G39" i="1"/>
  <c r="O34" i="28"/>
  <c r="H37" i="1"/>
  <c r="G37" i="1" s="1"/>
  <c r="O33" i="28"/>
  <c r="G35" i="1"/>
  <c r="G34" i="1"/>
  <c r="G33" i="1"/>
  <c r="G32" i="1"/>
  <c r="G31" i="1"/>
  <c r="G30" i="1"/>
  <c r="G29" i="1"/>
  <c r="G28" i="1"/>
  <c r="G26" i="1"/>
  <c r="G25" i="1"/>
  <c r="H23" i="1"/>
  <c r="G23" i="1" s="1"/>
  <c r="O21" i="28"/>
  <c r="O20" i="28"/>
  <c r="G20" i="1"/>
  <c r="G18" i="1"/>
  <c r="G11" i="1"/>
  <c r="G10" i="1"/>
  <c r="G8" i="1"/>
  <c r="G7" i="1"/>
  <c r="Y291" i="28"/>
  <c r="N24" i="80" l="1"/>
  <c r="D24" i="80" s="1"/>
  <c r="F24" i="80" s="1"/>
  <c r="N23" i="80"/>
  <c r="D23" i="80" s="1"/>
  <c r="F23" i="80" s="1"/>
  <c r="M18" i="80"/>
  <c r="D18" i="80" s="1"/>
  <c r="F18" i="80" s="1"/>
  <c r="D37" i="80"/>
  <c r="F37" i="80" s="1"/>
  <c r="N16" i="80"/>
  <c r="D16" i="80" s="1"/>
  <c r="F16" i="80" s="1"/>
  <c r="N17" i="80"/>
  <c r="D17" i="80" s="1"/>
  <c r="F17" i="80" s="1"/>
  <c r="N14" i="80"/>
  <c r="L7" i="80"/>
  <c r="E9" i="80" s="1"/>
  <c r="M20" i="73"/>
  <c r="F20" i="73" s="1"/>
  <c r="M14" i="73"/>
  <c r="D14" i="73" s="1"/>
  <c r="D9" i="73"/>
  <c r="D8" i="73"/>
  <c r="D6" i="73"/>
  <c r="M12" i="73"/>
  <c r="F12" i="73" s="1"/>
  <c r="F14" i="80" s="1"/>
  <c r="M19" i="73"/>
  <c r="D19" i="73" s="1"/>
  <c r="F19" i="73" s="1"/>
  <c r="G124" i="28"/>
  <c r="F124" i="28"/>
  <c r="K15" i="73"/>
  <c r="K5" i="73"/>
  <c r="E6" i="73" s="1"/>
  <c r="L264" i="28"/>
  <c r="D10" i="73"/>
  <c r="F10" i="73" s="1"/>
  <c r="L263" i="28"/>
  <c r="L262" i="28"/>
  <c r="M13" i="73"/>
  <c r="W180" i="28"/>
  <c r="W198" i="28"/>
  <c r="W280" i="28"/>
  <c r="W7" i="28"/>
  <c r="W56" i="28"/>
  <c r="W64" i="28"/>
  <c r="W74" i="28"/>
  <c r="W91" i="28"/>
  <c r="W116" i="28"/>
  <c r="W121" i="28"/>
  <c r="W132" i="28"/>
  <c r="W137" i="28"/>
  <c r="W142" i="28"/>
  <c r="W147" i="28"/>
  <c r="W155" i="28"/>
  <c r="W169" i="28"/>
  <c r="W177" i="28"/>
  <c r="W185" i="28"/>
  <c r="W190" i="28"/>
  <c r="W203" i="28"/>
  <c r="W211" i="28"/>
  <c r="W216" i="28"/>
  <c r="W225" i="28"/>
  <c r="W231" i="28"/>
  <c r="W283" i="28"/>
  <c r="W150" i="28"/>
  <c r="W18" i="28"/>
  <c r="W26" i="28"/>
  <c r="W34" i="28"/>
  <c r="W61" i="28"/>
  <c r="W71" i="28"/>
  <c r="W79" i="28"/>
  <c r="W123" i="28"/>
  <c r="W144" i="28"/>
  <c r="W152" i="28"/>
  <c r="W160" i="28"/>
  <c r="W166" i="28"/>
  <c r="W174" i="28"/>
  <c r="W182" i="28"/>
  <c r="W195" i="28"/>
  <c r="W200" i="28"/>
  <c r="W208" i="28"/>
  <c r="W218" i="28"/>
  <c r="W222" i="28"/>
  <c r="W227" i="28"/>
  <c r="W233" i="28"/>
  <c r="W235" i="28"/>
  <c r="W237" i="28"/>
  <c r="W239" i="28"/>
  <c r="W278" i="28"/>
  <c r="W206" i="28"/>
  <c r="W16" i="28"/>
  <c r="W37" i="28"/>
  <c r="W23" i="28"/>
  <c r="W53" i="28"/>
  <c r="W58" i="28"/>
  <c r="W66" i="28"/>
  <c r="W139" i="28"/>
  <c r="W149" i="28"/>
  <c r="W157" i="28"/>
  <c r="W163" i="28"/>
  <c r="W171" i="28"/>
  <c r="W179" i="28"/>
  <c r="W187" i="28"/>
  <c r="W197" i="28"/>
  <c r="W205" i="28"/>
  <c r="W213" i="28"/>
  <c r="W241" i="28"/>
  <c r="W245" i="28"/>
  <c r="W281" i="28"/>
  <c r="W32" i="28"/>
  <c r="W6" i="28"/>
  <c r="W9" i="28"/>
  <c r="W20" i="28"/>
  <c r="W28" i="28"/>
  <c r="W36" i="28"/>
  <c r="W55" i="28"/>
  <c r="W63" i="28"/>
  <c r="W73" i="28"/>
  <c r="W89" i="28"/>
  <c r="W120" i="28"/>
  <c r="W131" i="28"/>
  <c r="W141" i="28"/>
  <c r="W146" i="28"/>
  <c r="W154" i="28"/>
  <c r="W168" i="28"/>
  <c r="W176" i="28"/>
  <c r="W184" i="28"/>
  <c r="W189" i="28"/>
  <c r="W202" i="28"/>
  <c r="W210" i="28"/>
  <c r="W220" i="28"/>
  <c r="W224" i="28"/>
  <c r="W230" i="28"/>
  <c r="W284" i="28"/>
  <c r="W24" i="28"/>
  <c r="W54" i="28"/>
  <c r="W59" i="28"/>
  <c r="W69" i="28"/>
  <c r="W77" i="28"/>
  <c r="W214" i="28"/>
  <c r="W242" i="28"/>
  <c r="W12" i="28"/>
  <c r="W21" i="28"/>
  <c r="W29" i="28"/>
  <c r="W118" i="28"/>
  <c r="W11" i="28"/>
  <c r="W13" i="28"/>
  <c r="W15" i="28"/>
  <c r="W17" i="28"/>
  <c r="W25" i="28"/>
  <c r="W33" i="28"/>
  <c r="W60" i="28"/>
  <c r="W70" i="28"/>
  <c r="W78" i="28"/>
  <c r="W115" i="28"/>
  <c r="W122" i="28"/>
  <c r="W136" i="28"/>
  <c r="W151" i="28"/>
  <c r="W159" i="28"/>
  <c r="W165" i="28"/>
  <c r="W173" i="28"/>
  <c r="W181" i="28"/>
  <c r="W199" i="28"/>
  <c r="W207" i="28"/>
  <c r="W215" i="28"/>
  <c r="W217" i="28"/>
  <c r="W226" i="28"/>
  <c r="W279" i="28"/>
  <c r="W135" i="28"/>
  <c r="W164" i="28"/>
  <c r="W172" i="28"/>
  <c r="W14" i="28"/>
  <c r="W31" i="28"/>
  <c r="W76" i="28"/>
  <c r="W134" i="28"/>
  <c r="W22" i="28"/>
  <c r="W30" i="28"/>
  <c r="W52" i="28"/>
  <c r="W57" i="28"/>
  <c r="W65" i="28"/>
  <c r="W75" i="28"/>
  <c r="W117" i="28"/>
  <c r="W133" i="28"/>
  <c r="W138" i="28"/>
  <c r="W143" i="28"/>
  <c r="W148" i="28"/>
  <c r="W156" i="28"/>
  <c r="W162" i="28"/>
  <c r="W170" i="28"/>
  <c r="W178" i="28"/>
  <c r="W186" i="28"/>
  <c r="W194" i="28"/>
  <c r="W196" i="28"/>
  <c r="W204" i="28"/>
  <c r="W212" i="28"/>
  <c r="W232" i="28"/>
  <c r="W234" i="28"/>
  <c r="W236" i="28"/>
  <c r="W238" i="28"/>
  <c r="W240" i="28"/>
  <c r="W282" i="28"/>
  <c r="W158" i="28"/>
  <c r="W10" i="28"/>
  <c r="W5" i="28"/>
  <c r="W8" i="28"/>
  <c r="W19" i="28"/>
  <c r="W27" i="28"/>
  <c r="W35" i="28"/>
  <c r="W62" i="28"/>
  <c r="W72" i="28"/>
  <c r="W80" i="28"/>
  <c r="W119" i="28"/>
  <c r="W130" i="28"/>
  <c r="W140" i="28"/>
  <c r="W145" i="28"/>
  <c r="W153" i="28"/>
  <c r="W167" i="28"/>
  <c r="W175" i="28"/>
  <c r="W183" i="28"/>
  <c r="W188" i="28"/>
  <c r="W201" i="28"/>
  <c r="W209" i="28"/>
  <c r="W219" i="28"/>
  <c r="W223" i="28"/>
  <c r="W228" i="28"/>
  <c r="W277" i="28"/>
  <c r="L231" i="28"/>
  <c r="Y231" i="28" s="1"/>
  <c r="L7" i="28"/>
  <c r="L17" i="28"/>
  <c r="F233" i="28"/>
  <c r="Y233" i="28"/>
  <c r="Y277" i="28"/>
  <c r="O151" i="28"/>
  <c r="L279" i="28"/>
  <c r="L282" i="28"/>
  <c r="Q282" i="28" s="1"/>
  <c r="L280" i="28"/>
  <c r="X233" i="28"/>
  <c r="L283" i="28"/>
  <c r="Q283" i="28" s="1"/>
  <c r="L278" i="28"/>
  <c r="L281" i="28"/>
  <c r="Y170" i="28"/>
  <c r="L284" i="28"/>
  <c r="Q284" i="28" s="1"/>
  <c r="X266" i="28"/>
  <c r="X267" i="28"/>
  <c r="E143" i="28"/>
  <c r="L143" i="28" s="1"/>
  <c r="M18" i="73" s="1"/>
  <c r="F18" i="73" s="1"/>
  <c r="F21" i="80" s="1"/>
  <c r="E230" i="1"/>
  <c r="E10" i="28"/>
  <c r="L10" i="28" s="1"/>
  <c r="L261" i="28" s="1"/>
  <c r="G12" i="1"/>
  <c r="Y66" i="28"/>
  <c r="G13" i="1"/>
  <c r="G14" i="1"/>
  <c r="G15" i="1"/>
  <c r="G16" i="1"/>
  <c r="G17" i="1"/>
  <c r="E91" i="28"/>
  <c r="L91" i="28" s="1"/>
  <c r="O133" i="28"/>
  <c r="E237" i="1"/>
  <c r="O65" i="28"/>
  <c r="O19" i="28"/>
  <c r="E243" i="1"/>
  <c r="X268" i="28"/>
  <c r="Y55" i="28"/>
  <c r="F9" i="28"/>
  <c r="Y136" i="28"/>
  <c r="E249" i="1"/>
  <c r="H199" i="1"/>
  <c r="F230" i="1"/>
  <c r="F250" i="1" s="1"/>
  <c r="Y156" i="28"/>
  <c r="L8" i="80" l="1"/>
  <c r="N21" i="80"/>
  <c r="K9" i="73"/>
  <c r="F9" i="73" s="1"/>
  <c r="L11" i="80"/>
  <c r="D20" i="73"/>
  <c r="G143" i="28"/>
  <c r="F143" i="28"/>
  <c r="D12" i="73"/>
  <c r="F14" i="73"/>
  <c r="D13" i="73"/>
  <c r="F13" i="73" s="1"/>
  <c r="D15" i="73"/>
  <c r="F15" i="73" s="1"/>
  <c r="K8" i="73"/>
  <c r="L8" i="73" s="1"/>
  <c r="L10" i="80" s="1"/>
  <c r="E8" i="73"/>
  <c r="K6" i="73"/>
  <c r="L6" i="73" s="1"/>
  <c r="L9" i="80" s="1"/>
  <c r="L265" i="28"/>
  <c r="B19" i="71"/>
  <c r="B21" i="71" s="1"/>
  <c r="G19" i="71" s="1"/>
  <c r="B9" i="71"/>
  <c r="F27" i="71" s="1"/>
  <c r="X231" i="28"/>
  <c r="F34" i="28"/>
  <c r="G178" i="28"/>
  <c r="Q178" i="28" s="1"/>
  <c r="Q138" i="28"/>
  <c r="F80" i="28"/>
  <c r="Q153" i="28"/>
  <c r="G153" i="28" s="1"/>
  <c r="Q120" i="28"/>
  <c r="G120" i="28" s="1"/>
  <c r="F164" i="28"/>
  <c r="Q55" i="28"/>
  <c r="G55" i="28" s="1"/>
  <c r="F131" i="28"/>
  <c r="Q168" i="28"/>
  <c r="G168" i="28" s="1"/>
  <c r="Y280" i="28"/>
  <c r="Q280" i="28"/>
  <c r="Y281" i="28"/>
  <c r="Q281" i="28"/>
  <c r="Q151" i="28"/>
  <c r="Y237" i="28"/>
  <c r="Y279" i="28"/>
  <c r="Q279" i="28"/>
  <c r="Y122" i="28"/>
  <c r="Q122" i="28"/>
  <c r="G122" i="28" s="1"/>
  <c r="Y238" i="28"/>
  <c r="Y239" i="28"/>
  <c r="Y278" i="28"/>
  <c r="Q278" i="28"/>
  <c r="Q131" i="28"/>
  <c r="G131" i="28" s="1"/>
  <c r="F162" i="28"/>
  <c r="Y162" i="28"/>
  <c r="F148" i="28"/>
  <c r="Y148" i="28"/>
  <c r="Y283" i="28"/>
  <c r="X151" i="28"/>
  <c r="Y151" i="28"/>
  <c r="Y73" i="28"/>
  <c r="X129" i="28"/>
  <c r="Y129" i="28"/>
  <c r="F214" i="28"/>
  <c r="Y214" i="28"/>
  <c r="F18" i="28"/>
  <c r="Y18" i="28"/>
  <c r="F142" i="28"/>
  <c r="Y142" i="28"/>
  <c r="X21" i="28"/>
  <c r="Y21" i="28"/>
  <c r="F213" i="28"/>
  <c r="Y213" i="28"/>
  <c r="X241" i="28"/>
  <c r="Y241" i="28"/>
  <c r="F76" i="28"/>
  <c r="Y76" i="28"/>
  <c r="F25" i="28"/>
  <c r="Y25" i="28"/>
  <c r="X201" i="28"/>
  <c r="Y201" i="28"/>
  <c r="X117" i="28"/>
  <c r="Y117" i="28"/>
  <c r="F228" i="28"/>
  <c r="Y228" i="28"/>
  <c r="X178" i="28"/>
  <c r="Y178" i="28"/>
  <c r="X78" i="28"/>
  <c r="Y78" i="28"/>
  <c r="X5" i="28"/>
  <c r="Y5" i="28"/>
  <c r="X150" i="28"/>
  <c r="Y150" i="28"/>
  <c r="F140" i="28"/>
  <c r="Y140" i="28"/>
  <c r="F138" i="28"/>
  <c r="Y138" i="28"/>
  <c r="X127" i="28"/>
  <c r="Y127" i="28"/>
  <c r="X242" i="28"/>
  <c r="Y242" i="28"/>
  <c r="F63" i="28"/>
  <c r="Y63" i="28"/>
  <c r="X216" i="28"/>
  <c r="Y216" i="28"/>
  <c r="X58" i="28"/>
  <c r="Y58" i="28"/>
  <c r="X206" i="28"/>
  <c r="Y206" i="28"/>
  <c r="F137" i="28"/>
  <c r="Y137" i="28"/>
  <c r="X16" i="28"/>
  <c r="Y16" i="28"/>
  <c r="X219" i="28"/>
  <c r="Y219" i="28"/>
  <c r="X208" i="28"/>
  <c r="Y208" i="28"/>
  <c r="F235" i="28"/>
  <c r="Y235" i="28"/>
  <c r="X72" i="28"/>
  <c r="Y72" i="28"/>
  <c r="F169" i="28"/>
  <c r="Y169" i="28"/>
  <c r="Y180" i="28"/>
  <c r="X74" i="28"/>
  <c r="Y74" i="28"/>
  <c r="F227" i="28"/>
  <c r="Y227" i="28"/>
  <c r="F184" i="28"/>
  <c r="Y184" i="28"/>
  <c r="Y284" i="28"/>
  <c r="F135" i="28"/>
  <c r="Y135" i="28"/>
  <c r="X245" i="28"/>
  <c r="Y245" i="28"/>
  <c r="F130" i="28"/>
  <c r="Y130" i="28"/>
  <c r="F224" i="28"/>
  <c r="Y224" i="28"/>
  <c r="X133" i="28"/>
  <c r="Y133" i="28"/>
  <c r="X197" i="28"/>
  <c r="Y197" i="28"/>
  <c r="X222" i="28"/>
  <c r="Y222" i="28"/>
  <c r="X36" i="28"/>
  <c r="Y36" i="28"/>
  <c r="X190" i="28"/>
  <c r="Y190" i="28"/>
  <c r="X53" i="28"/>
  <c r="Y53" i="28"/>
  <c r="X198" i="28"/>
  <c r="Y198" i="28"/>
  <c r="F223" i="28"/>
  <c r="Y223" i="28"/>
  <c r="X132" i="28"/>
  <c r="Y132" i="28"/>
  <c r="X14" i="28"/>
  <c r="Y14" i="28"/>
  <c r="X167" i="28"/>
  <c r="Y167" i="28"/>
  <c r="X185" i="28"/>
  <c r="Y185" i="28"/>
  <c r="X200" i="28"/>
  <c r="Y200" i="28"/>
  <c r="Y65" i="28"/>
  <c r="F177" i="28"/>
  <c r="Y177" i="28"/>
  <c r="F218" i="28"/>
  <c r="Y218" i="28"/>
  <c r="X17" i="28"/>
  <c r="Y17" i="28"/>
  <c r="F212" i="28"/>
  <c r="Y212" i="28"/>
  <c r="F77" i="28"/>
  <c r="Y77" i="28"/>
  <c r="F226" i="28"/>
  <c r="Y226" i="28"/>
  <c r="X80" i="28"/>
  <c r="Y80" i="28"/>
  <c r="X210" i="28"/>
  <c r="Y210" i="28"/>
  <c r="F9" i="30"/>
  <c r="H9" i="30" s="1"/>
  <c r="Y57" i="28"/>
  <c r="X179" i="28"/>
  <c r="Y179" i="28"/>
  <c r="X33" i="28"/>
  <c r="Y33" i="28"/>
  <c r="F174" i="28"/>
  <c r="Y174" i="28"/>
  <c r="X20" i="28"/>
  <c r="Y20" i="28"/>
  <c r="X160" i="28"/>
  <c r="Y160" i="28"/>
  <c r="X195" i="28"/>
  <c r="Y195" i="28"/>
  <c r="F144" i="28"/>
  <c r="Y144" i="28"/>
  <c r="Y183" i="28"/>
  <c r="F116" i="28"/>
  <c r="Y116" i="28"/>
  <c r="X194" i="28"/>
  <c r="Y194" i="28"/>
  <c r="X199" i="28"/>
  <c r="Y199" i="28"/>
  <c r="X118" i="28"/>
  <c r="Y118" i="28"/>
  <c r="X24" i="28"/>
  <c r="Y24" i="28"/>
  <c r="X131" i="28"/>
  <c r="Y131" i="28"/>
  <c r="F20" i="30"/>
  <c r="Y60" i="28"/>
  <c r="X164" i="28"/>
  <c r="Y164" i="28"/>
  <c r="X12" i="28"/>
  <c r="Y12" i="28"/>
  <c r="F211" i="28"/>
  <c r="Y211" i="28"/>
  <c r="Y79" i="28"/>
  <c r="X165" i="28"/>
  <c r="Y165" i="28"/>
  <c r="X34" i="28"/>
  <c r="Y34" i="28"/>
  <c r="F8" i="28"/>
  <c r="Y8" i="28"/>
  <c r="X230" i="28"/>
  <c r="Y230" i="28"/>
  <c r="X204" i="28"/>
  <c r="Y204" i="28"/>
  <c r="X157" i="28"/>
  <c r="Y157" i="28"/>
  <c r="X75" i="28"/>
  <c r="Y75" i="28"/>
  <c r="X155" i="28"/>
  <c r="Y155" i="28"/>
  <c r="X32" i="28"/>
  <c r="Y32" i="28"/>
  <c r="X119" i="28"/>
  <c r="Y119" i="28"/>
  <c r="X7" i="28"/>
  <c r="Y7" i="28"/>
  <c r="X196" i="28"/>
  <c r="Y196" i="28"/>
  <c r="X69" i="28"/>
  <c r="Y69" i="28"/>
  <c r="X215" i="28"/>
  <c r="Y215" i="28"/>
  <c r="F62" i="28"/>
  <c r="Y62" i="28"/>
  <c r="X202" i="28"/>
  <c r="Y202" i="28"/>
  <c r="X52" i="28"/>
  <c r="Y52" i="28"/>
  <c r="X171" i="28"/>
  <c r="Y171" i="28"/>
  <c r="X15" i="28"/>
  <c r="Y15" i="28"/>
  <c r="F146" i="28"/>
  <c r="Y146" i="28"/>
  <c r="X9" i="28"/>
  <c r="Y9" i="28"/>
  <c r="F149" i="28"/>
  <c r="Y149" i="28"/>
  <c r="Y282" i="28"/>
  <c r="X126" i="28"/>
  <c r="Y126" i="28"/>
  <c r="F175" i="28"/>
  <c r="Y175" i="28"/>
  <c r="F64" i="28"/>
  <c r="Y64" i="28"/>
  <c r="X124" i="28"/>
  <c r="Y124" i="28"/>
  <c r="F145" i="28"/>
  <c r="Y145" i="28"/>
  <c r="F35" i="28"/>
  <c r="Y35" i="28"/>
  <c r="X70" i="28"/>
  <c r="Y70" i="28"/>
  <c r="F221" i="28"/>
  <c r="Y221" i="28"/>
  <c r="X220" i="28"/>
  <c r="Y220" i="28"/>
  <c r="F182" i="28"/>
  <c r="Y182" i="28"/>
  <c r="F31" i="28"/>
  <c r="Y31" i="28"/>
  <c r="X121" i="28"/>
  <c r="Y121" i="28"/>
  <c r="X203" i="28"/>
  <c r="Y203" i="28"/>
  <c r="X225" i="28"/>
  <c r="Y225" i="28"/>
  <c r="X232" i="28"/>
  <c r="Y232" i="28"/>
  <c r="X153" i="28"/>
  <c r="Y153" i="28"/>
  <c r="F71" i="28"/>
  <c r="Y71" i="28"/>
  <c r="X152" i="28"/>
  <c r="Y152" i="28"/>
  <c r="F6" i="28"/>
  <c r="Y6" i="28"/>
  <c r="F186" i="28"/>
  <c r="Y186" i="28"/>
  <c r="F59" i="28"/>
  <c r="Y59" i="28"/>
  <c r="F181" i="28"/>
  <c r="Y181" i="28"/>
  <c r="F27" i="28"/>
  <c r="Y27" i="28"/>
  <c r="X189" i="28"/>
  <c r="Y189" i="28"/>
  <c r="F30" i="28"/>
  <c r="Y30" i="28"/>
  <c r="X163" i="28"/>
  <c r="Y163" i="28"/>
  <c r="X13" i="28"/>
  <c r="Y13" i="28"/>
  <c r="F141" i="28"/>
  <c r="Y141" i="28"/>
  <c r="X240" i="28"/>
  <c r="Y240" i="28"/>
  <c r="F139" i="28"/>
  <c r="Y139" i="28"/>
  <c r="F236" i="28"/>
  <c r="Y236" i="28"/>
  <c r="X61" i="28"/>
  <c r="Y61" i="28"/>
  <c r="X158" i="28"/>
  <c r="Y158" i="28"/>
  <c r="F56" i="28"/>
  <c r="Y56" i="28"/>
  <c r="F29" i="28"/>
  <c r="Y29" i="28"/>
  <c r="X120" i="28"/>
  <c r="Y120" i="28"/>
  <c r="F217" i="28"/>
  <c r="Y217" i="28"/>
  <c r="X168" i="28"/>
  <c r="Y168" i="28"/>
  <c r="F172" i="28"/>
  <c r="Y172" i="28"/>
  <c r="X128" i="28"/>
  <c r="Y128" i="28"/>
  <c r="X125" i="28"/>
  <c r="Y125" i="28"/>
  <c r="X187" i="28"/>
  <c r="Y187" i="28"/>
  <c r="F28" i="28"/>
  <c r="Y28" i="28"/>
  <c r="X209" i="28"/>
  <c r="Y209" i="28"/>
  <c r="X207" i="28"/>
  <c r="Y207" i="28"/>
  <c r="X188" i="28"/>
  <c r="Y188" i="28"/>
  <c r="X115" i="28"/>
  <c r="Y115" i="28"/>
  <c r="X166" i="28"/>
  <c r="Y166" i="28"/>
  <c r="X123" i="28"/>
  <c r="Y123" i="28"/>
  <c r="F23" i="28"/>
  <c r="Y23" i="28"/>
  <c r="X205" i="28"/>
  <c r="Y205" i="28"/>
  <c r="X176" i="28"/>
  <c r="Y176" i="28"/>
  <c r="X54" i="28"/>
  <c r="Y54" i="28"/>
  <c r="X173" i="28"/>
  <c r="Y173" i="28"/>
  <c r="X19" i="28"/>
  <c r="Y19" i="28"/>
  <c r="F159" i="28"/>
  <c r="Y159" i="28"/>
  <c r="F22" i="28"/>
  <c r="Y22" i="28"/>
  <c r="F154" i="28"/>
  <c r="Y154" i="28"/>
  <c r="X11" i="28"/>
  <c r="Y11" i="28"/>
  <c r="X89" i="28"/>
  <c r="Y89" i="28"/>
  <c r="F134" i="28"/>
  <c r="Y134" i="28"/>
  <c r="X234" i="28"/>
  <c r="Y234" i="28"/>
  <c r="X26" i="28"/>
  <c r="Y26" i="28"/>
  <c r="F147" i="28"/>
  <c r="Y147" i="28"/>
  <c r="F37" i="28"/>
  <c r="Y37" i="28"/>
  <c r="X4" i="28"/>
  <c r="Y4" i="28"/>
  <c r="X122" i="28"/>
  <c r="F122" i="28"/>
  <c r="X278" i="28"/>
  <c r="X283" i="28"/>
  <c r="X280" i="28"/>
  <c r="X279" i="28"/>
  <c r="X291" i="28"/>
  <c r="X281" i="28"/>
  <c r="X284" i="28"/>
  <c r="X282" i="28"/>
  <c r="F11" i="30"/>
  <c r="H11" i="30" s="1"/>
  <c r="F61" i="28"/>
  <c r="F17" i="30"/>
  <c r="F171" i="28"/>
  <c r="X277" i="28"/>
  <c r="F60" i="28"/>
  <c r="F26" i="28"/>
  <c r="F24" i="28"/>
  <c r="X238" i="28"/>
  <c r="X237" i="28"/>
  <c r="X239" i="28"/>
  <c r="X18" i="28"/>
  <c r="X130" i="28"/>
  <c r="X212" i="28"/>
  <c r="F52" i="28"/>
  <c r="F7" i="30"/>
  <c r="H7" i="30" s="1"/>
  <c r="F73" i="28"/>
  <c r="X116" i="28"/>
  <c r="F120" i="28"/>
  <c r="X35" i="28"/>
  <c r="X57" i="28"/>
  <c r="X139" i="28"/>
  <c r="X223" i="28"/>
  <c r="X137" i="28"/>
  <c r="F8" i="30"/>
  <c r="F53" i="28"/>
  <c r="X138" i="28"/>
  <c r="F57" i="28"/>
  <c r="X186" i="28"/>
  <c r="X56" i="28"/>
  <c r="D1" i="28"/>
  <c r="G151" i="28"/>
  <c r="X60" i="28"/>
  <c r="H239" i="28"/>
  <c r="Q239" i="28" s="1"/>
  <c r="F14" i="30"/>
  <c r="X227" i="28"/>
  <c r="X62" i="28"/>
  <c r="X140" i="28"/>
  <c r="X182" i="28"/>
  <c r="X147" i="28"/>
  <c r="X141" i="28"/>
  <c r="G164" i="28"/>
  <c r="Q164" i="28" s="1"/>
  <c r="X148" i="28"/>
  <c r="X218" i="28"/>
  <c r="X28" i="28"/>
  <c r="X64" i="28"/>
  <c r="X226" i="28"/>
  <c r="X156" i="28"/>
  <c r="X31" i="28"/>
  <c r="X170" i="28"/>
  <c r="X77" i="28"/>
  <c r="X217" i="28"/>
  <c r="X174" i="28"/>
  <c r="X134" i="28"/>
  <c r="X214" i="28"/>
  <c r="X23" i="28"/>
  <c r="F170" i="28"/>
  <c r="X162" i="28"/>
  <c r="X181" i="28"/>
  <c r="X27" i="28"/>
  <c r="X235" i="28"/>
  <c r="X22" i="28"/>
  <c r="X65" i="28"/>
  <c r="X146" i="28"/>
  <c r="X169" i="28"/>
  <c r="X76" i="28"/>
  <c r="X142" i="28"/>
  <c r="X25" i="28"/>
  <c r="F234" i="28"/>
  <c r="X8" i="28"/>
  <c r="X224" i="28"/>
  <c r="X154" i="28"/>
  <c r="X73" i="28"/>
  <c r="X211" i="28"/>
  <c r="X236" i="28"/>
  <c r="X144" i="28"/>
  <c r="X228" i="28"/>
  <c r="X183" i="28"/>
  <c r="X37" i="28"/>
  <c r="F151" i="28"/>
  <c r="Y143" i="28"/>
  <c r="X221" i="28"/>
  <c r="X135" i="28"/>
  <c r="X59" i="28"/>
  <c r="X184" i="28"/>
  <c r="X63" i="28"/>
  <c r="X149" i="28"/>
  <c r="X180" i="28"/>
  <c r="X175" i="28"/>
  <c r="X29" i="28"/>
  <c r="X172" i="28"/>
  <c r="H225" i="28"/>
  <c r="Q225" i="28" s="1"/>
  <c r="X213" i="28"/>
  <c r="X136" i="28"/>
  <c r="X55" i="28"/>
  <c r="X66" i="28"/>
  <c r="F58" i="28"/>
  <c r="X145" i="28"/>
  <c r="X159" i="28"/>
  <c r="X30" i="28"/>
  <c r="X6" i="28"/>
  <c r="X177" i="28"/>
  <c r="X79" i="28"/>
  <c r="X71" i="28"/>
  <c r="F17" i="28"/>
  <c r="F5" i="28"/>
  <c r="F179" i="28"/>
  <c r="F55" i="28"/>
  <c r="G34" i="28"/>
  <c r="Q34" i="28" s="1"/>
  <c r="G65" i="28"/>
  <c r="Q65" i="28" s="1"/>
  <c r="F66" i="28"/>
  <c r="F65" i="28"/>
  <c r="F21" i="28"/>
  <c r="E250" i="1"/>
  <c r="H238" i="28"/>
  <c r="Q238" i="28" s="1"/>
  <c r="G21" i="28"/>
  <c r="Q21" i="28" s="1"/>
  <c r="G179" i="28"/>
  <c r="Q179" i="28" s="1"/>
  <c r="F185" i="28"/>
  <c r="F188" i="28"/>
  <c r="F133" i="28"/>
  <c r="G133" i="28"/>
  <c r="Q133" i="28" s="1"/>
  <c r="F153" i="28"/>
  <c r="F117" i="28"/>
  <c r="F168" i="28"/>
  <c r="F167" i="28"/>
  <c r="F29" i="30"/>
  <c r="F75" i="28"/>
  <c r="F74" i="28"/>
  <c r="F28" i="30"/>
  <c r="H28" i="30" s="1"/>
  <c r="F33" i="28"/>
  <c r="F7" i="28"/>
  <c r="G163" i="28"/>
  <c r="Q163" i="28" s="1"/>
  <c r="F163" i="28"/>
  <c r="F79" i="28"/>
  <c r="G79" i="28"/>
  <c r="Q79" i="28" s="1"/>
  <c r="G80" i="28"/>
  <c r="Q80" i="28" s="1"/>
  <c r="G33" i="28"/>
  <c r="Q33" i="28" s="1"/>
  <c r="F72" i="28"/>
  <c r="F26" i="30"/>
  <c r="H26" i="30" s="1"/>
  <c r="F178" i="28"/>
  <c r="H220" i="28"/>
  <c r="Q220" i="28" s="1"/>
  <c r="F219" i="28"/>
  <c r="H237" i="28"/>
  <c r="Q237" i="28" s="1"/>
  <c r="F230" i="28"/>
  <c r="F10" i="30"/>
  <c r="F222" i="28"/>
  <c r="D18" i="73" l="1"/>
  <c r="F32" i="71"/>
  <c r="F23" i="71"/>
  <c r="F29" i="71" s="1"/>
  <c r="G239" i="28"/>
  <c r="G237" i="28"/>
  <c r="X10" i="28"/>
  <c r="Y10" i="28"/>
  <c r="F91" i="28"/>
  <c r="Y91" i="28"/>
  <c r="G238" i="28"/>
  <c r="F239" i="28"/>
  <c r="F10" i="28"/>
  <c r="X91" i="28"/>
  <c r="X143" i="28"/>
  <c r="F225" i="28"/>
  <c r="F238" i="28"/>
  <c r="F30" i="30"/>
  <c r="H29" i="30"/>
  <c r="H30" i="30" s="1"/>
  <c r="F220" i="28"/>
  <c r="F12" i="30"/>
  <c r="H10" i="30"/>
  <c r="H12" i="30" s="1"/>
  <c r="F237" i="28"/>
  <c r="D49" i="80" l="1"/>
  <c r="F49" i="80" s="1"/>
  <c r="F30" i="71"/>
  <c r="L295" i="28"/>
  <c r="J295" i="28"/>
  <c r="H32" i="30"/>
  <c r="F15" i="30"/>
  <c r="F18" i="30" s="1"/>
  <c r="F32" i="30"/>
  <c r="C22" i="30" l="1"/>
  <c r="F21" i="30"/>
  <c r="C21" i="30"/>
  <c r="F23" i="73" l="1"/>
</calcChain>
</file>

<file path=xl/sharedStrings.xml><?xml version="1.0" encoding="utf-8"?>
<sst xmlns="http://schemas.openxmlformats.org/spreadsheetml/2006/main" count="3078" uniqueCount="1560">
  <si>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</si>
  <si>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</si>
  <si>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</si>
  <si>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</si>
  <si>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</si>
  <si>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</si>
  <si>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</si>
  <si>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</si>
  <si>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</si>
  <si>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</si>
  <si>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</si>
  <si>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</si>
  <si>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</si>
  <si>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</si>
  <si>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</si>
  <si>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</si>
  <si>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</si>
  <si>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</si>
  <si>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</si>
  <si>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</si>
  <si>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</si>
  <si>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</si>
  <si>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</si>
  <si>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</si>
  <si>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</si>
  <si>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</si>
  <si>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</si>
  <si>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</si>
  <si>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</si>
  <si>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</si>
  <si>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</si>
  <si>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 xml:space="preserve"> </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</si>
  <si>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</si>
  <si>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</si>
  <si>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</si>
  <si>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</si>
  <si>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</si>
  <si>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</si>
  <si>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</si>
  <si>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</si>
  <si>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</si>
  <si>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</si>
  <si>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</si>
  <si>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</si>
  <si>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</si>
  <si>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</si>
  <si>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</si>
  <si>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</si>
  <si>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</si>
  <si>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</si>
  <si>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</si>
  <si>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</si>
  <si>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</si>
  <si>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</si>
  <si>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</si>
  <si>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</si>
  <si>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</si>
  <si>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</si>
  <si>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</si>
  <si>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</si>
  <si>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</si>
  <si>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</si>
  <si>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</si>
  <si>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</si>
  <si>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</si>
  <si>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</si>
  <si>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</si>
  <si>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</si>
  <si>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</si>
  <si>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</si>
  <si>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</si>
  <si>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</si>
  <si>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</si>
  <si>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</si>
  <si>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</si>
  <si>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</si>
  <si>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</si>
  <si>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</si>
  <si>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</si>
  <si>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</si>
  <si>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</si>
  <si>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</si>
  <si>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</si>
  <si>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</si>
  <si>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</si>
  <si>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</si>
  <si>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</si>
  <si>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</si>
  <si>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</si>
  <si>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</si>
  <si>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</si>
  <si>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</si>
  <si>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</si>
  <si>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</si>
  <si>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</si>
  <si>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</si>
  <si>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</si>
  <si>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Total Expenditures (As Adjusted)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</si>
  <si>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</si>
  <si>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</si>
  <si>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</si>
  <si>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</si>
  <si>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</si>
  <si>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</si>
  <si>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</si>
  <si>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</si>
  <si>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</si>
  <si>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</si>
  <si>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</si>
  <si>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</si>
  <si>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</si>
  <si>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</si>
  <si>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</si>
  <si>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</si>
  <si>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</si>
  <si>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</si>
  <si>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</si>
  <si>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</si>
  <si>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</si>
  <si>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</si>
  <si>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</si>
  <si>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</si>
  <si>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</si>
  <si>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</si>
  <si>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</si>
  <si>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</si>
  <si>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</si>
  <si>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</si>
  <si>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</si>
  <si>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</si>
  <si>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</si>
  <si>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</si>
  <si>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</si>
  <si>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</si>
  <si>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</si>
  <si>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</si>
  <si>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</si>
  <si>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</si>
  <si>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</si>
  <si>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</si>
  <si>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</si>
  <si>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</si>
  <si>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</si>
  <si>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</si>
  <si>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</si>
  <si>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</si>
  <si>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</si>
  <si>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</si>
  <si>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</si>
  <si>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</si>
  <si>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</si>
  <si>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</si>
  <si>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</si>
  <si>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</si>
  <si>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</si>
  <si>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</si>
  <si>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</si>
  <si>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</si>
  <si>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</si>
  <si>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</si>
  <si>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</si>
  <si>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</si>
  <si>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</si>
  <si>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</si>
  <si>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</si>
  <si>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</si>
  <si>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</si>
  <si>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</si>
  <si>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</si>
  <si>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</si>
  <si>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</si>
  <si>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</si>
  <si>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</si>
  <si>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</si>
  <si>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</si>
  <si>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</si>
  <si>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</si>
  <si>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</si>
  <si>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</si>
  <si>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</si>
  <si>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</si>
  <si>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</si>
  <si>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</si>
  <si>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</si>
  <si>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</si>
  <si>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</si>
  <si>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</si>
  <si>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</si>
  <si>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</si>
  <si>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</si>
  <si>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</si>
  <si>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</si>
  <si>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</si>
  <si>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</si>
  <si>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</si>
  <si>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</si>
  <si>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</si>
  <si>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</si>
  <si>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</si>
  <si>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</si>
  <si>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</si>
  <si>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</si>
  <si>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</si>
  <si>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</si>
  <si>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</si>
  <si>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</si>
  <si>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</si>
  <si>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</si>
  <si>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</si>
  <si>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</si>
  <si>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</si>
  <si>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</si>
  <si>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</si>
  <si>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</si>
  <si>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</si>
  <si>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</si>
  <si>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</si>
  <si>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</si>
  <si>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</si>
  <si>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</si>
  <si>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</si>
  <si>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</si>
  <si>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</si>
  <si>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</si>
  <si>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</si>
  <si>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</si>
  <si>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</si>
  <si>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</si>
  <si>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</si>
  <si>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</si>
  <si>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</si>
  <si>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</si>
  <si>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</si>
  <si>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</si>
  <si>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</si>
  <si>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</si>
  <si>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</si>
  <si>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</si>
  <si>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</si>
  <si>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</si>
  <si>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</si>
  <si>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</si>
  <si>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</si>
  <si>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</si>
  <si>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</si>
  <si>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</si>
  <si>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</si>
  <si>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</si>
  <si>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</si>
  <si>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</si>
  <si>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</si>
  <si>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</si>
  <si>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</si>
  <si>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</si>
  <si>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</si>
  <si>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</si>
  <si>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OPEB- Actuarial Value of Assets</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</si>
  <si>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</si>
  <si>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</si>
  <si>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</si>
  <si>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</si>
  <si>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</si>
  <si>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</si>
  <si>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</si>
  <si>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</si>
  <si>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</si>
  <si>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</si>
  <si>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</si>
  <si>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</si>
  <si>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</si>
  <si>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Comb-Proprietary Funds- Inventories &amp; Prepaids in Curr Assets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</si>
  <si>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</si>
  <si>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</si>
  <si>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</si>
  <si>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</si>
  <si>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</si>
  <si>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</si>
  <si>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</si>
  <si>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</si>
  <si>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</si>
  <si>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</si>
  <si>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</si>
  <si>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</si>
  <si>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</si>
  <si>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</si>
  <si>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</si>
  <si>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</si>
  <si>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</si>
  <si>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</si>
  <si>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</si>
  <si>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</si>
  <si>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</si>
  <si>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 xml:space="preserve">Combined Totals of all Proprietary Funds - Depreciation &amp; Amortization Expense </t>
  </si>
  <si>
    <t>Combined Totals of all Proprietary Funds - Cash Flow from Operating</t>
  </si>
  <si>
    <t>Hospital-EF- Unrestricted Cash &amp; Invest</t>
  </si>
  <si>
    <t xml:space="preserve">Hospital-EF- Total LT Debt (non current portion only) (BS) </t>
  </si>
  <si>
    <t>Hospital-EF- Principal Paid on LTD (SCF)</t>
  </si>
  <si>
    <t>Hospital-EF- Net Patient Revenue (IS)</t>
  </si>
  <si>
    <t>Hospital-EF- Interest expenses (IS)</t>
  </si>
  <si>
    <t>Hospital-EF- Capital Outlays</t>
  </si>
  <si>
    <t xml:space="preserve">Counties Only- Local Current Expense to BOEs </t>
  </si>
  <si>
    <t xml:space="preserve">Counties Only- Capital Outlay Contribution to BOEs </t>
  </si>
  <si>
    <t xml:space="preserve">BOE Only-- Local Current Exp. Revenue from County. </t>
  </si>
  <si>
    <t xml:space="preserve">BOE- Only-- Capital outlay revenue from county (GF, SRF, CPF) </t>
  </si>
  <si>
    <t>Combined Totals of all Proprietary Funds - Capital Contributions</t>
  </si>
  <si>
    <t>Hospital-EF- Capital contributions (only positive)</t>
  </si>
  <si>
    <t>GF- Total cash &amp; investments (restricted &amp; unrestricted)</t>
  </si>
  <si>
    <t>All cash and investments (unit-wide, w/ fiduciary fds, &amp; restricted cash)</t>
  </si>
  <si>
    <t>BOE Only- Timber Receipts Revenue</t>
  </si>
  <si>
    <t>Public Housing Authority- HUD Capital grants amount (SCF, don't include operating grants)</t>
  </si>
  <si>
    <t>Public Housing Authority- Amount paid for capital asset acquisition (SCF)</t>
  </si>
  <si>
    <t>Public Housing Authority - Operating income (loss)</t>
  </si>
  <si>
    <t>Units with Water Sewer Operations have. 01</t>
  </si>
  <si>
    <t>Select Your Unit's Name from the drop down box in cell D2</t>
  </si>
  <si>
    <t>Dashboard,
Water Sewer Dashboard</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</si>
  <si>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</si>
  <si>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</si>
  <si>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</si>
  <si>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</si>
  <si>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</si>
  <si>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</si>
  <si>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</si>
  <si>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</si>
  <si>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</si>
  <si>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</si>
  <si>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</si>
  <si>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</si>
  <si>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</si>
  <si>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</si>
  <si>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</si>
  <si>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</si>
  <si>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</si>
  <si>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</si>
  <si>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</si>
  <si>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</si>
  <si>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</si>
  <si>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</si>
  <si>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</si>
  <si>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</si>
  <si>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</si>
  <si>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</si>
  <si>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</si>
  <si>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</si>
  <si>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</si>
  <si>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</si>
  <si>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</si>
  <si>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Review Summary; Electric Memo</t>
  </si>
  <si>
    <t>Advance To: Interfund loan receivable-portion of repayment plan longer than 12 months</t>
  </si>
  <si>
    <t>GF-Advance To - Asset</t>
  </si>
  <si>
    <t>WS -  Advance To - Asset</t>
  </si>
  <si>
    <t>WS - Advance From - Liability</t>
  </si>
  <si>
    <t>EF - Advance To - Asset</t>
  </si>
  <si>
    <t>EF - Advance from - Liability</t>
  </si>
  <si>
    <t>Gen Fund - Total Expenditures</t>
  </si>
  <si>
    <t>Gen Fund - Proceeds from LTD</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</si>
  <si>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</si>
  <si>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</si>
  <si>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</si>
  <si>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</si>
  <si>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Fiscal Review</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</si>
  <si>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</si>
  <si>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</si>
  <si>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</si>
  <si>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</si>
  <si>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</si>
  <si>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</si>
  <si>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</si>
  <si>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</si>
  <si>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Indicate if your water/sewer system:
50 - Became Operational
51 - Ceased Operations
52 - No Change</t>
  </si>
  <si>
    <t>50 - Became Operational</t>
  </si>
  <si>
    <t>51 - Ceased Operations</t>
  </si>
  <si>
    <t>52 - No Change</t>
  </si>
  <si>
    <t>Status of Water Sewer</t>
  </si>
  <si>
    <t>Gen Fund - Current Liabilities</t>
  </si>
  <si>
    <t>C-EF- Current Assets (unrestricted, excl. inventory and prepaids)</t>
  </si>
  <si>
    <t>GF- Proceeds from all LT debt issuance (COPs, IPs, Notes, CLs, etc.)</t>
  </si>
  <si>
    <t>Hospital-EF - Patient A/Rec, net</t>
  </si>
  <si>
    <t>Hospital-EF- Total Gross Capital Assets (BS), w/o acc. dep.</t>
  </si>
  <si>
    <t xml:space="preserve">Hospital-EF- Unrestricted Fund Equity/Net Assets </t>
  </si>
  <si>
    <t>Electric - Total Current Assets</t>
  </si>
  <si>
    <t>Hospital-EF - Total Operating Revenues</t>
  </si>
  <si>
    <t xml:space="preserve">Hospital-EF- Total Operating Expenses. May include Interest Exp. </t>
  </si>
  <si>
    <t>Gov - Select Current Liabilities</t>
  </si>
  <si>
    <t>Yes  or "1" indicates unit has defined benefit other than the ones adm. By the state</t>
  </si>
  <si>
    <t>WS-Advance From - Liability</t>
  </si>
  <si>
    <t>WS-Advance To - Asset</t>
  </si>
  <si>
    <t>EF-Advance From - Liability</t>
  </si>
  <si>
    <t>EF-Advance To - Asset</t>
  </si>
  <si>
    <t>TDA- Government Wide current and long-term debt</t>
  </si>
  <si>
    <t>Bus- Total Expenses</t>
  </si>
  <si>
    <t>Bus-Total Revenues</t>
  </si>
  <si>
    <t>County only-timber receipts sent to the schools</t>
  </si>
  <si>
    <t>GF - Advance from</t>
  </si>
  <si>
    <t>Local Curr Exp trx to Fund 8</t>
  </si>
  <si>
    <t>Capital Outlay trx to Fund 8</t>
  </si>
  <si>
    <t>County-supplemental school tax reported in Agency fund</t>
  </si>
  <si>
    <t xml:space="preserve">This is a description question that is retained on the data input tab - This information is not uploaded to CCH or our data base </t>
  </si>
  <si>
    <t>Statement of Activities                               (all governmental and business funds)</t>
  </si>
  <si>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</si>
  <si>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</si>
  <si>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</si>
  <si>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</si>
  <si>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</si>
  <si>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</si>
  <si>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</si>
  <si>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</si>
  <si>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</si>
  <si>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If you have LEO pension assets and are reporting under GASB 68 please enter "Plan Fiduciary Net Position" which can be found on your RSI schedules and the Notes.</t>
  </si>
  <si>
    <t>Health benefits - total OPEB liability</t>
  </si>
  <si>
    <t>Health benefits- OPEB plan fiduciary net position</t>
  </si>
  <si>
    <t>Vision benefits - total OPEB liability</t>
  </si>
  <si>
    <t>Vision benefits - OPEB plan fiduciary net position</t>
  </si>
  <si>
    <t>Dental benefits - OPEB plan fiduciary net position</t>
  </si>
  <si>
    <t>Other benefits - total OPEB liability</t>
  </si>
  <si>
    <t>Other benefits - OPEB plan fiduciary net position</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</si>
  <si>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</si>
  <si>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</si>
  <si>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OPEB
 Note or RSI</t>
  </si>
  <si>
    <t>Financial opinion - enter "1" for clean Opinion or "2" for other than clean opinion</t>
  </si>
  <si>
    <t>Dental benefits - total OPEB liability</t>
  </si>
  <si>
    <t>Notes or formulas</t>
  </si>
  <si>
    <t>OPEB
RSI</t>
  </si>
  <si>
    <t>LEO
RSI</t>
  </si>
  <si>
    <t>Do you expect to issue debt requiring LGC approval within 12 months from the date that the audit is submitted - select "1" for yes and "2" for no</t>
  </si>
  <si>
    <t>Debt Issued within next 12 months</t>
  </si>
  <si>
    <t/>
  </si>
  <si>
    <t>Health benefits - plan's fiduary net postion as a % of total OPEB liability</t>
  </si>
  <si>
    <t>Vision benefits - plan's fiduary net postion as a % of total OPEB liability</t>
  </si>
  <si>
    <t>Dental benefits - plan's fiduary net postion as a % of total OPEB liability</t>
  </si>
  <si>
    <t>Other benefits - plan's fiduary net postion as a % of total OPEB liability</t>
  </si>
  <si>
    <t>LEOSSA – What is the plan’s fiduciary net position as a percentage of the total pension liability?  Please enter as percentage value; for example, 83.5% should be entered as 83.5.  If assets have not been set aside in a trust, please enter 0.0</t>
  </si>
  <si>
    <t>FS., OPEB  note or RSI</t>
  </si>
  <si>
    <t>Compliance opinion - enter "1" for clean Opinion or "2" for other than clean opinion</t>
  </si>
  <si>
    <t>FS., Pension note or RSI</t>
  </si>
  <si>
    <t>Notes to the Financial Statements - Pension Note</t>
  </si>
  <si>
    <t>FS., OPEB note or RSI</t>
  </si>
  <si>
    <t>Does the County collect real estate property taxes on your behalf? Select "1" for "yes and "2" for "No"</t>
  </si>
  <si>
    <t>Not loaded to CCH</t>
  </si>
  <si>
    <t>County collects real estate property on your behalf</t>
  </si>
  <si>
    <t>Net Pension Liability</t>
  </si>
  <si>
    <t>Determination of Fiscal Health</t>
  </si>
  <si>
    <t>Fund Balance, Unassigned</t>
  </si>
  <si>
    <t>Debt Service Fund</t>
  </si>
  <si>
    <t>Please enter the Total Fund Balance for any Debt Service Funds</t>
  </si>
  <si>
    <t>Water Sewer Net Position Statement</t>
  </si>
  <si>
    <t>Total Fund Balance</t>
  </si>
  <si>
    <t>Quick Ratio</t>
  </si>
  <si>
    <t>General fund:</t>
  </si>
  <si>
    <t>Electric Fund:</t>
  </si>
  <si>
    <t>Water Sewer Funds:</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</si>
  <si>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</si>
  <si>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</si>
  <si>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</si>
  <si>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</si>
  <si>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</si>
  <si>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</si>
  <si>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</si>
  <si>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</si>
  <si>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</si>
  <si>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</si>
  <si>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</si>
  <si>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</si>
  <si>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</si>
  <si>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</si>
  <si>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</si>
  <si>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</si>
  <si>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</si>
  <si>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</si>
  <si>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</si>
  <si>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</si>
  <si>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</si>
  <si>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Debt Service Funds Total Fund Balance</t>
  </si>
  <si>
    <t>Acct #</t>
  </si>
  <si>
    <t>Fund balance, Assigned (total of all assigned components)</t>
  </si>
  <si>
    <t>Amount of the General Fund Balance appropriated in next year's budget. As reported on the General Fund Balance Sheet.</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</si>
  <si>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</si>
  <si>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</si>
  <si>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</si>
  <si>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</si>
  <si>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</si>
  <si>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</si>
  <si>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</si>
  <si>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</si>
  <si>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</si>
  <si>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</si>
  <si>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</si>
  <si>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</si>
  <si>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</si>
  <si>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</si>
  <si>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</si>
  <si>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</si>
  <si>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</si>
  <si>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</si>
  <si>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</si>
  <si>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</si>
  <si>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</si>
  <si>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</si>
  <si>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</si>
  <si>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</si>
  <si>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</si>
  <si>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</si>
  <si>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MANDATORY</t>
  </si>
  <si>
    <t>All Fields Must Be Completed</t>
  </si>
  <si>
    <t>Title of Official</t>
  </si>
  <si>
    <t>Date                        (Enter as "MM/DD/YYYY")</t>
  </si>
  <si>
    <t>Telephone number</t>
  </si>
  <si>
    <t>E-mail address</t>
  </si>
  <si>
    <t>GF Exp and Tran out</t>
  </si>
  <si>
    <t>WS debt service</t>
  </si>
  <si>
    <t>100+98</t>
  </si>
  <si>
    <t>44-510</t>
  </si>
  <si>
    <t>WS Current asset</t>
  </si>
  <si>
    <t>532+20+509-533-508</t>
  </si>
  <si>
    <t>331+89</t>
  </si>
  <si>
    <t>WS Days in Sales</t>
  </si>
  <si>
    <t xml:space="preserve">Electric Days in Sales </t>
  </si>
  <si>
    <t>81*365/88</t>
  </si>
  <si>
    <t>91*365/97</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</si>
  <si>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</si>
  <si>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</si>
  <si>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</si>
  <si>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</si>
  <si>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</si>
  <si>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</si>
  <si>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</si>
  <si>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</si>
  <si>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</si>
  <si>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</si>
  <si>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Do you use prepared food/occupancy tax revenue stream to support debt?  Select "1" for Yes and "2" for No</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</si>
  <si>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</si>
  <si>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</si>
  <si>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</si>
  <si>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Unit was issued:
1) No UL
2) No UL but visit is needed
3) UL with response
4) SUL requiring written response
5) Communication to DPI</t>
  </si>
  <si>
    <t>OPEB-Plan's fiduciary net position as a % of total OPEB liability</t>
  </si>
  <si>
    <t>Do you use prepared food/occupancy tax revenue stream to support debt.  Yes =1 No=2</t>
  </si>
  <si>
    <t>(654-655-579-510)/(633-634-635-636-637-638-578)</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</si>
  <si>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</si>
  <si>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</si>
  <si>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</si>
  <si>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</si>
  <si>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Errors :  The cell to the left indicates the number of error messages on the data input tab</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</si>
  <si>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</si>
  <si>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</si>
  <si>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</si>
  <si>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</si>
  <si>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</si>
  <si>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</si>
  <si>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</si>
  <si>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</si>
  <si>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</si>
  <si>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</si>
  <si>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</si>
  <si>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</si>
  <si>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Indian Beach</t>
  </si>
  <si>
    <t>Jackson</t>
  </si>
  <si>
    <t>Kingstown</t>
  </si>
  <si>
    <t>Love Valley</t>
  </si>
  <si>
    <t>Lucama</t>
  </si>
  <si>
    <t>Lumberton</t>
  </si>
  <si>
    <t>Macclesfield</t>
  </si>
  <si>
    <t>Magnolia</t>
  </si>
  <si>
    <t>Maysville</t>
  </si>
  <si>
    <t>Hospital-EF- Change in Net Assets</t>
  </si>
  <si>
    <t>Supplemental School Tax</t>
  </si>
  <si>
    <t>For Internal Control Issues Only
1) no IC issues 
2)Immaterial IC issues
3) Unit letter for IC 
4) Consider placing on Unit Assistance List due to IC issues
5) Communication with DPI</t>
  </si>
  <si>
    <t xml:space="preserve">In your professional opinion do you believe the unit of government can best be served by:
1 - No UL
2 - UL requiring a written response from the unit
3 - UL no written  response required from unit - schedule a staff followup
4-  UL requires a written reponse from unit and a staff followup
5 - Special unit letter requiring a written response
6- Communication to DPI
</t>
  </si>
  <si>
    <t>Electric cash flow - debt service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</si>
  <si>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</si>
  <si>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</si>
  <si>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</si>
  <si>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</si>
  <si>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</si>
  <si>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</si>
  <si>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</si>
  <si>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</si>
  <si>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</si>
  <si>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</si>
  <si>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</si>
  <si>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</si>
  <si>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</si>
  <si>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Data documenting the unit's compliance with General Statue 159-25 is captured in account numbers 947, 948, 949, 950, 952, 954, 956, and 958.</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</si>
  <si>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</si>
  <si>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</si>
  <si>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</si>
  <si>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</si>
  <si>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</si>
  <si>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</si>
  <si>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</si>
  <si>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GF FBA Less Powell Bill</t>
  </si>
  <si>
    <t>GF FBA% of Exp less Powell Bill</t>
  </si>
  <si>
    <t>(506+536-4-5-6-11)+647/(532+20+509-533-508)</t>
  </si>
  <si>
    <t>(506+536-4-5-6-11)+647</t>
  </si>
  <si>
    <t>Available Fund Balance + debt service fund balance less Powell Bill / Total Expenditures and Transfers-out less bond proceeds</t>
  </si>
  <si>
    <t>N/A</t>
  </si>
  <si>
    <t>NC DEPARTMENT OF STATE TREASURER- STATE AND LOCAL GOVERNMENT FINANCE DIVISION
 AUDIT REPORT TRANSMITTAL DOCUMENT
PORTAL ADDRESS: https://nctreasurerslgfd.leapfile.net</t>
  </si>
  <si>
    <t>Transmittal Instructions</t>
  </si>
  <si>
    <t>Section 1: Contact and General Info</t>
  </si>
  <si>
    <r>
      <t>Name of Primary Governmental Unit:</t>
    </r>
    <r>
      <rPr>
        <sz val="10"/>
        <color rgb="FF00B050"/>
        <rFont val="Verdana"/>
        <family val="2"/>
      </rPr>
      <t xml:space="preserve"> </t>
    </r>
    <r>
      <rPr>
        <i/>
        <sz val="10"/>
        <rFont val="Verdana"/>
        <family val="2"/>
      </rPr>
      <t>ie. City of Dogwood = Dogwood</t>
    </r>
  </si>
  <si>
    <t>Does this unit have a Tourism Development Authority as a discretely presented component unit?</t>
  </si>
  <si>
    <t>E-mail address to notify the Primary Government Unit that report has been reviewed</t>
  </si>
  <si>
    <t xml:space="preserve">Name of Audit Firm </t>
  </si>
  <si>
    <t>Name of Auditor</t>
  </si>
  <si>
    <t>E-mail address to notify the Auditor that the report has been reviewed</t>
  </si>
  <si>
    <r>
      <t xml:space="preserve">E-mail address to send approved invoices </t>
    </r>
    <r>
      <rPr>
        <i/>
        <sz val="9.5"/>
        <rFont val="Verdana"/>
        <family val="2"/>
      </rPr>
      <t>(should be at the audit firm)</t>
    </r>
  </si>
  <si>
    <t>Unit Type</t>
  </si>
  <si>
    <t>Did the Auditor prepare the Unit's financial statements?</t>
  </si>
  <si>
    <r>
      <t xml:space="preserve">Type of Audit </t>
    </r>
    <r>
      <rPr>
        <i/>
        <sz val="10"/>
        <color rgb="FF000000"/>
        <rFont val="Verdana"/>
        <family val="2"/>
      </rPr>
      <t>(Financial Only, Yellow Book, Single Audit)</t>
    </r>
  </si>
  <si>
    <t>Who is the designated person with skills, knowledge and experience (SKE) for the unit?</t>
  </si>
  <si>
    <t>What is the designated SKE's title?</t>
  </si>
  <si>
    <t>Who is the designated SKE's employer?</t>
  </si>
  <si>
    <t>Is the Independent Auditor's Report Opinion Unmodified?</t>
  </si>
  <si>
    <r>
      <t xml:space="preserve">Is there a </t>
    </r>
    <r>
      <rPr>
        <b/>
        <i/>
        <sz val="10"/>
        <color rgb="FF000000"/>
        <rFont val="Verdana"/>
        <family val="2"/>
      </rPr>
      <t>finding</t>
    </r>
    <r>
      <rPr>
        <i/>
        <sz val="10"/>
        <color rgb="FF000000"/>
        <rFont val="Verdana"/>
        <family val="2"/>
      </rPr>
      <t xml:space="preserve"> </t>
    </r>
    <r>
      <rPr>
        <sz val="10"/>
        <color rgb="FF000000"/>
        <rFont val="Verdana"/>
        <family val="2"/>
      </rPr>
      <t xml:space="preserve">for lack of segregation of duties at this unit? </t>
    </r>
  </si>
  <si>
    <r>
      <t>Is there a</t>
    </r>
    <r>
      <rPr>
        <b/>
        <i/>
        <sz val="10"/>
        <color rgb="FF000000"/>
        <rFont val="Verdana"/>
        <family val="2"/>
      </rPr>
      <t xml:space="preserve"> finding</t>
    </r>
    <r>
      <rPr>
        <sz val="10"/>
        <color rgb="FF000000"/>
        <rFont val="Verdana"/>
        <family val="2"/>
      </rPr>
      <t xml:space="preserve"> for lack of technical skills, knowledge and experience (SKE) at this unit?</t>
    </r>
  </si>
  <si>
    <r>
      <t>Is there is a going concern</t>
    </r>
    <r>
      <rPr>
        <i/>
        <sz val="10"/>
        <color rgb="FF000000"/>
        <rFont val="Verdana"/>
        <family val="2"/>
      </rPr>
      <t xml:space="preserve"> </t>
    </r>
    <r>
      <rPr>
        <b/>
        <i/>
        <sz val="10"/>
        <color rgb="FF000000"/>
        <rFont val="Verdana"/>
        <family val="2"/>
      </rPr>
      <t>finding</t>
    </r>
    <r>
      <rPr>
        <sz val="10"/>
        <color rgb="FF000000"/>
        <rFont val="Verdana"/>
        <family val="2"/>
      </rPr>
      <t xml:space="preserve"> noted in the audit report? </t>
    </r>
  </si>
  <si>
    <r>
      <t xml:space="preserve">Number of significant deficiency </t>
    </r>
    <r>
      <rPr>
        <b/>
        <i/>
        <sz val="10"/>
        <color rgb="FF000000"/>
        <rFont val="Verdana"/>
        <family val="2"/>
      </rPr>
      <t>findings</t>
    </r>
    <r>
      <rPr>
        <sz val="10"/>
        <color rgb="FF000000"/>
        <rFont val="Verdana"/>
        <family val="2"/>
      </rPr>
      <t xml:space="preserve"> </t>
    </r>
    <r>
      <rPr>
        <i/>
        <sz val="10"/>
        <color rgb="FF000000"/>
        <rFont val="Verdana"/>
        <family val="2"/>
      </rPr>
      <t>(other than in Questions 15-18 )</t>
    </r>
  </si>
  <si>
    <r>
      <t xml:space="preserve">Number of material weaknesses </t>
    </r>
    <r>
      <rPr>
        <b/>
        <i/>
        <sz val="10"/>
        <color rgb="FF000000"/>
        <rFont val="Verdana"/>
        <family val="2"/>
      </rPr>
      <t>findings</t>
    </r>
    <r>
      <rPr>
        <sz val="10"/>
        <color rgb="FF000000"/>
        <rFont val="Verdana"/>
        <family val="2"/>
      </rPr>
      <t xml:space="preserve"> </t>
    </r>
    <r>
      <rPr>
        <i/>
        <sz val="10"/>
        <color rgb="FF000000"/>
        <rFont val="Verdana"/>
        <family val="2"/>
      </rPr>
      <t>(other than in Questions 15-18)</t>
    </r>
  </si>
  <si>
    <t xml:space="preserve">Is the Finance Officer bonded for at least $50,000? (GS 159-42(h) </t>
  </si>
  <si>
    <t xml:space="preserve">Was a  Management Letter issued? </t>
  </si>
  <si>
    <t>Was an AU-C 260 letter issued?</t>
  </si>
  <si>
    <t>Was an AU-C 265 letter issued?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</si>
  <si>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</si>
  <si>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</si>
  <si>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</si>
  <si>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</si>
  <si>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</si>
  <si>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</si>
  <si>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</si>
  <si>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 xml:space="preserve">Is there is a going concern finding noted in the audit report </t>
  </si>
  <si>
    <t>Did the Unit have debt service payments deferred or restructured in this fiscal year (does not include refinancings designed to take advantage of lower interest rates)</t>
  </si>
  <si>
    <t>Were debt service payments made late  Deferred payments authorized by LGC or other state agencies should not be counted as late for purposes of this question.</t>
  </si>
  <si>
    <t>Were all bond covenants met</t>
  </si>
  <si>
    <t xml:space="preserve">Is the Finance Officer bonded for at least $50,000 (GS 159-42(h) </t>
  </si>
  <si>
    <t>TD-UL Issued based on report  (Y/N)</t>
  </si>
  <si>
    <t>TD-SUL Issued based on report (Y/N)</t>
  </si>
  <si>
    <t>TD-DPI Issued based on  report (Y/N)</t>
  </si>
  <si>
    <t>TD-Unit Visit Needed based on report (Y/N)</t>
  </si>
  <si>
    <t>TD-Choose one of the following related to Internal Controls:</t>
  </si>
  <si>
    <t># of significant deficiency findings (other than in Questions 15-17 )</t>
  </si>
  <si>
    <t># of material weaknesses findings (other than in Questions 15-17)</t>
  </si>
  <si>
    <t>Unit Name</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</si>
  <si>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</si>
  <si>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</si>
  <si>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</si>
  <si>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</si>
  <si>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</si>
  <si>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</si>
  <si>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</si>
  <si>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</si>
  <si>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</si>
  <si>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</si>
  <si>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</si>
  <si>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</si>
  <si>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</si>
  <si>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</si>
  <si>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</si>
  <si>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</si>
  <si>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</si>
  <si>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Cliffside Sanitary District</t>
  </si>
  <si>
    <t>Colerain</t>
  </si>
  <si>
    <t>Columbia</t>
  </si>
  <si>
    <t>Dobbins Heights</t>
  </si>
  <si>
    <t>Dover</t>
  </si>
  <si>
    <t>Earl</t>
  </si>
  <si>
    <t>East Laurinburg</t>
  </si>
  <si>
    <t>East Spencer</t>
  </si>
  <si>
    <t>Edgecombe County</t>
  </si>
  <si>
    <t>Ellerbe</t>
  </si>
  <si>
    <t>Elm City</t>
  </si>
  <si>
    <t>Enfield</t>
  </si>
  <si>
    <t>Engelhard Sanitary District</t>
  </si>
  <si>
    <t>Everetts</t>
  </si>
  <si>
    <t>Fair Bluff</t>
  </si>
  <si>
    <t>Fairmont</t>
  </si>
  <si>
    <t>Fontana Dam</t>
  </si>
  <si>
    <t>Fork Township Sanitary District</t>
  </si>
  <si>
    <t>Four Oaks</t>
  </si>
  <si>
    <t>Franklinville</t>
  </si>
  <si>
    <t>Fremont</t>
  </si>
  <si>
    <t>Glen Alpine</t>
  </si>
  <si>
    <t>Goldsboro</t>
  </si>
  <si>
    <t>Greenevers</t>
  </si>
  <si>
    <t>Grover</t>
  </si>
  <si>
    <t>Halifax</t>
  </si>
  <si>
    <t>Hamilton</t>
  </si>
  <si>
    <t>Hamlet</t>
  </si>
  <si>
    <t>Hoffman</t>
  </si>
  <si>
    <t>Holly Ridge</t>
  </si>
  <si>
    <t>Hookerton</t>
  </si>
  <si>
    <t>Hyde County</t>
  </si>
  <si>
    <t>Madison County</t>
  </si>
  <si>
    <t>Milton</t>
  </si>
  <si>
    <t>Montreat</t>
  </si>
  <si>
    <t>Mount Olive</t>
  </si>
  <si>
    <t>Navassa</t>
  </si>
  <si>
    <t>Newport</t>
  </si>
  <si>
    <t>Newton Grove</t>
  </si>
  <si>
    <t>Norlina</t>
  </si>
  <si>
    <t>Norman</t>
  </si>
  <si>
    <t>Northampton County</t>
  </si>
  <si>
    <t>Norwood</t>
  </si>
  <si>
    <t>Oak City</t>
  </si>
  <si>
    <t>Orange County</t>
  </si>
  <si>
    <t>Pender County</t>
  </si>
  <si>
    <t>Pikeville</t>
  </si>
  <si>
    <t>Pilot Mountain</t>
  </si>
  <si>
    <t>Polkville</t>
  </si>
  <si>
    <t>Pollocksville</t>
  </si>
  <si>
    <t>Princeville</t>
  </si>
  <si>
    <t>Proctorville</t>
  </si>
  <si>
    <t>Ramseur</t>
  </si>
  <si>
    <t>Ranlo</t>
  </si>
  <si>
    <t>Red Springs</t>
  </si>
  <si>
    <t>Rich Square</t>
  </si>
  <si>
    <t>Robbins</t>
  </si>
  <si>
    <t>Robersonville</t>
  </si>
  <si>
    <t>Ronda</t>
  </si>
  <si>
    <t>Saint Pauls</t>
  </si>
  <si>
    <t>Scotland County</t>
  </si>
  <si>
    <t>Scotland Neck</t>
  </si>
  <si>
    <t>Sedalia</t>
  </si>
  <si>
    <t>Sharpsburg</t>
  </si>
  <si>
    <t>Snow Hill</t>
  </si>
  <si>
    <t>Spring Lake</t>
  </si>
  <si>
    <t>Stanly Water &amp; Sewer Authority</t>
  </si>
  <si>
    <t>Taylorsville</t>
  </si>
  <si>
    <t>Taylortown</t>
  </si>
  <si>
    <t>Tryon</t>
  </si>
  <si>
    <t>Tyrrell County</t>
  </si>
  <si>
    <t>Vanceboro</t>
  </si>
  <si>
    <t>Vass</t>
  </si>
  <si>
    <t>Whitakers</t>
  </si>
  <si>
    <t>Wilkesboro</t>
  </si>
  <si>
    <t>Data not collected in 2020</t>
  </si>
  <si>
    <t>No Revaluation with next two years</t>
  </si>
  <si>
    <t>Unsure</t>
  </si>
  <si>
    <t>Town of</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</si>
  <si>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</si>
  <si>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</si>
  <si>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</si>
  <si>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</si>
  <si>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</si>
  <si>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</si>
  <si>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</si>
  <si>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</si>
  <si>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</si>
  <si>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</si>
  <si>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</si>
  <si>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</si>
  <si>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 xml:space="preserve">Amount Transferred minus PILOT </t>
  </si>
  <si>
    <t>Compliance</t>
  </si>
  <si>
    <t>Allowable Transfer per statute</t>
  </si>
  <si>
    <t>Is Unit following G.S. 159B-39?</t>
  </si>
  <si>
    <t>Payment in Lieu of Taxes Error:</t>
  </si>
  <si>
    <t>Notes:</t>
  </si>
  <si>
    <t xml:space="preserve">Comments: </t>
  </si>
  <si>
    <t>Electric Transfer Calculation</t>
  </si>
  <si>
    <t>Amount of transfer out to the General Fund that is for Payment in Lieu of Taxes (PILOT)</t>
  </si>
  <si>
    <t>2020-2021</t>
  </si>
  <si>
    <t>Avery, Bladen, Chowan, Craven, Duplin, Guilford, Harnett, Hoke, Jones, Mitchell, Onslow, Pasquotank, Watauga</t>
  </si>
  <si>
    <t>Increase</t>
  </si>
  <si>
    <t>Decrease</t>
  </si>
  <si>
    <t>No Change</t>
  </si>
  <si>
    <t>Performance Indicator</t>
  </si>
  <si>
    <t>This information was not collected in 2020</t>
  </si>
  <si>
    <t>Performance Indicator Worksheet</t>
  </si>
  <si>
    <t>Fiscal Year</t>
  </si>
  <si>
    <t>Unit Number:</t>
  </si>
  <si>
    <t>Explanation of Performance Indicator</t>
  </si>
  <si>
    <t>Equal or greater than 1</t>
  </si>
  <si>
    <t>The unit must address the material and/or significant findings or any other findings that the auditor reported to them.</t>
  </si>
  <si>
    <t>Less than 3%</t>
  </si>
  <si>
    <t>Unit results</t>
  </si>
  <si>
    <t>Unit Data from Audit Worksheet tab: '(506+536-4-5-6)+647/(532+509+20-533-508)</t>
  </si>
  <si>
    <t>Unit Data from Audit Worksheet tab : (654-655-579-510)/(633-634-635-636-637-638-578)</t>
  </si>
  <si>
    <t>901</t>
  </si>
  <si>
    <t>902</t>
  </si>
  <si>
    <t>903</t>
  </si>
  <si>
    <t>904</t>
  </si>
  <si>
    <t>905</t>
  </si>
  <si>
    <t>967</t>
  </si>
  <si>
    <t>969</t>
  </si>
  <si>
    <t>970</t>
  </si>
  <si>
    <t>971</t>
  </si>
  <si>
    <t>972</t>
  </si>
  <si>
    <t>Date the Auditor presented or plans to present the Audit to the Governing Board</t>
  </si>
  <si>
    <t>Did the audit disclose any statutory violations in the notes that were not covered by findings?  Select Yes or No</t>
  </si>
  <si>
    <t>The Auditor will submit the Audit Report to the LGC by December 1, 2021   Select Yes or No</t>
  </si>
  <si>
    <t>The Performance Indicator Tab in this worksheet has at least one performance indicator of concern (indicated by a red shaded cell)</t>
  </si>
  <si>
    <t>TD Info Completed by Auditor : CCH acct # 979</t>
  </si>
  <si>
    <t>TD Info Completed by Auditor : CCH acct # 977</t>
  </si>
  <si>
    <t>If TD Info Completed by Auditor : CCH accts # 907, 951, 953, 955, 957, 973 had entries they would trigger this indicator</t>
  </si>
  <si>
    <t>Of the transfers-in above in acct # 352, list amount of transfers-in that were used to support Water Sewer operations  (exclude capital transfers)</t>
  </si>
  <si>
    <t>This information was not collected in 2021</t>
  </si>
  <si>
    <t>Unit Data from Audit worksheet tab : (984-985)/985</t>
  </si>
  <si>
    <t>Unit Data from Audit worksheet tab :  CCH acct # 991</t>
  </si>
  <si>
    <t>Unit Data from Audit worksheet tab :  CCH acct # 987</t>
  </si>
  <si>
    <t>TD Info Completed by Auditor : CCH acct # 978</t>
  </si>
  <si>
    <t xml:space="preserve">Electric Transfers-out have exceeded the amounts described in GS 159B-39.  If your unit is a member of the North Carolina Eastern Municipal Power Agency it appears you have violated the GS.  If you are not a member of the Eastern Municipal Power Agency we would like to understand what you are funding with the transfers-out and do you plan to continue this practice.  </t>
  </si>
  <si>
    <t>No over-expenditures</t>
  </si>
  <si>
    <t>The General Fund had a fund balance less than zero - Fund Deficit</t>
  </si>
  <si>
    <t>Unit Data from Audit worksheet tab :  CCH acct # 9</t>
  </si>
  <si>
    <t>In your response letter please review all the Electric performance indicators highlighted in red and provide a detailed financial plan that addresses these Electric issues.</t>
  </si>
  <si>
    <t xml:space="preserve">A Quick ratio less than 1 indicates that the amount the unit owes is larger than their cash investments and receivables.  This can indicate that the Fund may have difficulty in paying its current bills.  If this financial pattern remains the water and/or sewer system may not be sustainable in its current form.  </t>
  </si>
  <si>
    <t xml:space="preserve">This calculation subtracts (operating expenses - depreciation + debt principal paid) from operating revenues.  A negative balance in this indicates that your rate structure is not covering your operating expenses.  </t>
  </si>
  <si>
    <t>Please explain where the operating transfers-in are coming from, why they are being made, and if they will be continued.  Please exclude all capital transfers-in.  Only discuss transfers-in that are being used to support the operations of the Water Sewer Fund.  The rate structure of the Water Sewer fund should support the expenses of the Water Sewer Fund without operating subsidies from other funds.</t>
  </si>
  <si>
    <t>hidden data</t>
  </si>
  <si>
    <t>(532+509+20-533-508)</t>
  </si>
  <si>
    <t>GF  FBA without Powell Bill</t>
  </si>
  <si>
    <t>GF FBA% of Exp w/o Powell Bill</t>
  </si>
  <si>
    <t>WS Quick Ratio</t>
  </si>
  <si>
    <t>Operating Net Income (loss) excluding depreciation+ debt service principal</t>
  </si>
  <si>
    <t>Unit data from Audit Worksheet tab ; 84-85-49+331</t>
  </si>
  <si>
    <t>Unit Data from Audit worksheet tab : 80/(85+351-49+331)</t>
  </si>
  <si>
    <t>Elec Quick ratio</t>
  </si>
  <si>
    <t>WS Unrestricted cash / Total expenses less depreciation+depbt service principal</t>
  </si>
  <si>
    <t>WS Operating Net Income (loss) excluding depreciation+ debt service principal</t>
  </si>
  <si>
    <t>80/(85+351-49+331)</t>
  </si>
  <si>
    <t>(657-658-511-581)/(639-640-641-642-643-644-580)</t>
  </si>
  <si>
    <t>Unit Data from Audit worksheet tab : (657-658-511-581)/(639-640-641-642-643-644-580)</t>
  </si>
  <si>
    <t>Elec Operating Net Income (loss) excluding depreciation+ debt service principal</t>
  </si>
  <si>
    <t>Elec Unrestricted cash / Total expenses less depreciation+depbt service principal</t>
  </si>
  <si>
    <t>(90/(364+94-52+100)</t>
  </si>
  <si>
    <t>Unit Data from Audit worksheet tab : (90/(364+94-52+100)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</si>
  <si>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</si>
  <si>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</si>
  <si>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</si>
  <si>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</si>
  <si>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</si>
  <si>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</si>
  <si>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</si>
  <si>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Result for Performance Indicator Tab</t>
  </si>
  <si>
    <t>Unit Data from Audit worksheet tab :  CCH acct # 989 equaled "No"</t>
  </si>
  <si>
    <t>It is not uncommon for an Electric System with multiple performance indicators of concern to find that a proposed solution to one of the indicators also solves other performance indicators of concern.</t>
  </si>
  <si>
    <t>Unrestricted cash / Total expenses less depreciation+debt service principal</t>
  </si>
  <si>
    <t>Uni Number</t>
  </si>
  <si>
    <t>Electric Gross Annual Revenue</t>
  </si>
  <si>
    <t>527+356</t>
  </si>
  <si>
    <t>Tax rate for year audited</t>
  </si>
  <si>
    <t>Electric worksheet</t>
  </si>
  <si>
    <t>In addition to the any significant and material findings the Auditor can describe any additional issues the unit should address that affect the fiscal health or internal controls of the unit that were communicated to the unit during the Audit Presentation.</t>
  </si>
  <si>
    <t>Prior year CCH accounts 527, 356 and 93 along with current CCH account of this Data Input worksheet 648,366, 990 were used in this calculation</t>
  </si>
  <si>
    <t>Location of Documents for the 2021 Audit Submission Process</t>
  </si>
  <si>
    <t>Instructions for Audits with a Fiscal Year Ending Earlier than June 30, 2021</t>
  </si>
  <si>
    <t>Unit Name:</t>
  </si>
  <si>
    <t>A</t>
  </si>
  <si>
    <t>B</t>
  </si>
  <si>
    <t>C</t>
  </si>
  <si>
    <t>D</t>
  </si>
  <si>
    <t>E</t>
  </si>
  <si>
    <t>F</t>
  </si>
  <si>
    <t>G</t>
  </si>
  <si>
    <t>H</t>
  </si>
  <si>
    <t>Total expenditures used to determine a Unit's expenditure group</t>
  </si>
  <si>
    <t>PROPERTY TAX RATES AND REVALUATION SCHEDULES FOR NORTH CAROLINA COUNTIES</t>
  </si>
  <si>
    <t>(All rates per $100 valuation*)</t>
  </si>
  <si>
    <t>Year</t>
  </si>
  <si>
    <t>Next</t>
  </si>
  <si>
    <t>Tax</t>
  </si>
  <si>
    <t>of latest</t>
  </si>
  <si>
    <t>scheduled</t>
  </si>
  <si>
    <t>Counties</t>
  </si>
  <si>
    <t>Rate</t>
  </si>
  <si>
    <t>revaluation</t>
  </si>
  <si>
    <t>ALLEGHANY</t>
  </si>
  <si>
    <t>BUNCOMBE</t>
  </si>
  <si>
    <t>CALDWELL</t>
  </si>
  <si>
    <t>CASWELL</t>
  </si>
  <si>
    <t>CHATHAM</t>
  </si>
  <si>
    <t>CLEVELAND</t>
  </si>
  <si>
    <t>COLUMBUS</t>
  </si>
  <si>
    <t>CURRITUCK</t>
  </si>
  <si>
    <t>DAVIDSON</t>
  </si>
  <si>
    <t>DAVIE</t>
  </si>
  <si>
    <t>FORSYTH</t>
  </si>
  <si>
    <t>GREENE</t>
  </si>
  <si>
    <t>HAYWOOD</t>
  </si>
  <si>
    <t>JACKSON</t>
  </si>
  <si>
    <t>NEW HANOVER</t>
  </si>
  <si>
    <t>ORANGE</t>
  </si>
  <si>
    <t>PERSON</t>
  </si>
  <si>
    <t>POLK</t>
  </si>
  <si>
    <t>STANLY</t>
  </si>
  <si>
    <t>STOKES</t>
  </si>
  <si>
    <t>SURRY</t>
  </si>
  <si>
    <t>SWAIN</t>
  </si>
  <si>
    <t>TRANSYLVANIA</t>
  </si>
  <si>
    <t>UNION</t>
  </si>
  <si>
    <t>WASHINGTON</t>
  </si>
  <si>
    <t>AVERY</t>
  </si>
  <si>
    <t>BLADEN</t>
  </si>
  <si>
    <t>CHOWAN</t>
  </si>
  <si>
    <t>CRAVEN</t>
  </si>
  <si>
    <t>DUPLIN</t>
  </si>
  <si>
    <t>GUILFORD</t>
  </si>
  <si>
    <t>HARNETT</t>
  </si>
  <si>
    <t>HOKE</t>
  </si>
  <si>
    <t>JONES</t>
  </si>
  <si>
    <t>MITCHELL</t>
  </si>
  <si>
    <t>ONSLOW</t>
  </si>
  <si>
    <t>PASQUOTANK</t>
  </si>
  <si>
    <t>WATAUGA</t>
  </si>
  <si>
    <t>ALEXANDER</t>
  </si>
  <si>
    <t>ASHE</t>
  </si>
  <si>
    <t>BRUNSWICK</t>
  </si>
  <si>
    <t>CAMDEN</t>
  </si>
  <si>
    <t>CATAWBA</t>
  </si>
  <si>
    <t>DURHAM</t>
  </si>
  <si>
    <t>GASTON</t>
  </si>
  <si>
    <t>GRAHAM</t>
  </si>
  <si>
    <t>HENDERSON</t>
  </si>
  <si>
    <t>HYDE</t>
  </si>
  <si>
    <t>IREDELL</t>
  </si>
  <si>
    <t>LEE</t>
  </si>
  <si>
    <t>LINCOLN</t>
  </si>
  <si>
    <t>MACON</t>
  </si>
  <si>
    <t>MCDOWELL</t>
  </si>
  <si>
    <t>MECKLENBURG</t>
  </si>
  <si>
    <t>MOORE</t>
  </si>
  <si>
    <t>NORTHAMPTON</t>
  </si>
  <si>
    <t>ROWAN</t>
  </si>
  <si>
    <t>RUTHERFORD</t>
  </si>
  <si>
    <t>WILKES</t>
  </si>
  <si>
    <t>YADKIN</t>
  </si>
  <si>
    <t>CABARRUS</t>
  </si>
  <si>
    <t>CARTERET</t>
  </si>
  <si>
    <t>FRANKLIN</t>
  </si>
  <si>
    <t>HALIFAX</t>
  </si>
  <si>
    <t>PERQUIMANS</t>
  </si>
  <si>
    <t>PITT</t>
  </si>
  <si>
    <t>RICHMOND</t>
  </si>
  <si>
    <t>ROBESON</t>
  </si>
  <si>
    <t>VANCE</t>
  </si>
  <si>
    <t>WAKE</t>
  </si>
  <si>
    <t>WILSON</t>
  </si>
  <si>
    <t>YANCEY</t>
  </si>
  <si>
    <t>ALAMANCE</t>
  </si>
  <si>
    <t>BURKE</t>
  </si>
  <si>
    <t>CUMBERLAND</t>
  </si>
  <si>
    <t>DARE</t>
  </si>
  <si>
    <t>EDGECOMBE</t>
  </si>
  <si>
    <t>GATES</t>
  </si>
  <si>
    <t>JOHNSTON</t>
  </si>
  <si>
    <t>LENOIR</t>
  </si>
  <si>
    <t>MARTIN</t>
  </si>
  <si>
    <t>NASH</t>
  </si>
  <si>
    <t>RANDOLPH</t>
  </si>
  <si>
    <t>TYRRELL</t>
  </si>
  <si>
    <t>WARREN</t>
  </si>
  <si>
    <t>ANSON</t>
  </si>
  <si>
    <t>BEAUFORT</t>
  </si>
  <si>
    <t>CLAY</t>
  </si>
  <si>
    <t>GRANVILLE</t>
  </si>
  <si>
    <t>HERTFORD</t>
  </si>
  <si>
    <t>PENDER</t>
  </si>
  <si>
    <t>ROCKINGHAM</t>
  </si>
  <si>
    <t>SAMPSON</t>
  </si>
  <si>
    <t>SCOTLAND</t>
  </si>
  <si>
    <t>WAYNE</t>
  </si>
  <si>
    <t>BERTIE</t>
  </si>
  <si>
    <t>CHEROKEE</t>
  </si>
  <si>
    <t>MADISON</t>
  </si>
  <si>
    <t>MONTGOMERY</t>
  </si>
  <si>
    <t>PAMLICO</t>
  </si>
  <si>
    <t>Property subject to taxation must be assessed at 100% of appraised value.</t>
  </si>
  <si>
    <t>Revaluations are effective January 1 of year shown.  Real property must be revalued every 8 years but</t>
  </si>
  <si>
    <t>counties may elect to revalue more frequently.</t>
  </si>
  <si>
    <t>Year shown for next scheduled revaluation is the year indicated based on the Octennial Reappraisal Budget Reserve</t>
  </si>
  <si>
    <t>provided to NCDOR as of July 2020.</t>
  </si>
  <si>
    <t>North Carolina Department of Revenue</t>
  </si>
  <si>
    <t>Local Government Division</t>
  </si>
  <si>
    <t>Aug-20</t>
  </si>
  <si>
    <t>The budgeted tax levy for the General fund had more than 3% uncollected for the fiscal year audited - decreases are shown by a negative %</t>
  </si>
  <si>
    <t>The local government had a mandate placed on them by DEQ, a court order or some similar requirement (that has no realistic appeal path) that the financial effect will be greater than 3% of the WS Budget and is not yet budgeted.</t>
  </si>
  <si>
    <t>This tab need to have the most up-to-date UAL list on it at the time it is finalized</t>
  </si>
  <si>
    <t>34% -- Average of similar units is 68%</t>
  </si>
  <si>
    <t>25% -- Average of similar units is 50%</t>
  </si>
  <si>
    <t>Total of above CCH Accounts</t>
  </si>
  <si>
    <t>Total from Master Upload file</t>
  </si>
  <si>
    <t>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t>
  </si>
  <si>
    <t>84-85+49-331</t>
  </si>
  <si>
    <t xml:space="preserve"> 93-94+52-100</t>
  </si>
  <si>
    <t>School Current Expense Report</t>
  </si>
  <si>
    <t>General Fund-Rev, Exp. Change in Fund Balance or General Fund Budget Actual</t>
  </si>
  <si>
    <t>Local Current Expense sent to Boards of Education (some units present this information in the detailed general fund statements after the notes)
Exclude: amounts for community colleges and 
                  supplemental taxes
Include: amounts spent on resource officers, 
                  nurses and Timber receipts</t>
  </si>
  <si>
    <t xml:space="preserve">How much of the above number in account 147 is from Timber Receipts sent to the schools </t>
  </si>
  <si>
    <t>Amount of Supplemental School Tax revenue recorded in the governmental funds.</t>
  </si>
  <si>
    <t>Amount of Supplemental School Tax revenue recorded in agency funds.</t>
  </si>
  <si>
    <t>All Gov. Funds Rev, Exp. Change in Fund Balance</t>
  </si>
  <si>
    <t>Capital Outlay contributions to the BOEs (include amounts from general fund, capital project funds and any other fund sent to the BOE as part of capital outlay)</t>
  </si>
  <si>
    <t>School Capital Outlay Report to the Legislature</t>
  </si>
  <si>
    <t xml:space="preserve">Amount of Supplemental School Tax revenue recorded in agency funds.
</t>
  </si>
  <si>
    <t># of other matters that auditor asked the unit to respond to.</t>
  </si>
  <si>
    <t>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t>
  </si>
  <si>
    <t>If the unit had PIs of concern, the issues were presented to the board and informed they needed to send Response Letter in 60 days</t>
  </si>
  <si>
    <t>item</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</si>
  <si>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</si>
  <si>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</si>
  <si>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</si>
  <si>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</si>
  <si>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</si>
  <si>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</si>
  <si>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</si>
  <si>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</si>
  <si>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Governmental Activities - Benchmarking Tool uses account 336 in the code to calculate liquidity quick ratio.  Must be included on imported to CCH and SQL database.</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</si>
  <si>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</si>
  <si>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</si>
  <si>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</si>
  <si>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</si>
  <si>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</si>
  <si>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</si>
  <si>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</si>
  <si>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</si>
  <si>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</si>
  <si>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</si>
  <si>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</si>
  <si>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Version Date 5/11/2021</t>
  </si>
  <si>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increasing revenues or decreasing expenditures.  </t>
  </si>
  <si>
    <t>This performance indicator calculates the number of months the unit has cash to pay it's annualized expenses (excluding depreciation)  The normal billing cycle is one month and an extra month gives a unit cash balance to handle unusual monthly expenditures.  This 16% would be a bare minimum necessary to keep the fund from experiencing cash flow issues</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</si>
  <si>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</si>
  <si>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Do you operate a landfill that will be closing  or have a significant portion closing within the next 5 years?  Select "1" for Yes and "2" for No</t>
  </si>
  <si>
    <t>Does the entity have an  effective pre-audit process to ensure that pervasive budgetary over- expenditures do not occur at the budget ordinance level? Select Yes or No</t>
  </si>
  <si>
    <t xml:space="preserve">Does the entity have an  effective pre-audit process to ensure that pervasive budgetary over- expenditures do not occur at the budget ordinance level? </t>
  </si>
  <si>
    <t xml:space="preserve">Estimated cost not yet budgeted of any mandate placed on unit by DEQ, a court order or some similar requirement (that has no realistic appeal path). </t>
  </si>
  <si>
    <t>The Unit had Statutory Violations listed in the Audit Report that should be addressed in the Unit Response Letter</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</si>
  <si>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</si>
  <si>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</si>
  <si>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</si>
  <si>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</si>
  <si>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</si>
  <si>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</si>
  <si>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</si>
  <si>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</si>
  <si>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</si>
  <si>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If unit is an employer participant in one of the State Cost Sharing Plans rows 182 - 184 should be blank.  Unless they have an additional single employer plan.</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</si>
  <si>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</si>
  <si>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</si>
  <si>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</si>
  <si>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</si>
  <si>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The Counties listed in cell H256 are scheduled to revalue property listing by 1/1/2022 according to the Dept. of Revenue records.  Please indicate if you expect your revaluation to: 
Enter  "20" for increase, 
            "21" for decrease, 
            "22" for no change,
            "23" if this question is not applicable</t>
  </si>
  <si>
    <t>Did the Unit have any of the following occur:
1.  Bond covenants were not met
2.  Debt service payments made late?  Deferred payments authorized by LGC or other state
     agencies should not be counted as late for purposes of this question.</t>
  </si>
  <si>
    <t>The unit had problems with debt service payments being late and/or did not comply with the bond covenants?</t>
  </si>
  <si>
    <t>TD Info Completed by Auditor : CCH acct # 974</t>
  </si>
  <si>
    <r>
      <t xml:space="preserve">Primary Government's  FYE </t>
    </r>
    <r>
      <rPr>
        <i/>
        <sz val="10"/>
        <color rgb="FF000000"/>
        <rFont val="Verdana"/>
        <family val="2"/>
      </rPr>
      <t>(MM/DD/YYYY)</t>
    </r>
  </si>
  <si>
    <r>
      <t xml:space="preserve">Date </t>
    </r>
    <r>
      <rPr>
        <i/>
        <sz val="10"/>
        <color theme="1"/>
        <rFont val="Verdana"/>
        <family val="2"/>
      </rPr>
      <t>(MM/DD/YYYY)</t>
    </r>
  </si>
  <si>
    <t>Hide This Column</t>
  </si>
  <si>
    <t>Muni</t>
  </si>
  <si>
    <t>Muni, county, utility authority</t>
  </si>
  <si>
    <t>Muni, Utility Authority</t>
  </si>
  <si>
    <t>As of the creation of this worksheet your unit was on the Unit Assistance List.  Please provide details of what progress you have made to date to improve the issues that placed you on the list and future progress you intend to make.  If you are unaware that you are on the Unit Assistance List please email LGCMonitoring@nctreasurer.com and request a copy of the letter notifying you of your status on the Unit Assistance List.</t>
  </si>
  <si>
    <t>Minimum Threshold</t>
  </si>
  <si>
    <t>In your response letter please review all the Water Sewer performance indicators highlighted in red and provide a detailed financial plan that addresses these water sewer issues.  It is not uncommon for a Water Sewer System with multiple performance indicators of concern to find that a proposed solution to one of the indicators also solves other performance indicators of concern.</t>
  </si>
  <si>
    <r>
      <t xml:space="preserve">If any </t>
    </r>
    <r>
      <rPr>
        <i/>
        <sz val="14"/>
        <color theme="1"/>
        <rFont val="Calibri"/>
        <family val="2"/>
        <scheme val="minor"/>
      </rPr>
      <t>Units Results</t>
    </r>
    <r>
      <rPr>
        <sz val="14"/>
        <color theme="1"/>
        <rFont val="Calibri"/>
        <family val="2"/>
        <scheme val="minor"/>
      </rPr>
      <t xml:space="preserve"> in Column F are shaded red then the unit must submit a "Response to the Auditor's Findings, Recommendations, and Fiscal Matters"  within 60 days from the Auditors board presentation.  The Response must address all performance indicators shaded in red.</t>
    </r>
  </si>
  <si>
    <t>Enterprise Funds:</t>
  </si>
  <si>
    <t>Miscellaneous</t>
  </si>
  <si>
    <t>Less than zero is below threshold</t>
  </si>
  <si>
    <t>Enterprise Funds other than WS and Electric</t>
  </si>
  <si>
    <t>Combined Proprietary Funds - Net Position</t>
  </si>
  <si>
    <t>Comb-Proprietary Funds-Current Assets 
Exclude: any restricted assets
                  deferred outflows.</t>
  </si>
  <si>
    <t>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t>
  </si>
  <si>
    <t>Combined Totals of all Proprietary Funds - Revenue, Expenses, Changes in Net Position</t>
  </si>
  <si>
    <t>Combined Totals of all proprietary Funds - Depreciation &amp; Amortization Expense</t>
  </si>
  <si>
    <t>Combined Totals of all Proprietary Funds - Change in net position - (increase in net position is recorded as a positive and a decrease in net position is recorded as a negative)</t>
  </si>
  <si>
    <t>Combined Proprietary Funds - Change in Cash Flow Statement</t>
  </si>
  <si>
    <t>Local Current Expense Revenue from the County (Enter as a positive) 
Exclude: supplemental taxes
Include: Timber Receipts, amounts spent on 
                  resource officers and nurses, etc.  
                  Amount must agree with the amount
                  reported in the County Audit Report</t>
  </si>
  <si>
    <t xml:space="preserve">Capital Outlay revenue from the County and budgeted by the County as Capital Outlay reported in the School Capital Outlay fund or the local current expense fund.  (capitalization policies might be different between the Schools and County)
</t>
  </si>
  <si>
    <t>County School Capital Outlay Rpt.</t>
  </si>
  <si>
    <t xml:space="preserve">Fund 8 Rev, Exp. Change in Fund Balance Rpt. </t>
  </si>
  <si>
    <t>BOE</t>
  </si>
  <si>
    <t>Hospital</t>
  </si>
  <si>
    <t>Net Position</t>
  </si>
  <si>
    <t>Unrestricted Cash &amp; Investments - all but exclude "Held by Trustee" or "3rd party restricted"</t>
  </si>
  <si>
    <t>Net Patient Accounts Receivable</t>
  </si>
  <si>
    <t>Unrestricted fund equity or net position</t>
  </si>
  <si>
    <t>Revenue, Expenses, Changes in Net Position</t>
  </si>
  <si>
    <t>Net Patient Revenues</t>
  </si>
  <si>
    <t>Total Operating Revenues</t>
  </si>
  <si>
    <t xml:space="preserve">Capital Contributions </t>
  </si>
  <si>
    <t>Change in Net Position</t>
  </si>
  <si>
    <t>Cash Flows</t>
  </si>
  <si>
    <t>Capital Outlays</t>
  </si>
  <si>
    <t>Principal Paid - Long-term Debt</t>
  </si>
  <si>
    <t>Total Long-term debt (non current portion only) - enter as a positive</t>
  </si>
  <si>
    <t>Total Operating Expenses. May include Interest Expense - Enter as a positive</t>
  </si>
  <si>
    <t xml:space="preserve">Interest Expense - Enter as a positive </t>
  </si>
  <si>
    <r>
      <t>Gross Capital Assets-</t>
    </r>
    <r>
      <rPr>
        <b/>
        <sz val="11"/>
        <rFont val="Calibri"/>
        <family val="2"/>
        <scheme val="minor"/>
      </rPr>
      <t>Prior Year</t>
    </r>
  </si>
  <si>
    <r>
      <t>Gross Annual Revenue-</t>
    </r>
    <r>
      <rPr>
        <b/>
        <sz val="11"/>
        <rFont val="Calibri"/>
        <family val="2"/>
        <scheme val="minor"/>
      </rPr>
      <t>Prior Year</t>
    </r>
  </si>
  <si>
    <r>
      <rPr>
        <b/>
        <i/>
        <sz val="11"/>
        <rFont val="Calibri"/>
        <family val="2"/>
        <scheme val="minor"/>
      </rPr>
      <t>Amount Transferred minus PILOT (cell F23)</t>
    </r>
    <r>
      <rPr>
        <i/>
        <sz val="11"/>
        <rFont val="Calibri"/>
        <family val="2"/>
        <scheme val="minor"/>
      </rPr>
      <t xml:space="preserve"> is calculated by taking the Amount Transferred per Audit (cell F14) and subtracting the greater amount of PILOT (cells F19 and G19). When cell F23 exceeds the statutory calculation in cell F27, you will get an error message "No, unit exceeds limit by:"</t>
    </r>
  </si>
  <si>
    <r>
      <rPr>
        <b/>
        <i/>
        <sz val="11"/>
        <rFont val="Calibri"/>
        <family val="2"/>
        <scheme val="minor"/>
      </rPr>
      <t>Payment in Lieu of Taxes Error (cells F32 - F33):</t>
    </r>
    <r>
      <rPr>
        <i/>
        <sz val="11"/>
        <rFont val="Calibri"/>
        <family val="2"/>
        <scheme val="minor"/>
      </rPr>
      <t xml:space="preserve">  When the "Actual Pilot" (cell F19) doesn't agree with the "Calculated Pilot" (cell G19) you will get an error message requiring you to investigate variance.</t>
    </r>
  </si>
  <si>
    <r>
      <t xml:space="preserve">Notes From Auditor
</t>
    </r>
    <r>
      <rPr>
        <sz val="11"/>
        <color theme="1"/>
        <rFont val="Calibri"/>
        <family val="2"/>
        <scheme val="minor"/>
      </rPr>
      <t>The Auditor can use the cells below to provide additional details that are pertinent to the performance indicator.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</si>
  <si>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</si>
  <si>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</si>
  <si>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</si>
  <si>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Total Gross Capital Assets - without accumulated depreciation</t>
  </si>
  <si>
    <t>Combined Totals of all Proprietary Funds - Amount of Inventories and Prepaids in current assets</t>
  </si>
  <si>
    <t>Statement of Net Position - combined totals from all Proprietary Funds</t>
  </si>
  <si>
    <t>Mental Health Net Position - Net Investment in Capital Assets</t>
  </si>
  <si>
    <t>Mental Health Net Position - Restricted Net Position</t>
  </si>
  <si>
    <t>Total Transfers in    (Preference is that transfers-in  are not netted against transfers-out)</t>
  </si>
  <si>
    <t>Total Transfers out    (Preference is that transfers-in  are not netted against transfers-out)</t>
  </si>
  <si>
    <t>Mental Health-Balance Sheet - Non GAAP</t>
  </si>
  <si>
    <t>Total Liabilities payable from restricted assets (only complete if this if unit has listed this account in their financial statements for the Mental Health Enterprise Fund Non GAAP and the auditor has listed the cash to be used to pay the liabilities as restricted)</t>
  </si>
  <si>
    <t>Current Liabilities 
Exclude: all deferred inflows
                 current debt service payments
Include: Liabilities payable from restricted assets.</t>
  </si>
  <si>
    <t xml:space="preserve">Mental Health Enterprise Fund Non GAAP deferred inflows or liabilities derived from cash receipts.   </t>
  </si>
  <si>
    <t>Total expenditures  
Exclude: expenditures in the ""other financing sources (uses)"" section.</t>
  </si>
  <si>
    <t xml:space="preserve">All unrestricted cash and investments.  
Exclude restricted cash and cash held by a third party. </t>
  </si>
  <si>
    <t>Total Proceeds from all long-term debt issuances 
Exclude: proceeds from refundings</t>
  </si>
  <si>
    <t>Mental Health Enterprise Fund Non GAAP-Rev, Exp. Change in Fund Balance</t>
  </si>
  <si>
    <t>Mental Health Enterprise Fund Non GAAP -  Total Encumbrances.  You will have to refer to the note disclosure where the amount of encumbrances is listed.</t>
  </si>
  <si>
    <t>Please enter the principal and interest due next fiscal year on existing borrowings.</t>
  </si>
  <si>
    <t>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t>
  </si>
  <si>
    <t>Please enter your tax rate for ad valorem in effect for fiscal year audited.  Example 60 cents per 100 would be entered as .60</t>
  </si>
  <si>
    <t>Business Type - Total Transfers In</t>
  </si>
  <si>
    <t>Business Type - Total Transfers Out</t>
  </si>
  <si>
    <t>MH Enterprise Fund Non GAAP - Unrestricted Cash &amp; Investments</t>
  </si>
  <si>
    <t>MH Enterprise Fund Non GAAP - Restricted Cash &amp; Investments</t>
  </si>
  <si>
    <t>MH Enterprise Fund Non GAAP- Current  Liabilities</t>
  </si>
  <si>
    <t>MH Enterprise Fund Non GAAP - deferred inflows derived from Cash Receipts</t>
  </si>
  <si>
    <t>MH Enterprise Fund Non GAAP - Liabilities from Restricted Assets</t>
  </si>
  <si>
    <t xml:space="preserve">MH Enterprise Fund Non GAAP - Total Expenditures </t>
  </si>
  <si>
    <t xml:space="preserve">MH- Proceeds from LTD </t>
  </si>
  <si>
    <t>MH Enterprise Fund Non GAAP - Positive debt refund</t>
  </si>
  <si>
    <t>MH Enterprise Fund Non GAAP - Transfers Out</t>
  </si>
  <si>
    <t>MH Enterprise Fund Non GAAP - Encumbrances</t>
  </si>
  <si>
    <t>MH Enterprise Fund P &amp; I Due next year</t>
  </si>
  <si>
    <t>Hospital/MH -EF- Total Gross Capital Assets (BS), w/o acc. dep.</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</si>
  <si>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</si>
  <si>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</si>
  <si>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</si>
  <si>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</si>
  <si>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</si>
  <si>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</si>
  <si>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</si>
  <si>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color theme="1"/>
        <rFont val="Calibri"/>
        <family val="2"/>
        <scheme val="minor"/>
      </rPr>
      <t>Date Format  MM/DD/YYYY</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</si>
  <si>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</si>
  <si>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</si>
  <si>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</si>
  <si>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</si>
  <si>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</si>
  <si>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</si>
  <si>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</si>
  <si>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</si>
  <si>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</si>
  <si>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</si>
  <si>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</si>
  <si>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</si>
  <si>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</si>
  <si>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</si>
  <si>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</si>
  <si>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</si>
  <si>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</si>
  <si>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</si>
  <si>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</si>
  <si>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</si>
  <si>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</si>
  <si>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</si>
  <si>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</si>
  <si>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</si>
  <si>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</si>
  <si>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</si>
  <si>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</si>
  <si>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</si>
  <si>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</si>
  <si>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</si>
  <si>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</si>
  <si>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</si>
  <si>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</si>
  <si>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</si>
  <si>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</si>
  <si>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</si>
  <si>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</si>
  <si>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</si>
  <si>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t xml:space="preserve">Amount of </t>
    </r>
    <r>
      <rPr>
        <u/>
        <sz val="11"/>
        <color indexed="8"/>
        <rFont val="Calibri"/>
        <family val="2"/>
        <scheme val="minor"/>
      </rPr>
      <t>Local Current Expense Funds</t>
    </r>
    <r>
      <rPr>
        <sz val="11"/>
        <color indexed="8"/>
        <rFont val="Calibri"/>
        <family val="2"/>
        <scheme val="minor"/>
      </rPr>
      <t xml:space="preserve"> received from the County transferred to Fund 8 this year.</t>
    </r>
  </si>
  <si>
    <r>
      <t xml:space="preserve">Amount of </t>
    </r>
    <r>
      <rPr>
        <u/>
        <sz val="11"/>
        <color indexed="8"/>
        <rFont val="Calibri"/>
        <family val="2"/>
        <scheme val="minor"/>
      </rPr>
      <t>Capital Outlay Funds</t>
    </r>
    <r>
      <rPr>
        <sz val="11"/>
        <color indexed="8"/>
        <rFont val="Calibri"/>
        <family val="2"/>
        <scheme val="minor"/>
      </rPr>
      <t xml:space="preserve"> received from the County transferred to Fund 8 this year.</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</si>
  <si>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</si>
  <si>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t xml:space="preserve">Total Long-term debt (non current portion only) - </t>
    </r>
    <r>
      <rPr>
        <sz val="11"/>
        <color indexed="10"/>
        <rFont val="Calibri"/>
        <family val="2"/>
        <scheme val="minor"/>
      </rPr>
      <t>enter as a positive</t>
    </r>
  </si>
  <si>
    <r>
      <t xml:space="preserve">Total Operating Expenses. May include Interest Expense - </t>
    </r>
    <r>
      <rPr>
        <sz val="11"/>
        <color indexed="10"/>
        <rFont val="Calibri"/>
        <family val="2"/>
        <scheme val="minor"/>
      </rPr>
      <t>Enter as a positive</t>
    </r>
  </si>
  <si>
    <r>
      <t xml:space="preserve">Interest Expense - </t>
    </r>
    <r>
      <rPr>
        <sz val="11"/>
        <color indexed="10"/>
        <rFont val="Calibri"/>
        <family val="2"/>
        <scheme val="minor"/>
      </rPr>
      <t xml:space="preserve">Enter as a positive </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</si>
  <si>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</si>
  <si>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</si>
  <si>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</si>
  <si>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</si>
  <si>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</si>
  <si>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</si>
  <si>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</si>
  <si>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</si>
  <si>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</si>
  <si>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</si>
  <si>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</si>
  <si>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</si>
  <si>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</si>
  <si>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</si>
  <si>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</si>
  <si>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</si>
  <si>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</si>
  <si>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</si>
  <si>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</si>
  <si>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</si>
  <si>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</si>
  <si>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</si>
  <si>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or No</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</si>
  <si>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 or No</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</si>
  <si>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</si>
  <si>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</si>
  <si>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</si>
  <si>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</si>
  <si>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</si>
  <si>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</si>
  <si>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</si>
  <si>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</si>
  <si>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</si>
  <si>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</si>
  <si>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</si>
  <si>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</si>
  <si>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</si>
  <si>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</si>
  <si>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</si>
  <si>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</si>
  <si>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</si>
  <si>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</si>
  <si>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</si>
  <si>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</si>
  <si>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</si>
  <si>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Capital Assets for Water and Sewer Activity </t>
    </r>
    <r>
      <rPr>
        <sz val="11"/>
        <color indexed="60"/>
        <rFont val="Calibri"/>
        <family val="2"/>
        <scheme val="minor"/>
      </rPr>
      <t>(If unit maintains separate funds please combine all water, sewer and wastewater funds into one activity for purposes of this worksheet)</t>
    </r>
    <r>
      <rPr>
        <b/>
        <sz val="11"/>
        <color indexed="8"/>
        <rFont val="Calibri"/>
        <family val="2"/>
        <scheme val="minor"/>
      </rPr>
      <t xml:space="preserve">
Exclude </t>
    </r>
    <r>
      <rPr>
        <sz val="11"/>
        <color indexed="8"/>
        <rFont val="Calibri"/>
        <family val="2"/>
        <scheme val="minor"/>
      </rPr>
      <t>Stormwater funds</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</si>
  <si>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</si>
  <si>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</si>
  <si>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</si>
  <si>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</si>
  <si>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</si>
  <si>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</si>
  <si>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</si>
  <si>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</si>
  <si>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</si>
  <si>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</si>
  <si>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</si>
  <si>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</si>
  <si>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</si>
  <si>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</si>
  <si>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</si>
  <si>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</si>
  <si>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</si>
  <si>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</si>
  <si>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</si>
  <si>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</si>
  <si>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</si>
  <si>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</si>
  <si>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</si>
  <si>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</si>
  <si>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</si>
  <si>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</si>
  <si>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Hospital-EF- Unrestricted Cash &amp; Invest. [Incl.all but Held by Trustee or 3rd party restricted](BS)</t>
  </si>
  <si>
    <t>Unit Data from Audit Worksheet tab: '(506+536-4-5-6-11)+647/(532+509+20-533-508)</t>
  </si>
  <si>
    <t>County only</t>
  </si>
  <si>
    <t>hide for muni, county, utility</t>
  </si>
  <si>
    <t>MH Enterprise Fund Non GAAP - Negative debt refund</t>
  </si>
  <si>
    <t>Mental Health Net Position - Unrestricted Net Position</t>
  </si>
  <si>
    <t>Messages</t>
  </si>
  <si>
    <t>not on 2020 Data</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</si>
  <si>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</si>
  <si>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</si>
  <si>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t>Comb-Proprietary Funds-Current Assets 
Exclude: any restricted assets
                  deferred outflows</t>
  </si>
  <si>
    <t>Mental Health Enterprise Fund Non GAAP (Budget Actual Statements behind the notes)</t>
  </si>
  <si>
    <t>Mental Health or Hospital-EF- Patient Accounts Receivable, Net of Allowance for Bad Debt</t>
  </si>
  <si>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</si>
  <si>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</si>
  <si>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</si>
  <si>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</si>
  <si>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</si>
  <si>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</si>
  <si>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</si>
  <si>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</si>
  <si>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</si>
  <si>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</si>
  <si>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</si>
  <si>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</si>
  <si>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</si>
  <si>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</si>
  <si>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</si>
  <si>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r>
      <rPr>
        <u/>
        <sz val="11"/>
        <rFont val="Calibri"/>
        <family val="2"/>
        <scheme val="minor"/>
      </rPr>
      <t xml:space="preserve">Please enter the </t>
    </r>
    <r>
      <rPr>
        <b/>
        <u/>
        <sz val="11"/>
        <rFont val="Calibri"/>
        <family val="2"/>
        <scheme val="minor"/>
      </rPr>
      <t>Net Current year's levy for property excluding registered motor vehicles</t>
    </r>
    <r>
      <rPr>
        <sz val="11"/>
        <rFont val="Calibri"/>
        <family val="2"/>
        <scheme val="minor"/>
      </rPr>
      <t xml:space="preserve">-- </t>
    </r>
    <r>
      <rPr>
        <sz val="11"/>
        <color indexed="60"/>
        <rFont val="Calibri"/>
        <family val="2"/>
        <scheme val="minor"/>
      </rPr>
      <t>(after adjusting for discoveries and abatements)</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</si>
  <si>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Leave blank if data not available</t>
  </si>
  <si>
    <t>If you appropriated General Fund Balance in your 2021 budget and your "change in fund balance": (account # 9 above) is negative, please select from the drop down box in column F either "operations" or "capital", whichever best describes what the fund balance was used for.  If you select "Capital" please briefly describe in column G to the right the capital items.</t>
  </si>
  <si>
    <t>Debt Service Fund Balance</t>
  </si>
  <si>
    <t>Is there is a going concern finding noted in the audit report</t>
  </si>
  <si>
    <t>Did unit have problems with debt service payments being late, debt restructured or not meeting bond covenants</t>
  </si>
  <si>
    <t>Were there statutory violations disclosed in the audit</t>
  </si>
  <si>
    <t>Were major funds overspent</t>
  </si>
  <si>
    <t>If you answered "yes" to question CCH #988 above, will you have the closure/postclosure cost fully funded by the date of closure</t>
  </si>
  <si>
    <t>Greater than 16% (2 months)</t>
  </si>
  <si>
    <t>It appears your Water Sewer fund(s) have  transfers-in for the support of operations that are greater than 3% of the total of operating and non-operating expenses.  Please discuss the purpose of such transfers-in and if you plan to continue these transfers-in.</t>
  </si>
  <si>
    <t>Unit Data from Audit worksheet tab :  CCH acct # 986 is greater than (CCH 85+CCH 351)*.03</t>
  </si>
  <si>
    <t>If you encounter an Excel error in the various indicators such as "false", "#DIV/0!" OR "#NA", normally the reason is you did not to answer one of the questions used to calculate the formula - Column G provides the accounts and formula used in the calculation.  If the Unit Results cell is red, please verify that the data is entered correctly in the "Unit Data From Audit Worksheet" or "TD Info Completed by Auditor" as indicated for accounts listed in Column G.</t>
  </si>
  <si>
    <t>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increase revenues or decrease expenditures.  The Threshold tab in this worksheet discusses the various expenditure groupings.</t>
  </si>
  <si>
    <t>On the Unit Assistance List</t>
  </si>
  <si>
    <t>You have indicated that you have a  landfill that will be closing  or have a significant portion closing within the next 5 years  and will have the closure/postclosure cost fully funded by the date of closure.</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</si>
  <si>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</si>
  <si>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Note one month of expenditures is equal to 8.33%.  In your Response Letter please provide detail plans on how your unit will improve your available fund balance.  Normally, a unit has to either increasing revenues or decreasing expenditures.  </t>
  </si>
  <si>
    <t>Unit Data from Audit Worksheet tab: (13-534)/14</t>
  </si>
  <si>
    <t>Available Fund Balance + debt service fund balance / Total Expenditures and Transfers-out less bond proceeds</t>
  </si>
  <si>
    <t>Select Unit Name from Drop Down List</t>
  </si>
  <si>
    <t>The General Fund had a fund balance available less than 8% or one month of expenditures</t>
  </si>
  <si>
    <t>Section 1: Data Collection NOTE:  the data submitted below may be used in various published reports</t>
  </si>
  <si>
    <t>The  name of the Primary Government for the file name and in question 1 should not contain the words "Town of", Village of" etc…..The City of Dogwood = Dogwood</t>
  </si>
  <si>
    <t>Copy of final Ual as of 4/23/2021 based on June 30 2020 audited financals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</si>
  <si>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</si>
  <si>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</si>
  <si>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</si>
  <si>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</si>
  <si>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</si>
  <si>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</si>
  <si>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</si>
  <si>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</si>
  <si>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</si>
  <si>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</si>
  <si>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</si>
  <si>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</si>
  <si>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</si>
  <si>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</si>
  <si>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</si>
  <si>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</si>
  <si>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</si>
  <si>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</si>
  <si>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</si>
  <si>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</si>
  <si>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</si>
  <si>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</si>
  <si>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</si>
  <si>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</si>
  <si>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</si>
  <si>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</si>
  <si>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</si>
  <si>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</si>
  <si>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</si>
  <si>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</si>
  <si>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</si>
  <si>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</si>
  <si>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</si>
  <si>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</si>
  <si>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</si>
  <si>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</si>
  <si>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</si>
  <si>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</si>
  <si>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</si>
  <si>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</si>
  <si>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</si>
  <si>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</si>
  <si>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</si>
  <si>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</si>
  <si>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</si>
  <si>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Davie County</t>
  </si>
  <si>
    <t>Graham County</t>
  </si>
  <si>
    <t>Martin County</t>
  </si>
  <si>
    <t>Person County</t>
  </si>
  <si>
    <t>Bay River Metropolitan Sewer District</t>
  </si>
  <si>
    <t>Brunswick Regional Water Sewer - H2GO</t>
  </si>
  <si>
    <t>Maggie Valley Sanitary District</t>
  </si>
  <si>
    <t>Ocracoke Sanitary District</t>
  </si>
  <si>
    <t>Swan Quarter Sanitary District</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</si>
  <si>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then the unit must submit a "Response to the Auditor's Findings, Recommendations, and Fiscal Matters" within 60 days from the auditor's board presentation.  The response must address all performance indicators shaded in red.</t>
  </si>
  <si>
    <t>Fiscal Year 2021</t>
  </si>
  <si>
    <t>In the past, units of government have been grouped by population to evaluate various ratios and benchmarking.  This year we have also grouped units by expenditure which is a more effective comparison for some ratios.  Beginning with this year, units of government have been grouped by general fund expenditures for purposes of evaluating available fund balance as a percentage of expenditures (GF FBA%).  Each grouping category has its own minimum threshold. If you are in the lower quartile your GF FBA% might be considered a performance indicator of concern and you might be asked to communicate to us. To the left are the minimum thresholds for Municipalities and Counties.</t>
  </si>
  <si>
    <t>GENERAL FUND:</t>
  </si>
  <si>
    <t>Unit Results</t>
  </si>
  <si>
    <t>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Note that 8.33% represents enough fund balance to cover one month of expenditures.  Normally, a unit has to either increase revenues or decrease expenditures to increase fund balance available. 
This calculation looks at fund balance available plus debt service fund balance (if applicable) less Powell Bill.  This number is them divided by the total of total expenditures plus transfers out less bond proceeds.</t>
  </si>
  <si>
    <t>It is not uncommon for a Water Sewer System with multiple performance indicators of concern to find that a proposed solution to one of the indicators also solves other performance indicators of concern.</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</si>
  <si>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water and/or sewer system may not be sustainable.</t>
  </si>
  <si>
    <t>2019</t>
  </si>
  <si>
    <t>2020</t>
  </si>
  <si>
    <t>2021</t>
  </si>
  <si>
    <t>Greater than zero</t>
  </si>
  <si>
    <t xml:space="preserve">This calculation subtracts operating expenses (which also includes depreciation and debt principal paid) from operating revenues.  A negative balance indicates that your rates are not covering your operating expenses.  </t>
  </si>
  <si>
    <t>This indicator calculates how many month's worth of expenses (including debt principal but not depreciation) a unit can pay based on the amount of unrestricted cash at year-end.  The typical billing cycle is one month (8.33%) and one extra month usually gives a local government enough cash  to handle unusual monthly expenses (16.66%).  This 16% would be the bare minimum necessary to keep the fund from experiencing cash flow issues.</t>
  </si>
  <si>
    <t>Unit Data from Audit worksheet tab :  CCH acct # 986 is greater than (CCH 112+CCH 109)*.03</t>
  </si>
  <si>
    <t>The rate structure of the Water Sewer fund should support the expenses of the Fund without operating subsidies or transfers from other funds.</t>
  </si>
  <si>
    <t>ELECTRIC FUND:</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</si>
  <si>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</si>
  <si>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 xml:space="preserve">This calculation subtracts operating expenses (which also includes depreciation and debt principal paid) from operating revenues.  A negative balance in this indicates that your rates are not covering your operating expenses.  </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</si>
  <si>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</si>
  <si>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</si>
  <si>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</si>
  <si>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This indicator shows that the local government did not collect 3% (or more) of its budgeted tax levy.  This could be an indicator of negative economic events, inaccurate budgeting, and/or issues with the collection process.  Uncollected revenues at the 3% level represent several pennies of the tax rate.</t>
  </si>
  <si>
    <t>You indicated that you expect a decrease in property value for your next property revaluation.   In your Response Letter please discuss the magnitude of the drop in valuation, the overall cause of the drop and how your County plans to recover the lost revenues.</t>
  </si>
  <si>
    <t>Any estimated decrease</t>
  </si>
  <si>
    <t>You indicated that you expect a decrease in property value for your next property revaluation which could result in lost tax revenue.</t>
  </si>
  <si>
    <t>The unit had expenditures that exceeded the legal budget ordinance.  This indicates that the unit's purchase order system, contract approval process and / or payment process is not in compliance with North Carolina General Statute 159.</t>
  </si>
  <si>
    <t xml:space="preserve">The local government has indicated there is substantial unbudgeted costs that could significantly impact their operations and/or customer rates.  </t>
  </si>
  <si>
    <t>If a unit has no performance indicators of concern that would require them to submit a Response to Audit Findings, Recommendations and Fiscal Matters, but they are currently on the  Unit Assistance List, they must still submit a Response to Audit Findings, Recommendations and Fiscal Matters.  Their response should discuss the financial plan they have developed to address the issues that placed them on the Unit Assistance List and the progress they have made to date.</t>
  </si>
  <si>
    <t>This indicator lists whether the unit has a statutory violation.</t>
  </si>
  <si>
    <t>This indicator lists whether or not the unit has issues with debt service payments or bond covenants.</t>
  </si>
  <si>
    <t>This indicator tells if you have a landfill that is estimated to close within 5 years but the unit may not have enough funds for the closure/post closure costs.</t>
  </si>
  <si>
    <t>This indicator states whether or not your auditor has identified material and/or significant findings or any other findings for your unit.</t>
  </si>
  <si>
    <t>This indicator shows if there were transfer out of the Electric Fund.  This only applies to units that are subject to  GS 159B-39 : Apex, Ayden, Belhaven, Benson, Clayton, Edenton, Elizabeth City, Farmville, Fremont, Greenville, Hamilton, Hertford, Hobgood, Hookerton, Kinston, LaGrange, Laurinburg, Louisburg, Lumberton, New Bern, Pikeville, Red Springs, Robersonville, Rocky Mount, Scotland Neck, Selma, Smithfield, Southport, Tarboro, Wake Forest, Washington, and Wilson.</t>
  </si>
  <si>
    <t>Please explain the additional issue the unit needs to address in column H to the right.</t>
  </si>
  <si>
    <t>This indicator lists any other issues that the unit should address.</t>
  </si>
  <si>
    <t>If you encounter an Excel error in the various indicators such as "false", "#DIV/0!" OR "#NA", normally the reason is you did not to answer one of the questions used to calculate the formula - This column provides the accounts and formula used in the calculation.  If the Unit Results cell is red, please verify that the data is entered correctly in the "Unit Data From Audit Worksheet" or "TD Info Completed by Auditor" as indicated for accounts listed in Column G.</t>
  </si>
  <si>
    <t>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Note that 8.33% represents enough fund balance to cover one month of expenditures.  Normally, a unit has to either increase revenues or decrease expenditures to increase fund balance available. 
This calculation looks at fund balance available plus debt service fund balance (if applicable).  This number is them divided by the total of total expenditures plus transfers out less bond proceeds.</t>
  </si>
  <si>
    <t>Water Sewer Fund</t>
  </si>
  <si>
    <t>The Auditor will submit the Audit Report to the LGC within five months plus one day after the fiscal year end.  (for units with a June 30th fiscal year-end this would be December 1)   Select Yes or No</t>
  </si>
  <si>
    <t>The 2021 Audit Report is expected to be submitted within five months plus one day from the fiscal year end per the auditor.  (December 1st for most units)</t>
  </si>
  <si>
    <t>5 months plus one day after the fiscal year end</t>
  </si>
  <si>
    <t>Unit data from Audit Worksheet tab ; 84-85+49-331</t>
  </si>
  <si>
    <t>Unit Data from Audit worksheet tab : 93-94+52-100</t>
  </si>
  <si>
    <t>Data Import 2019</t>
  </si>
  <si>
    <t>Use on upload template</t>
  </si>
  <si>
    <t>Comb-Proprietary Funds-Current Assets less any restricted assets. Do not include deferred outflows.</t>
  </si>
  <si>
    <t>Comb-Proprietary Funds - Current Liabilities</t>
  </si>
  <si>
    <t>GF- Total expenditures. Enter as positive.</t>
  </si>
  <si>
    <t>Combined Total of all Proprietary Funds - Change in Net Position</t>
  </si>
  <si>
    <t>Electric-EF- Current Assets (unrestricted, excl. inventory and prepaids)</t>
  </si>
  <si>
    <t>Electric - Change in Net Assets</t>
  </si>
  <si>
    <t>Electric Net Transfers in(out) to GF</t>
  </si>
  <si>
    <t>Electric - Gross Capital Assets</t>
  </si>
  <si>
    <t>OPEB- Net OPEB obligation, ending</t>
  </si>
  <si>
    <t>OPEB- Annual OPEB cost(expense)</t>
  </si>
  <si>
    <t>OPEB- Total UAAL (unfunded actuarial accrued liability)</t>
  </si>
  <si>
    <t>OPEB- ARC (annual required contribution)</t>
  </si>
  <si>
    <t>OPEB- UAAL as % of covered payroll</t>
  </si>
  <si>
    <t>WS- Net Infrastructure Capital Assets</t>
  </si>
  <si>
    <t>GA- Total Depreciable capital assets, gross (no non-depreciable CA)(Notes)</t>
  </si>
  <si>
    <t>GA- Total LTD (ST &amp;LT, include BANs; No Comp Abs, Pension, OPEB)(Notes) Enter as positive.</t>
  </si>
  <si>
    <t>GA- Total Program revenues (positive only)(SOA)</t>
  </si>
  <si>
    <t>Electric - Total Assets</t>
  </si>
  <si>
    <t>Cash and Investment - Bond Proceeds - All Funds</t>
  </si>
  <si>
    <t>Hospital - Budget required have $.02</t>
  </si>
  <si>
    <t>Hospital - Contract required have $.03</t>
  </si>
  <si>
    <t>TD - auditor</t>
  </si>
  <si>
    <t>TD -Internal</t>
  </si>
  <si>
    <t>total expenditures for FBA Calculation</t>
  </si>
  <si>
    <t>should equal column E on 2021 DIW</t>
  </si>
  <si>
    <t>The State and Local Government Finance Division did not create any Performance Indicators for Boards of Education for Fiscal Year 2021</t>
  </si>
  <si>
    <t>Please indicate if you expect your revaluation to increase, decrease, or no change.  If you are not listed please select N/A</t>
  </si>
  <si>
    <t>Kannapolis City Schools</t>
  </si>
  <si>
    <t>Lee County Schools</t>
  </si>
  <si>
    <t>Lenoir County Schools</t>
  </si>
  <si>
    <t>Lexington City Schools</t>
  </si>
  <si>
    <t>Lincoln County Schools</t>
  </si>
  <si>
    <t>Macon County Schools</t>
  </si>
  <si>
    <t>Madison County Schools</t>
  </si>
  <si>
    <t>Martin County Schools</t>
  </si>
  <si>
    <t>Mcdowell County Schools</t>
  </si>
  <si>
    <t>Mitchell County Schools</t>
  </si>
  <si>
    <t>Montgomery County Schools</t>
  </si>
  <si>
    <t>Moore County Schools</t>
  </si>
  <si>
    <t>Mooresville Graded School District</t>
  </si>
  <si>
    <t>Mount Airy City Schools</t>
  </si>
  <si>
    <t>North East Regional School of Biotechnology and Agriscience</t>
  </si>
  <si>
    <t>Nash/Rocky Mount Schools</t>
  </si>
  <si>
    <t>New Hanover County Schools</t>
  </si>
  <si>
    <t>Newton/Conover City Schools</t>
  </si>
  <si>
    <t>Northampton County Schools</t>
  </si>
  <si>
    <t>Onslow County Schools</t>
  </si>
  <si>
    <t>Orange County Schools</t>
  </si>
  <si>
    <t>Pamlico County Schools</t>
  </si>
  <si>
    <t>Pender County Schools</t>
  </si>
  <si>
    <t>Perquimans County Schools</t>
  </si>
  <si>
    <t>Person County Schools</t>
  </si>
  <si>
    <t>Pitt County Schools</t>
  </si>
  <si>
    <t>Polk County Schools</t>
  </si>
  <si>
    <t>Randolph County Schools</t>
  </si>
  <si>
    <t>Richmond County Schools</t>
  </si>
  <si>
    <t>Roanoke Rapids City Schools</t>
  </si>
  <si>
    <t>Robeson County Schools</t>
  </si>
  <si>
    <t>Rockingham County Schools</t>
  </si>
  <si>
    <t>Rowan County/Salisbury City Schools</t>
  </si>
  <si>
    <t>Rutherford County Schools</t>
  </si>
  <si>
    <t>Sampson County Schools</t>
  </si>
  <si>
    <t>Scotland County Schools</t>
  </si>
  <si>
    <t>Stanly County Schools</t>
  </si>
  <si>
    <t>Stokes County Schools</t>
  </si>
  <si>
    <t>Surry County Schools</t>
  </si>
  <si>
    <t>Swain County Schools</t>
  </si>
  <si>
    <t>Thomasville City Schools</t>
  </si>
  <si>
    <t>Transylvania County Schools</t>
  </si>
  <si>
    <t>Tyrrell County Schools</t>
  </si>
  <si>
    <t>Union County Schools</t>
  </si>
  <si>
    <t>Vance County Schools</t>
  </si>
  <si>
    <t>Wake County Schools</t>
  </si>
  <si>
    <t>Warren County Schools</t>
  </si>
  <si>
    <t>Washington County Schools</t>
  </si>
  <si>
    <t>Watauga County Schools</t>
  </si>
  <si>
    <t>Wayne County Public Schools</t>
  </si>
  <si>
    <t>Weldon City Schools</t>
  </si>
  <si>
    <t>Whiteville City Schools</t>
  </si>
  <si>
    <t>Wilkes County Schools</t>
  </si>
  <si>
    <t>Wilson County Schools</t>
  </si>
  <si>
    <t>Winston-Salem/Forsyth County Schools</t>
  </si>
  <si>
    <t>Yadkin County Schools</t>
  </si>
  <si>
    <t>Yancey County Schools</t>
  </si>
  <si>
    <t>CCH 342</t>
  </si>
  <si>
    <t>CCH 343</t>
  </si>
  <si>
    <t>CCH 344</t>
  </si>
  <si>
    <t>CCH 346</t>
  </si>
  <si>
    <t>CCH 347</t>
  </si>
  <si>
    <t>CCH 349</t>
  </si>
  <si>
    <t>CCH 350</t>
  </si>
  <si>
    <t>CCH 351</t>
  </si>
  <si>
    <t>CCH 352</t>
  </si>
  <si>
    <t>CCH 353</t>
  </si>
  <si>
    <t>CCH 354</t>
  </si>
  <si>
    <t>CCH 357</t>
  </si>
  <si>
    <t>CCH 359</t>
  </si>
  <si>
    <t>CCH 360</t>
  </si>
  <si>
    <t>CCH 361</t>
  </si>
  <si>
    <t>CCH 362</t>
  </si>
  <si>
    <t>CCH 363</t>
  </si>
  <si>
    <t>CCH 364</t>
  </si>
  <si>
    <t>CCH 365</t>
  </si>
  <si>
    <t>CCH 366</t>
  </si>
  <si>
    <t>CCH 367</t>
  </si>
  <si>
    <t>CCH 368</t>
  </si>
  <si>
    <t>CCH 369</t>
  </si>
  <si>
    <t>CCH 370</t>
  </si>
  <si>
    <t>CCH 371</t>
  </si>
  <si>
    <t>CCH 373</t>
  </si>
  <si>
    <t>CCH 375</t>
  </si>
  <si>
    <t>Electric - Any Adj. to Beginning Net Assets</t>
  </si>
  <si>
    <t>Net OPEB Liability</t>
  </si>
  <si>
    <t>Master Upload</t>
  </si>
  <si>
    <t>Data Import 2020</t>
  </si>
  <si>
    <t>do not delete row</t>
  </si>
  <si>
    <t>71% -- Average of similar units is 142%</t>
  </si>
  <si>
    <t xml:space="preserve">                                    -  </t>
  </si>
  <si>
    <t xml:space="preserve">                                      -  </t>
  </si>
  <si>
    <t xml:space="preserve">                                             -  </t>
  </si>
  <si>
    <t xml:space="preserve">                                        -  </t>
  </si>
  <si>
    <t>electric Gross Capital Assets</t>
  </si>
  <si>
    <t>Not on import tab, only loaded to SQL</t>
  </si>
  <si>
    <t>2020 Data(H)</t>
  </si>
  <si>
    <t>2019 Data(H)</t>
  </si>
  <si>
    <t>I</t>
  </si>
  <si>
    <t xml:space="preserve">Do you operate a landfill that will be closing  or have a significant portion closing within the next 5 years </t>
  </si>
  <si>
    <t>NC DEPARTMENT OF STATE TREASURER- STATE AND LOCAL GOVERNMENT FINANCE DIVISION
 TD Info Completed by Auditor</t>
  </si>
  <si>
    <t>Please see the INSTRUCTIONS worksheet before completing this form.</t>
  </si>
  <si>
    <t>Please have the completed audit report available to complete this form.  ALL questions must be answered before submitting to the portal.</t>
  </si>
  <si>
    <t>New for Fiscal 2021 -  Data Input Workbook incorporates the
Unit Data from Audit Worksheet, TD Info Completed by Auditor Worksheet, Performance Indicators Print Worksheet</t>
  </si>
  <si>
    <r>
      <rPr>
        <b/>
        <i/>
        <sz val="12"/>
        <rFont val="Cambria"/>
        <family val="1"/>
      </rPr>
      <t xml:space="preserve"> Data Input Workbook</t>
    </r>
    <r>
      <rPr>
        <i/>
        <sz val="12"/>
        <rFont val="Cambria"/>
        <family val="1"/>
      </rPr>
      <t xml:space="preserve"> - The newly combined workbook consist of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</si>
  <si>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</si>
  <si>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</si>
  <si>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</si>
  <si>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</si>
  <si>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</si>
  <si>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</si>
  <si>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</si>
  <si>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on lines 319-323 of the worksheet.  The worksheet must be </t>
    </r>
    <r>
      <rPr>
        <b/>
        <sz val="12"/>
        <color indexed="8"/>
        <rFont val="Cambria"/>
        <family val="1"/>
      </rPr>
      <t>submitted with the unit’s audit report</t>
    </r>
    <r>
      <rPr>
        <sz val="12"/>
        <color indexed="8"/>
        <rFont val="Cambria"/>
        <family val="1"/>
      </rPr>
      <t>.</t>
    </r>
  </si>
  <si>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</si>
  <si>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</si>
  <si>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</si>
  <si>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 xml:space="preserve">The TD Info Completed by Auditor Worksheet is to be filled out using the completed audit report for the fiscal year 2021. </t>
  </si>
  <si>
    <t>Please remember the original 2021 audit report submission cannot be processed unless we receive the following:</t>
  </si>
  <si>
    <t xml:space="preserve">- PDF file of the Audit Report named “Unit Name 2021 Audit”             </t>
  </si>
  <si>
    <t>- PDF file of all communication letters from the auditor to the unit  named “Unit Name 2021 comm #1”, “Unit Name 2021 comm #2”, etc.</t>
  </si>
  <si>
    <t xml:space="preserve">- Excel file named “Unit Name 2021 Data Input Workbook" </t>
  </si>
  <si>
    <t>We cannot complete our review process when "protection" is placed on the submitted documents.</t>
  </si>
  <si>
    <r>
      <t xml:space="preserve">We have added questions to the  2021 TD Info Completed by Auditor tab to assist our team in routing the audit report through our review process.  Please answer </t>
    </r>
    <r>
      <rPr>
        <b/>
        <i/>
        <u/>
        <sz val="12"/>
        <color rgb="FFFF0000"/>
        <rFont val="Cambria"/>
        <family val="1"/>
      </rPr>
      <t>all</t>
    </r>
    <r>
      <rPr>
        <b/>
        <i/>
        <sz val="12"/>
        <rFont val="Cambria"/>
        <family val="1"/>
      </rPr>
      <t xml:space="preserve"> questions before submitting the Data Input Workbook to the portal.  Incomplete TD Info Completed by Auditor tabs </t>
    </r>
    <r>
      <rPr>
        <b/>
        <sz val="12"/>
        <color theme="1"/>
        <rFont val="Century Schoolbook"/>
        <family val="1"/>
      </rPr>
      <t>will be returned and may delay invoice processing</t>
    </r>
    <r>
      <rPr>
        <sz val="12"/>
        <color theme="1"/>
        <rFont val="Century Schoolbook"/>
        <family val="1"/>
      </rPr>
      <t xml:space="preserve">.  </t>
    </r>
  </si>
  <si>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</si>
  <si>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</si>
  <si>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r>
      <t xml:space="preserve">If you are performing an audit for a year earlier than June 30, 2021, please email </t>
    </r>
    <r>
      <rPr>
        <b/>
        <sz val="12"/>
        <color theme="1"/>
        <rFont val="Cambria"/>
        <family val="1"/>
      </rPr>
      <t>LGCAudit@nctreasurer.com</t>
    </r>
    <r>
      <rPr>
        <sz val="12"/>
        <color theme="1"/>
        <rFont val="Cambria"/>
        <family val="1"/>
      </rPr>
      <t>, as you will need to use the appropriate transmittal and data input document for that time period.</t>
    </r>
  </si>
  <si>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</si>
  <si>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t>Please do not enter prior's years beginning balance as an adjustment in column F.</t>
  </si>
  <si>
    <t>Formula in cell E250</t>
  </si>
  <si>
    <t>Formula in cell E251</t>
  </si>
  <si>
    <t>Version Date 8/19/2021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</si>
</sst>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0.0000_);\(0.0000\)"/>
    <numFmt numFmtId="183" formatCode="#,##0.0_);[Red]\(#,##0.0\)"/>
    <numFmt numFmtId="184" formatCode="_(* #,##0.00000_);_(* \(#,##0.00000\);_(* &quot;-&quot;??_);_(@_)"/>
    <numFmt numFmtId="185" formatCode="0.00_);[Red]\(0.00\)"/>
  </numFmts>
  <fonts count="218"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11"/>
      <color indexed="9"/>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4"/>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sz val="8"/>
      <color theme="0"/>
      <name val="Calibri"/>
      <family val="2"/>
      <scheme val="minor"/>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b/>
      <sz val="12"/>
      <color theme="1"/>
      <name val="Century Schoolbook"/>
      <family val="1"/>
    </font>
    <font>
      <sz val="10"/>
      <color rgb="FF000000"/>
      <name val="Times New Roman"/>
      <family val="1"/>
    </font>
    <font>
      <sz val="10"/>
      <color rgb="FF000000"/>
      <name val="Verdana"/>
      <family val="2"/>
    </font>
    <font>
      <b/>
      <sz val="12"/>
      <color rgb="FF000000"/>
      <name val="Verdana"/>
      <family val="2"/>
    </font>
    <font>
      <sz val="10"/>
      <color theme="0"/>
      <name val="Verdana"/>
      <family val="2"/>
    </font>
    <font>
      <b/>
      <sz val="22"/>
      <color theme="0"/>
      <name val="Verdana"/>
      <family val="2"/>
    </font>
    <font>
      <b/>
      <sz val="10"/>
      <color rgb="FFFF0000"/>
      <name val="Verdana"/>
      <family val="2"/>
    </font>
    <font>
      <b/>
      <sz val="10"/>
      <name val="Verdana"/>
      <family val="2"/>
    </font>
    <font>
      <sz val="10"/>
      <name val="Verdana"/>
      <family val="2"/>
    </font>
    <font>
      <b/>
      <sz val="14"/>
      <color theme="0"/>
      <name val="Verdana"/>
      <family val="2"/>
    </font>
    <font>
      <sz val="14"/>
      <color theme="0"/>
      <name val="Verdana"/>
      <family val="2"/>
    </font>
    <font>
      <sz val="10"/>
      <color theme="0" tint="-0.14999847407452621"/>
      <name val="Verdana"/>
      <family val="2"/>
    </font>
    <font>
      <sz val="10"/>
      <color rgb="FF00B050"/>
      <name val="Verdana"/>
      <family val="2"/>
    </font>
    <font>
      <i/>
      <sz val="10"/>
      <name val="Verdana"/>
      <family val="2"/>
    </font>
    <font>
      <sz val="10"/>
      <color rgb="FFFF0000"/>
      <name val="Verdana"/>
      <family val="2"/>
    </font>
    <font>
      <i/>
      <sz val="10"/>
      <color rgb="FF000000"/>
      <name val="Verdana"/>
      <family val="2"/>
    </font>
    <font>
      <sz val="9.5"/>
      <name val="Verdana"/>
      <family val="2"/>
    </font>
    <font>
      <i/>
      <sz val="9.5"/>
      <name val="Verdana"/>
      <family val="2"/>
    </font>
    <font>
      <b/>
      <sz val="20"/>
      <color theme="3" tint="0.39997558519241921"/>
      <name val="Verdana"/>
      <family val="2"/>
    </font>
    <font>
      <sz val="10"/>
      <color theme="1"/>
      <name val="Verdana"/>
      <family val="2"/>
    </font>
    <font>
      <b/>
      <i/>
      <sz val="10"/>
      <color rgb="FF000000"/>
      <name val="Verdana"/>
      <family val="2"/>
    </font>
    <font>
      <i/>
      <sz val="10"/>
      <color theme="1"/>
      <name val="Verdana"/>
      <family val="2"/>
    </font>
    <font>
      <sz val="11"/>
      <color theme="1"/>
      <name val="Verdana"/>
      <family val="2"/>
    </font>
    <font>
      <sz val="12"/>
      <color theme="0"/>
      <name val="Verdana"/>
      <family val="2"/>
    </font>
    <font>
      <sz val="16"/>
      <color rgb="FFFF0000"/>
      <name val="Walbaum Display Heavy"/>
      <family val="1"/>
    </font>
    <font>
      <b/>
      <sz val="12"/>
      <name val="Verdana"/>
      <family val="2"/>
    </font>
    <font>
      <sz val="10"/>
      <name val="Arial"/>
      <family val="2"/>
    </font>
    <font>
      <sz val="8"/>
      <color rgb="FF000000"/>
      <name val="Verdana"/>
      <family val="2"/>
    </font>
    <font>
      <b/>
      <sz val="9"/>
      <color rgb="FFFF0000"/>
      <name val="Verdana"/>
      <family val="2"/>
    </font>
    <font>
      <sz val="8"/>
      <name val="Arial"/>
      <family val="2"/>
    </font>
    <font>
      <sz val="12"/>
      <name val="Garamond"/>
      <family val="1"/>
    </font>
    <font>
      <sz val="10"/>
      <color rgb="FF000000"/>
      <name val="Times New Roman"/>
      <family val="1"/>
    </font>
    <font>
      <sz val="11"/>
      <color rgb="FF000000"/>
      <name val="Calibri"/>
      <family val="2"/>
      <scheme val="minor"/>
    </font>
    <font>
      <b/>
      <sz val="8"/>
      <color rgb="FFFF0000"/>
      <name val="Verdana"/>
      <family val="2"/>
    </font>
    <font>
      <b/>
      <sz val="18"/>
      <color rgb="FFFF0000"/>
      <name val="Calibri"/>
      <family val="2"/>
      <scheme val="minor"/>
    </font>
    <font>
      <i/>
      <sz val="14"/>
      <color theme="1"/>
      <name val="Calibri"/>
      <family val="2"/>
      <scheme val="minor"/>
    </font>
    <font>
      <i/>
      <sz val="14"/>
      <color theme="3"/>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b/>
      <sz val="11"/>
      <color rgb="FF0070C0"/>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b/>
      <sz val="10"/>
      <color theme="1"/>
      <name val="Century Schoolbook"/>
      <family val="2"/>
    </font>
    <font>
      <b/>
      <sz val="10"/>
      <color indexed="8"/>
      <name val="Calibri"/>
      <family val="2"/>
      <scheme val="minor"/>
    </font>
    <font>
      <b/>
      <sz val="10"/>
      <color indexed="8"/>
      <name val="Century Schoolbook"/>
      <family val="2"/>
    </font>
    <font>
      <b/>
      <sz val="11"/>
      <name val="Calibri"/>
      <family val="2"/>
    </font>
    <font>
      <b/>
      <sz val="11"/>
      <color indexed="8"/>
      <name val="Century Schoolbook"/>
      <family val="1"/>
    </font>
    <font>
      <sz val="10"/>
      <name val="Arial"/>
      <family val="2"/>
    </font>
    <font>
      <sz val="36"/>
      <color theme="1"/>
      <name val="Calibri"/>
      <family val="2"/>
      <scheme val="minor"/>
    </font>
    <font>
      <sz val="8"/>
      <name val="Arial"/>
      <family val="2"/>
    </font>
    <font>
      <sz val="10"/>
      <name val="Arial"/>
      <family val="2"/>
    </font>
    <font>
      <sz val="12"/>
      <name val="Garamond"/>
      <family val="1"/>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2"/>
      <color theme="1"/>
      <name val="Cambria"/>
      <family val="1"/>
    </font>
  </fonts>
  <fills count="87">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0"/>
        <bgColor indexed="64"/>
      </patternFill>
    </fill>
    <fill>
      <patternFill patternType="solid">
        <fgColor rgb="FFCCFF66"/>
        <bgColor indexed="64"/>
      </patternFill>
    </fill>
    <fill>
      <patternFill patternType="solid">
        <fgColor theme="7" tint="0.59999389629810485"/>
        <bgColor indexed="64"/>
      </patternFill>
    </fill>
    <fill>
      <patternFill patternType="solid">
        <fgColor indexed="55"/>
        <bgColor indexed="64"/>
      </patternFill>
    </fill>
    <fill>
      <patternFill patternType="solid">
        <fgColor theme="0" tint="-0.249977111117893"/>
        <bgColor indexed="64"/>
      </patternFill>
    </fill>
    <fill>
      <patternFill patternType="solid">
        <fgColor rgb="FF99FFCC"/>
        <bgColor indexed="64"/>
      </patternFill>
    </fill>
  </fills>
  <borders count="1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3"/>
      </left>
      <right style="medium">
        <color theme="3"/>
      </right>
      <top style="medium">
        <color theme="3"/>
      </top>
      <bottom style="medium">
        <color theme="3"/>
      </bottom>
      <diagonal/>
    </border>
    <border>
      <left style="medium">
        <color indexed="64"/>
      </left>
      <right style="medium">
        <color indexed="64"/>
      </right>
      <top style="medium">
        <color indexed="64"/>
      </top>
      <bottom/>
      <diagonal/>
    </border>
    <border>
      <left/>
      <right style="medium">
        <color theme="3"/>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left>
      <right style="thin">
        <color theme="0"/>
      </right>
      <top style="thin">
        <color theme="0"/>
      </top>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0"/>
      </left>
      <right style="thin">
        <color theme="0"/>
      </right>
      <top/>
      <bottom style="thin">
        <color theme="0"/>
      </bottom>
      <diagonal/>
    </border>
    <border>
      <left style="thin">
        <color theme="1" tint="0.499984740745262"/>
      </left>
      <right style="thin">
        <color theme="1" tint="0.499984740745262"/>
      </right>
      <top/>
      <bottom style="thin">
        <color theme="1" tint="0.499984740745262"/>
      </bottom>
      <diagonal/>
    </border>
    <border>
      <left style="thin">
        <color theme="0"/>
      </left>
      <right/>
      <top/>
      <bottom/>
      <diagonal/>
    </border>
    <border>
      <left/>
      <right style="thin">
        <color theme="0"/>
      </right>
      <top/>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medium">
        <color indexed="64"/>
      </bottom>
      <diagonal/>
    </border>
    <border>
      <left style="thin">
        <color theme="1" tint="0.499984740745262"/>
      </left>
      <right/>
      <top/>
      <bottom style="thin">
        <color theme="1" tint="0.499984740745262"/>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0"/>
      </right>
      <top style="medium">
        <color indexed="64"/>
      </top>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top style="thin">
        <color theme="1" tint="0.499984740745262"/>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theme="0"/>
      </right>
      <top/>
      <bottom style="thin">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indexed="64"/>
      </bottom>
      <diagonal/>
    </border>
    <border>
      <left style="medium">
        <color indexed="64"/>
      </left>
      <right style="medium">
        <color indexed="64"/>
      </right>
      <top/>
      <bottom/>
      <diagonal/>
    </border>
    <border>
      <left/>
      <right style="medium">
        <color indexed="64"/>
      </right>
      <top/>
      <bottom style="thin">
        <color theme="1" tint="0.499984740745262"/>
      </bottom>
      <diagonal/>
    </border>
    <border>
      <left style="medium">
        <color indexed="64"/>
      </left>
      <right style="thin">
        <color theme="0"/>
      </right>
      <top/>
      <bottom/>
      <diagonal/>
    </border>
    <border>
      <left style="thin">
        <color theme="0"/>
      </left>
      <right/>
      <top style="medium">
        <color indexed="64"/>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right/>
      <top style="thin">
        <color theme="0"/>
      </top>
      <bottom style="thin">
        <color indexed="64"/>
      </bottom>
      <diagonal/>
    </border>
    <border>
      <left style="thin">
        <color theme="1" tint="0.499984740745262"/>
      </left>
      <right/>
      <top style="thin">
        <color theme="1" tint="0.499984740745262"/>
      </top>
      <bottom/>
      <diagonal/>
    </border>
  </borders>
  <cellStyleXfs count="32162">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7" fillId="0" borderId="0"/>
    <xf numFmtId="0" fontId="68" fillId="0" borderId="0"/>
    <xf numFmtId="0" fontId="68" fillId="0" borderId="0"/>
    <xf numFmtId="0" fontId="67" fillId="0" borderId="0"/>
    <xf numFmtId="0" fontId="68" fillId="0" borderId="0"/>
    <xf numFmtId="0" fontId="68" fillId="0" borderId="0"/>
    <xf numFmtId="0" fontId="69" fillId="0" borderId="0"/>
    <xf numFmtId="0" fontId="68"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8" fillId="0" borderId="0"/>
    <xf numFmtId="0" fontId="67" fillId="0" borderId="0"/>
    <xf numFmtId="0" fontId="6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7"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67" fillId="0" borderId="0"/>
    <xf numFmtId="0" fontId="67" fillId="0" borderId="0"/>
    <xf numFmtId="0" fontId="67" fillId="0" borderId="0"/>
    <xf numFmtId="0" fontId="67" fillId="0" borderId="0"/>
    <xf numFmtId="0" fontId="11" fillId="0" borderId="0"/>
    <xf numFmtId="0" fontId="67"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3" fillId="0" borderId="0"/>
    <xf numFmtId="0" fontId="33" fillId="0" borderId="0"/>
    <xf numFmtId="0" fontId="21" fillId="0" borderId="0"/>
    <xf numFmtId="0" fontId="33" fillId="0" borderId="0"/>
    <xf numFmtId="0" fontId="33" fillId="0" borderId="0"/>
    <xf numFmtId="0" fontId="33" fillId="0" borderId="0"/>
    <xf numFmtId="0" fontId="67" fillId="0" borderId="0"/>
    <xf numFmtId="0" fontId="33" fillId="0" borderId="0"/>
    <xf numFmtId="0" fontId="33" fillId="0" borderId="0"/>
    <xf numFmtId="0" fontId="33" fillId="0" borderId="0"/>
    <xf numFmtId="0" fontId="33" fillId="0" borderId="0"/>
    <xf numFmtId="0" fontId="3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3" fillId="0" borderId="0"/>
    <xf numFmtId="0" fontId="33" fillId="0" borderId="0"/>
    <xf numFmtId="0" fontId="33" fillId="0" borderId="0"/>
    <xf numFmtId="0" fontId="33" fillId="0" borderId="0"/>
    <xf numFmtId="0" fontId="33" fillId="0" borderId="0"/>
    <xf numFmtId="0" fontId="11"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9" fillId="0" borderId="0"/>
    <xf numFmtId="0" fontId="69" fillId="0" borderId="0"/>
    <xf numFmtId="0" fontId="33" fillId="0" borderId="0"/>
    <xf numFmtId="0" fontId="33" fillId="0" borderId="0"/>
    <xf numFmtId="0"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9"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8"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9"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8" fillId="0" borderId="0"/>
    <xf numFmtId="0" fontId="19" fillId="0" borderId="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3" fillId="0" borderId="47" applyNumberFormat="0" applyFill="0" applyAlignment="0" applyProtection="0"/>
    <xf numFmtId="0" fontId="74" fillId="0" borderId="48" applyNumberFormat="0" applyFill="0" applyAlignment="0" applyProtection="0"/>
    <xf numFmtId="0" fontId="75" fillId="0" borderId="49" applyNumberFormat="0" applyFill="0" applyAlignment="0" applyProtection="0"/>
    <xf numFmtId="0" fontId="75" fillId="0" borderId="0" applyNumberFormat="0" applyFill="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8" fillId="40" borderId="50" applyNumberFormat="0" applyAlignment="0" applyProtection="0"/>
    <xf numFmtId="0" fontId="79" fillId="41" borderId="51" applyNumberFormat="0" applyAlignment="0" applyProtection="0"/>
    <xf numFmtId="0" fontId="80" fillId="41" borderId="50" applyNumberFormat="0" applyAlignment="0" applyProtection="0"/>
    <xf numFmtId="0" fontId="81" fillId="0" borderId="52" applyNumberFormat="0" applyFill="0" applyAlignment="0" applyProtection="0"/>
    <xf numFmtId="0" fontId="82" fillId="42" borderId="53" applyNumberFormat="0" applyAlignment="0" applyProtection="0"/>
    <xf numFmtId="0" fontId="70" fillId="0" borderId="0" applyNumberFormat="0" applyFill="0" applyBorder="0" applyAlignment="0" applyProtection="0"/>
    <xf numFmtId="0" fontId="39" fillId="0" borderId="55" applyNumberFormat="0" applyFill="0" applyAlignment="0" applyProtection="0"/>
    <xf numFmtId="0" fontId="83" fillId="44" borderId="0" applyNumberFormat="0" applyBorder="0" applyAlignment="0" applyProtection="0"/>
    <xf numFmtId="0" fontId="83" fillId="45" borderId="0" applyNumberFormat="0" applyBorder="0" applyAlignment="0" applyProtection="0"/>
    <xf numFmtId="0" fontId="83" fillId="46" borderId="0" applyNumberFormat="0" applyBorder="0" applyAlignment="0" applyProtection="0"/>
    <xf numFmtId="0" fontId="83" fillId="47" borderId="0" applyNumberFormat="0" applyBorder="0" applyAlignment="0" applyProtection="0"/>
    <xf numFmtId="0" fontId="83" fillId="48" borderId="0" applyNumberFormat="0" applyBorder="0" applyAlignment="0" applyProtection="0"/>
    <xf numFmtId="0" fontId="83" fillId="49"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92" fillId="39" borderId="0" applyNumberFormat="0" applyBorder="0" applyAlignment="0" applyProtection="0"/>
    <xf numFmtId="0" fontId="33" fillId="43" borderId="54" applyNumberFormat="0" applyFont="0" applyAlignment="0" applyProtection="0"/>
    <xf numFmtId="40" fontId="85" fillId="0" borderId="17">
      <alignment horizontal="right"/>
    </xf>
    <xf numFmtId="0" fontId="86" fillId="0" borderId="0">
      <alignment horizontal="left"/>
    </xf>
    <xf numFmtId="49" fontId="11" fillId="0" borderId="0"/>
    <xf numFmtId="0" fontId="86" fillId="0" borderId="0">
      <alignment horizontal="left"/>
    </xf>
    <xf numFmtId="177" fontId="85" fillId="0" borderId="17">
      <alignment horizontal="right"/>
    </xf>
    <xf numFmtId="49" fontId="85"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4" fillId="50" borderId="0">
      <alignment horizontal="right" vertical="center"/>
    </xf>
    <xf numFmtId="49" fontId="84" fillId="50" borderId="0">
      <alignment horizontal="left" vertical="center"/>
    </xf>
    <xf numFmtId="49" fontId="84" fillId="50" borderId="0">
      <alignment horizontal="center" vertical="center"/>
    </xf>
    <xf numFmtId="49" fontId="84" fillId="50" borderId="0">
      <alignment horizontal="center" vertical="center"/>
    </xf>
    <xf numFmtId="49" fontId="84" fillId="50" borderId="0">
      <alignment horizontal="right" vertical="center"/>
    </xf>
    <xf numFmtId="40" fontId="84" fillId="50" borderId="0">
      <alignment horizontal="right"/>
    </xf>
    <xf numFmtId="49" fontId="84"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4" fillId="50" borderId="0">
      <alignment horizontal="center" vertical="center"/>
    </xf>
    <xf numFmtId="49" fontId="84" fillId="50" borderId="0">
      <alignment horizontal="center" vertical="center"/>
    </xf>
    <xf numFmtId="177" fontId="84" fillId="50" borderId="0">
      <alignment horizontal="center" vertical="center"/>
    </xf>
    <xf numFmtId="49" fontId="84" fillId="50" borderId="0">
      <alignment horizontal="right"/>
    </xf>
    <xf numFmtId="40" fontId="85" fillId="0" borderId="19">
      <alignment horizontal="right"/>
    </xf>
    <xf numFmtId="0" fontId="86" fillId="0" borderId="0">
      <alignment horizontal="left"/>
    </xf>
    <xf numFmtId="49" fontId="11" fillId="0" borderId="0"/>
    <xf numFmtId="0" fontId="86" fillId="0" borderId="0">
      <alignment horizontal="left"/>
    </xf>
    <xf numFmtId="177" fontId="85" fillId="0" borderId="19">
      <alignment horizontal="right"/>
    </xf>
    <xf numFmtId="49" fontId="85" fillId="0" borderId="0">
      <alignment horizontal="right"/>
    </xf>
    <xf numFmtId="49" fontId="11" fillId="0" borderId="0"/>
    <xf numFmtId="49" fontId="11" fillId="0" borderId="0"/>
    <xf numFmtId="40" fontId="85" fillId="0" borderId="14">
      <alignment horizontal="right"/>
    </xf>
    <xf numFmtId="49" fontId="85" fillId="0" borderId="0">
      <alignment horizontal="left"/>
    </xf>
    <xf numFmtId="49" fontId="11" fillId="0" borderId="0"/>
    <xf numFmtId="49" fontId="85" fillId="0" borderId="0">
      <alignment horizontal="left"/>
    </xf>
    <xf numFmtId="177" fontId="85" fillId="0" borderId="14">
      <alignment horizontal="right"/>
    </xf>
    <xf numFmtId="49" fontId="85" fillId="0" borderId="0">
      <alignment horizontal="right"/>
    </xf>
    <xf numFmtId="49" fontId="84" fillId="50" borderId="0">
      <alignment horizontal="center" vertical="center"/>
    </xf>
    <xf numFmtId="49" fontId="84" fillId="50" borderId="0">
      <alignment horizontal="center" vertical="center"/>
    </xf>
    <xf numFmtId="49" fontId="84" fillId="50" borderId="0">
      <alignment horizontal="center" vertical="center"/>
    </xf>
    <xf numFmtId="49" fontId="84" fillId="50" borderId="0">
      <alignment horizontal="center" vertical="center"/>
    </xf>
    <xf numFmtId="49" fontId="84" fillId="50" borderId="0">
      <alignment horizontal="center" vertical="center"/>
    </xf>
    <xf numFmtId="49" fontId="84" fillId="50" borderId="0">
      <alignment horizontal="center" vertical="center"/>
    </xf>
    <xf numFmtId="49" fontId="84" fillId="50" borderId="0">
      <alignment horizontal="center" vertical="center"/>
    </xf>
    <xf numFmtId="49" fontId="84" fillId="50" borderId="0">
      <alignment horizontal="center" vertical="center"/>
    </xf>
    <xf numFmtId="49" fontId="84"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5" fillId="51" borderId="0">
      <alignment horizontal="center" vertical="center"/>
    </xf>
    <xf numFmtId="49" fontId="11" fillId="51" borderId="0">
      <alignment horizontal="left" vertical="center"/>
    </xf>
    <xf numFmtId="49" fontId="85" fillId="51" borderId="0">
      <alignment horizontal="center" vertical="center"/>
    </xf>
    <xf numFmtId="0" fontId="85" fillId="52" borderId="0">
      <alignment horizontal="left"/>
    </xf>
    <xf numFmtId="49" fontId="11" fillId="0" borderId="0"/>
    <xf numFmtId="0" fontId="85" fillId="52" borderId="0">
      <alignment horizontal="left"/>
    </xf>
    <xf numFmtId="40" fontId="85" fillId="0" borderId="0">
      <alignment horizontal="right"/>
    </xf>
    <xf numFmtId="49" fontId="84" fillId="50" borderId="0"/>
    <xf numFmtId="49" fontId="84" fillId="50" borderId="0"/>
    <xf numFmtId="49" fontId="11" fillId="0" borderId="0"/>
    <xf numFmtId="0" fontId="87" fillId="53" borderId="0" applyFont="0" applyFill="0">
      <alignment horizontal="left" vertical="top" wrapText="1"/>
    </xf>
    <xf numFmtId="40" fontId="87" fillId="0" borderId="0"/>
    <xf numFmtId="40" fontId="87" fillId="0" borderId="0"/>
    <xf numFmtId="0" fontId="87" fillId="0" borderId="0">
      <alignment horizontal="left"/>
    </xf>
    <xf numFmtId="0" fontId="87" fillId="0" borderId="0">
      <alignment horizontal="center"/>
    </xf>
    <xf numFmtId="0" fontId="88" fillId="0" borderId="0">
      <alignment horizontal="center"/>
    </xf>
    <xf numFmtId="0" fontId="89" fillId="50" borderId="0">
      <alignment horizontal="left"/>
    </xf>
    <xf numFmtId="0" fontId="89" fillId="50" borderId="0">
      <alignment horizontal="left"/>
    </xf>
    <xf numFmtId="0" fontId="88" fillId="0" borderId="0">
      <alignment horizontal="center"/>
    </xf>
    <xf numFmtId="40" fontId="90" fillId="0" borderId="18"/>
    <xf numFmtId="40" fontId="90" fillId="0" borderId="18"/>
    <xf numFmtId="0" fontId="90" fillId="0" borderId="0"/>
    <xf numFmtId="0" fontId="90" fillId="0" borderId="0"/>
    <xf numFmtId="0" fontId="88" fillId="0" borderId="0">
      <alignment horizontal="center"/>
    </xf>
    <xf numFmtId="0" fontId="91" fillId="54" borderId="0">
      <alignment horizontal="left"/>
    </xf>
    <xf numFmtId="0" fontId="91" fillId="54" borderId="0">
      <alignment horizontal="left"/>
    </xf>
    <xf numFmtId="40" fontId="85" fillId="0" borderId="0">
      <alignment horizontal="right"/>
    </xf>
    <xf numFmtId="0" fontId="86" fillId="0" borderId="0">
      <alignment horizontal="left"/>
    </xf>
    <xf numFmtId="49" fontId="11" fillId="0" borderId="0"/>
    <xf numFmtId="0" fontId="86" fillId="0" borderId="0">
      <alignment horizontal="left"/>
    </xf>
    <xf numFmtId="177" fontId="85" fillId="0" borderId="0">
      <alignment horizontal="right"/>
    </xf>
    <xf numFmtId="49" fontId="85" fillId="0" borderId="0" applyBorder="0">
      <alignment horizontal="right"/>
    </xf>
    <xf numFmtId="0" fontId="11" fillId="0" borderId="0"/>
    <xf numFmtId="49" fontId="93" fillId="53" borderId="0">
      <alignment horizontal="left"/>
    </xf>
    <xf numFmtId="49" fontId="93" fillId="53" borderId="0">
      <alignment horizontal="left"/>
    </xf>
    <xf numFmtId="0" fontId="94" fillId="53" borderId="0">
      <alignment horizontal="left"/>
    </xf>
    <xf numFmtId="178" fontId="94" fillId="53" borderId="0">
      <alignment horizontal="left"/>
    </xf>
    <xf numFmtId="40" fontId="85" fillId="0" borderId="0">
      <alignment horizontal="right"/>
    </xf>
    <xf numFmtId="49" fontId="95" fillId="53" borderId="0">
      <alignment horizontal="left"/>
    </xf>
    <xf numFmtId="49" fontId="95" fillId="53" borderId="0">
      <alignment horizontal="left"/>
    </xf>
    <xf numFmtId="49" fontId="11" fillId="0" borderId="0"/>
    <xf numFmtId="40" fontId="85" fillId="0" borderId="14">
      <alignment horizontal="right"/>
    </xf>
    <xf numFmtId="49" fontId="85" fillId="0" borderId="0">
      <alignment horizontal="left"/>
    </xf>
    <xf numFmtId="49" fontId="11" fillId="0" borderId="0"/>
    <xf numFmtId="49" fontId="85" fillId="0" borderId="0">
      <alignment horizontal="left"/>
    </xf>
    <xf numFmtId="177" fontId="85" fillId="0" borderId="14">
      <alignment horizontal="right"/>
    </xf>
    <xf numFmtId="49" fontId="85" fillId="0" borderId="0">
      <alignment horizontal="right"/>
    </xf>
    <xf numFmtId="40" fontId="85" fillId="0" borderId="14">
      <alignment horizontal="right"/>
    </xf>
    <xf numFmtId="0" fontId="85" fillId="52" borderId="0">
      <alignment horizontal="left"/>
    </xf>
    <xf numFmtId="49" fontId="11" fillId="0" borderId="0"/>
    <xf numFmtId="0" fontId="85" fillId="52" borderId="0">
      <alignment horizontal="left"/>
    </xf>
    <xf numFmtId="177" fontId="85" fillId="0" borderId="14">
      <alignment horizontal="right"/>
    </xf>
    <xf numFmtId="49" fontId="85" fillId="0" borderId="0">
      <alignment horizontal="right"/>
    </xf>
    <xf numFmtId="0" fontId="90" fillId="0" borderId="0"/>
    <xf numFmtId="40" fontId="87" fillId="0" borderId="18"/>
    <xf numFmtId="40" fontId="87" fillId="0" borderId="18"/>
    <xf numFmtId="0" fontId="87" fillId="0" borderId="0"/>
    <xf numFmtId="0" fontId="87" fillId="0" borderId="0"/>
    <xf numFmtId="40" fontId="87" fillId="0" borderId="0"/>
    <xf numFmtId="179" fontId="87" fillId="0" borderId="0"/>
    <xf numFmtId="40" fontId="87" fillId="0" borderId="0"/>
    <xf numFmtId="0" fontId="87" fillId="0" borderId="0"/>
    <xf numFmtId="0" fontId="87" fillId="0" borderId="0"/>
    <xf numFmtId="40" fontId="85" fillId="0" borderId="18">
      <alignment horizontal="right"/>
    </xf>
    <xf numFmtId="49" fontId="85" fillId="0" borderId="0">
      <alignment horizontal="left"/>
    </xf>
    <xf numFmtId="49" fontId="11" fillId="0" borderId="0"/>
    <xf numFmtId="49" fontId="85" fillId="0" borderId="0">
      <alignment horizontal="left"/>
    </xf>
    <xf numFmtId="177" fontId="85" fillId="0" borderId="18">
      <alignment horizontal="right"/>
    </xf>
    <xf numFmtId="49" fontId="85"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3" borderId="54"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96" fillId="0" borderId="0" applyNumberFormat="0" applyFill="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0" fontId="33" fillId="59"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7" borderId="0" applyNumberFormat="0" applyBorder="0" applyAlignment="0" applyProtection="0"/>
    <xf numFmtId="0" fontId="33" fillId="68" borderId="0" applyNumberFormat="0" applyBorder="0" applyAlignment="0" applyProtection="0"/>
    <xf numFmtId="0" fontId="33" fillId="70" borderId="0" applyNumberFormat="0" applyBorder="0" applyAlignment="0" applyProtection="0"/>
    <xf numFmtId="0" fontId="33" fillId="71"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34" fillId="61" borderId="0" applyNumberFormat="0" applyBorder="0" applyAlignment="0" applyProtection="0"/>
    <xf numFmtId="0" fontId="34" fillId="64" borderId="0" applyNumberFormat="0" applyBorder="0" applyAlignment="0" applyProtection="0"/>
    <xf numFmtId="0" fontId="34" fillId="67" borderId="0" applyNumberFormat="0" applyBorder="0" applyAlignment="0" applyProtection="0"/>
    <xf numFmtId="0" fontId="34" fillId="70"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2" borderId="0" applyNumberFormat="0" applyBorder="0" applyAlignment="0" applyProtection="0"/>
    <xf numFmtId="0" fontId="34" fillId="65" borderId="0" applyNumberFormat="0" applyBorder="0" applyAlignment="0" applyProtection="0"/>
    <xf numFmtId="0" fontId="34" fillId="68" borderId="0" applyNumberFormat="0" applyBorder="0" applyAlignment="0" applyProtection="0"/>
    <xf numFmtId="0" fontId="34" fillId="71" borderId="0" applyNumberFormat="0" applyBorder="0" applyAlignment="0" applyProtection="0"/>
    <xf numFmtId="0" fontId="83" fillId="57" borderId="0" applyNumberFormat="0" applyBorder="0" applyAlignment="0" applyProtection="0"/>
    <xf numFmtId="0" fontId="97" fillId="57" borderId="0" applyNumberFormat="0" applyBorder="0" applyAlignment="0" applyProtection="0"/>
    <xf numFmtId="0" fontId="83" fillId="60" borderId="0" applyNumberFormat="0" applyBorder="0" applyAlignment="0" applyProtection="0"/>
    <xf numFmtId="0" fontId="97" fillId="60" borderId="0" applyNumberFormat="0" applyBorder="0" applyAlignment="0" applyProtection="0"/>
    <xf numFmtId="0" fontId="83" fillId="63" borderId="0" applyNumberFormat="0" applyBorder="0" applyAlignment="0" applyProtection="0"/>
    <xf numFmtId="0" fontId="97" fillId="63" borderId="0" applyNumberFormat="0" applyBorder="0" applyAlignment="0" applyProtection="0"/>
    <xf numFmtId="0" fontId="83" fillId="66" borderId="0" applyNumberFormat="0" applyBorder="0" applyAlignment="0" applyProtection="0"/>
    <xf numFmtId="0" fontId="97" fillId="66" borderId="0" applyNumberFormat="0" applyBorder="0" applyAlignment="0" applyProtection="0"/>
    <xf numFmtId="0" fontId="83" fillId="69" borderId="0" applyNumberFormat="0" applyBorder="0" applyAlignment="0" applyProtection="0"/>
    <xf numFmtId="0" fontId="97" fillId="69" borderId="0" applyNumberFormat="0" applyBorder="0" applyAlignment="0" applyProtection="0"/>
    <xf numFmtId="0" fontId="83" fillId="72" borderId="0" applyNumberFormat="0" applyBorder="0" applyAlignment="0" applyProtection="0"/>
    <xf numFmtId="0" fontId="97" fillId="72"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8" fillId="38" borderId="0" applyNumberFormat="0" applyBorder="0" applyAlignment="0" applyProtection="0"/>
    <xf numFmtId="0" fontId="99" fillId="41" borderId="50" applyNumberFormat="0" applyAlignment="0" applyProtection="0"/>
    <xf numFmtId="0" fontId="100"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101" fillId="0" borderId="0" applyNumberFormat="0" applyFill="0" applyBorder="0" applyAlignment="0" applyProtection="0"/>
    <xf numFmtId="0" fontId="102" fillId="37" borderId="0" applyNumberFormat="0" applyBorder="0" applyAlignment="0" applyProtection="0"/>
    <xf numFmtId="0" fontId="103" fillId="0" borderId="47" applyNumberFormat="0" applyFill="0" applyAlignment="0" applyProtection="0"/>
    <xf numFmtId="0" fontId="104"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5" fillId="0" borderId="49" applyNumberFormat="0" applyFill="0" applyAlignment="0" applyProtection="0"/>
    <xf numFmtId="0" fontId="105" fillId="0" borderId="0" applyNumberFormat="0" applyFill="0" applyBorder="0" applyAlignment="0" applyProtection="0"/>
    <xf numFmtId="0" fontId="106" fillId="40" borderId="50" applyNumberFormat="0" applyAlignment="0" applyProtection="0"/>
    <xf numFmtId="0" fontId="107" fillId="0" borderId="52" applyNumberFormat="0" applyFill="0" applyAlignment="0" applyProtection="0"/>
    <xf numFmtId="0" fontId="108" fillId="39"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3" borderId="54" applyNumberFormat="0" applyFont="0" applyAlignment="0" applyProtection="0"/>
    <xf numFmtId="0" fontId="109" fillId="41" borderId="51" applyNumberFormat="0" applyAlignment="0" applyProtection="0"/>
    <xf numFmtId="9" fontId="6" fillId="0" borderId="0" applyFont="0" applyFill="0" applyBorder="0" applyAlignment="0" applyProtection="0"/>
    <xf numFmtId="0" fontId="110" fillId="0" borderId="0" applyNumberFormat="0" applyFill="0" applyBorder="0" applyAlignment="0" applyProtection="0"/>
    <xf numFmtId="0" fontId="111" fillId="0" borderId="55" applyNumberFormat="0" applyFill="0" applyAlignment="0" applyProtection="0"/>
    <xf numFmtId="0" fontId="112" fillId="0" borderId="0" applyNumberFormat="0" applyFill="0" applyBorder="0" applyAlignment="0" applyProtection="0"/>
    <xf numFmtId="0" fontId="115" fillId="0" borderId="0"/>
    <xf numFmtId="43" fontId="116" fillId="0" borderId="0" applyFont="0" applyFill="0" applyBorder="0" applyAlignment="0" applyProtection="0"/>
    <xf numFmtId="0" fontId="116"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17" fillId="0" borderId="0" applyNumberFormat="0" applyFill="0" applyBorder="0" applyAlignment="0" applyProtection="0">
      <alignment vertical="top"/>
      <protection locked="0"/>
    </xf>
    <xf numFmtId="0" fontId="118" fillId="0" borderId="0" applyNumberFormat="0" applyFill="0" applyBorder="0" applyAlignment="0" applyProtection="0"/>
    <xf numFmtId="0" fontId="67" fillId="0" borderId="0"/>
    <xf numFmtId="0" fontId="67" fillId="0" borderId="0"/>
    <xf numFmtId="0" fontId="67" fillId="0" borderId="0"/>
    <xf numFmtId="0" fontId="68" fillId="0" borderId="0"/>
    <xf numFmtId="0" fontId="68" fillId="0" borderId="0"/>
    <xf numFmtId="0" fontId="68" fillId="0" borderId="0"/>
    <xf numFmtId="0" fontId="68" fillId="0" borderId="0"/>
    <xf numFmtId="0" fontId="68" fillId="0" borderId="0"/>
    <xf numFmtId="0" fontId="67"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6" fillId="0" borderId="0"/>
    <xf numFmtId="0" fontId="11" fillId="0" borderId="0"/>
    <xf numFmtId="0" fontId="116"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27" fillId="0" borderId="0"/>
    <xf numFmtId="43" fontId="115" fillId="0" borderId="0" applyFont="0" applyFill="0" applyBorder="0" applyAlignment="0" applyProtection="0"/>
    <xf numFmtId="0" fontId="115" fillId="0" borderId="0"/>
    <xf numFmtId="0" fontId="152" fillId="0" borderId="0"/>
    <xf numFmtId="0" fontId="33" fillId="0" borderId="0"/>
    <xf numFmtId="0" fontId="152" fillId="0" borderId="0"/>
    <xf numFmtId="43" fontId="115" fillId="0" borderId="0" applyFont="0" applyFill="0" applyBorder="0" applyAlignment="0" applyProtection="0"/>
    <xf numFmtId="0" fontId="115" fillId="0" borderId="0"/>
    <xf numFmtId="0" fontId="115" fillId="0" borderId="0"/>
    <xf numFmtId="0" fontId="115" fillId="0" borderId="0"/>
    <xf numFmtId="0" fontId="155" fillId="0" borderId="0"/>
    <xf numFmtId="0" fontId="155" fillId="0" borderId="0"/>
    <xf numFmtId="0" fontId="156" fillId="0" borderId="0"/>
    <xf numFmtId="0" fontId="155" fillId="0" borderId="0"/>
    <xf numFmtId="0" fontId="152" fillId="0" borderId="0"/>
    <xf numFmtId="0" fontId="155" fillId="0" borderId="0"/>
    <xf numFmtId="0" fontId="152" fillId="0" borderId="0"/>
    <xf numFmtId="0" fontId="156"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5" fillId="0" borderId="0"/>
    <xf numFmtId="0" fontId="152" fillId="0" borderId="0"/>
    <xf numFmtId="0" fontId="152" fillId="0" borderId="0"/>
    <xf numFmtId="0" fontId="155" fillId="0" borderId="0"/>
    <xf numFmtId="0" fontId="152" fillId="0" borderId="0"/>
    <xf numFmtId="0" fontId="152" fillId="0" borderId="0"/>
    <xf numFmtId="0" fontId="156" fillId="0" borderId="0"/>
    <xf numFmtId="0" fontId="152" fillId="5" borderId="7" applyNumberFormat="0" applyFont="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2" fillId="0" borderId="0"/>
    <xf numFmtId="0" fontId="156"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2" fillId="0" borderId="0"/>
    <xf numFmtId="0" fontId="155"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2" fillId="5" borderId="7" applyNumberFormat="0" applyFont="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2" fillId="0" borderId="0"/>
    <xf numFmtId="0" fontId="156" fillId="0" borderId="0"/>
    <xf numFmtId="0" fontId="152" fillId="0" borderId="0"/>
    <xf numFmtId="0" fontId="156" fillId="0" borderId="0"/>
    <xf numFmtId="0" fontId="152" fillId="0" borderId="0"/>
    <xf numFmtId="0" fontId="157" fillId="0" borderId="0"/>
    <xf numFmtId="0" fontId="155" fillId="0" borderId="0"/>
    <xf numFmtId="0" fontId="155"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6" fillId="0" borderId="0"/>
    <xf numFmtId="0" fontId="156" fillId="0" borderId="0"/>
    <xf numFmtId="0" fontId="157" fillId="0" borderId="0"/>
    <xf numFmtId="0" fontId="155" fillId="0" borderId="0"/>
    <xf numFmtId="0" fontId="155"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6" fillId="0" borderId="0"/>
    <xf numFmtId="0" fontId="156" fillId="0" borderId="0"/>
    <xf numFmtId="0" fontId="115"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57"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3" borderId="54"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3" borderId="54"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5" fillId="0" borderId="0"/>
    <xf numFmtId="43" fontId="115" fillId="0" borderId="0" applyFont="0" applyFill="0" applyBorder="0" applyAlignment="0" applyProtection="0"/>
    <xf numFmtId="0" fontId="115"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5"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01" fillId="0" borderId="0"/>
    <xf numFmtId="0" fontId="34" fillId="0" borderId="0"/>
    <xf numFmtId="0" fontId="33" fillId="0" borderId="0"/>
    <xf numFmtId="0" fontId="203" fillId="0" borderId="0"/>
    <xf numFmtId="0" fontId="204" fillId="0" borderId="0"/>
    <xf numFmtId="0" fontId="204" fillId="0" borderId="0"/>
    <xf numFmtId="0" fontId="203" fillId="0" borderId="0"/>
    <xf numFmtId="0" fontId="204" fillId="0" borderId="0"/>
    <xf numFmtId="0" fontId="204" fillId="0" borderId="0"/>
    <xf numFmtId="0" fontId="205" fillId="0" borderId="0"/>
    <xf numFmtId="44" fontId="33" fillId="0" borderId="0" applyFont="0" applyFill="0" applyBorder="0" applyAlignment="0" applyProtection="0"/>
    <xf numFmtId="0" fontId="204" fillId="5" borderId="7" applyNumberFormat="0" applyFont="0" applyAlignment="0" applyProtection="0"/>
    <xf numFmtId="44" fontId="1" fillId="0" borderId="0" applyFont="0" applyFill="0" applyBorder="0" applyAlignment="0" applyProtection="0"/>
    <xf numFmtId="44" fontId="33"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1" fillId="0" borderId="0"/>
    <xf numFmtId="0" fontId="33" fillId="0" borderId="0"/>
    <xf numFmtId="0" fontId="33" fillId="0" borderId="0"/>
    <xf numFmtId="0" fontId="33" fillId="0" borderId="0"/>
    <xf numFmtId="0" fontId="21" fillId="0" borderId="0"/>
    <xf numFmtId="0" fontId="11" fillId="0" borderId="0"/>
    <xf numFmtId="0" fontId="33" fillId="0" borderId="0"/>
  </cellStyleXfs>
  <cellXfs count="1430">
    <xf numFmtId="0" fontId="0" fillId="0" borderId="0" xfId="0"/>
    <xf numFmtId="164" fontId="39" fillId="0" borderId="0" xfId="439" applyNumberFormat="1" applyFont="1" applyFill="1" applyAlignment="1" applyProtection="1">
      <alignment horizontal="center" wrapText="1"/>
    </xf>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0" fillId="21" borderId="0" xfId="0" applyFont="1" applyFill="1" applyBorder="1" applyAlignment="1" applyProtection="1">
      <alignment horizontal="center" wrapText="1"/>
    </xf>
    <xf numFmtId="0" fontId="48"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51" fillId="25" borderId="0" xfId="0" applyFont="1" applyFill="1" applyAlignment="1" applyProtection="1">
      <alignment horizontal="center" wrapText="1"/>
    </xf>
    <xf numFmtId="0" fontId="52" fillId="21" borderId="10" xfId="0" applyFont="1" applyFill="1" applyBorder="1" applyAlignment="1" applyProtection="1">
      <alignment horizontal="center" wrapText="1"/>
    </xf>
    <xf numFmtId="0" fontId="52"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54" fillId="26" borderId="0" xfId="682" applyFont="1" applyFill="1"/>
    <xf numFmtId="0" fontId="54" fillId="0" borderId="0" xfId="682" applyFont="1" applyFill="1"/>
    <xf numFmtId="0" fontId="39" fillId="0" borderId="0" xfId="682" applyFont="1"/>
    <xf numFmtId="40" fontId="55" fillId="0" borderId="0" xfId="0" applyNumberFormat="1" applyFont="1"/>
    <xf numFmtId="0" fontId="52" fillId="0" borderId="0" xfId="0" applyFont="1"/>
    <xf numFmtId="0" fontId="0" fillId="0" borderId="0" xfId="0" applyNumberFormat="1" applyFont="1" applyFill="1" applyAlignment="1" applyProtection="1">
      <alignment vertical="center" wrapText="1"/>
    </xf>
    <xf numFmtId="0" fontId="54"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7" fillId="0" borderId="0" xfId="0" applyNumberFormat="1" applyFont="1" applyFill="1" applyAlignment="1" applyProtection="1">
      <alignment vertical="center" wrapText="1"/>
    </xf>
    <xf numFmtId="0" fontId="39" fillId="0" borderId="0" xfId="0" applyNumberFormat="1" applyFont="1" applyFill="1" applyAlignment="1" applyProtection="1">
      <alignment horizontal="left" vertical="center" wrapText="1" indent="3"/>
    </xf>
    <xf numFmtId="0" fontId="54" fillId="0" borderId="0" xfId="0" applyNumberFormat="1" applyFont="1" applyFill="1" applyAlignment="1" applyProtection="1">
      <alignment vertical="center" wrapText="1"/>
    </xf>
    <xf numFmtId="0" fontId="54" fillId="0" borderId="0" xfId="0" applyNumberFormat="1" applyFont="1" applyFill="1" applyAlignment="1" applyProtection="1">
      <alignment horizontal="left" vertical="center" wrapText="1" indent="3"/>
    </xf>
    <xf numFmtId="0" fontId="54" fillId="0" borderId="14" xfId="0" applyNumberFormat="1" applyFont="1" applyFill="1" applyBorder="1" applyAlignment="1" applyProtection="1">
      <alignment horizontal="left" vertical="center" wrapText="1" indent="3"/>
    </xf>
    <xf numFmtId="0" fontId="54" fillId="0" borderId="0" xfId="0" applyNumberFormat="1" applyFont="1" applyFill="1" applyAlignment="1" applyProtection="1">
      <alignment horizontal="left" vertical="center" wrapText="1" indent="6"/>
    </xf>
    <xf numFmtId="0" fontId="45" fillId="0" borderId="0" xfId="0" applyNumberFormat="1" applyFont="1" applyFill="1" applyAlignment="1" applyProtection="1">
      <alignment horizontal="center" vertical="center"/>
    </xf>
    <xf numFmtId="0" fontId="0" fillId="0" borderId="0" xfId="0" applyNumberFormat="1" applyFont="1" applyFill="1" applyAlignment="1" applyProtection="1">
      <alignment horizontal="center"/>
    </xf>
    <xf numFmtId="40" fontId="45" fillId="0" borderId="0" xfId="439" applyNumberFormat="1" applyFont="1" applyFill="1" applyAlignment="1" applyProtection="1">
      <alignment horizontal="center" vertical="center" wrapText="1"/>
    </xf>
    <xf numFmtId="173" fontId="45" fillId="0" borderId="0" xfId="439" applyNumberFormat="1" applyFont="1" applyFill="1" applyAlignment="1" applyProtection="1">
      <alignment horizontal="center" vertical="center" wrapText="1"/>
    </xf>
    <xf numFmtId="164" fontId="58"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59" fillId="0" borderId="25" xfId="0" applyNumberFormat="1" applyFont="1" applyFill="1" applyBorder="1" applyAlignment="1" applyProtection="1">
      <alignment horizontal="center" vertical="center"/>
    </xf>
    <xf numFmtId="0" fontId="60" fillId="0" borderId="25" xfId="0" applyNumberFormat="1" applyFont="1" applyFill="1" applyBorder="1" applyAlignment="1" applyProtection="1">
      <alignment horizontal="center" vertical="center"/>
    </xf>
    <xf numFmtId="0" fontId="39" fillId="23" borderId="25" xfId="0" applyNumberFormat="1" applyFont="1" applyFill="1" applyBorder="1" applyAlignment="1" applyProtection="1">
      <alignment horizontal="center" vertical="center"/>
    </xf>
    <xf numFmtId="0" fontId="39" fillId="0" borderId="26" xfId="0" applyNumberFormat="1" applyFont="1" applyFill="1" applyBorder="1" applyAlignment="1" applyProtection="1">
      <alignment horizontal="center" vertical="center"/>
    </xf>
    <xf numFmtId="0" fontId="50"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0" fillId="24" borderId="0" xfId="0" applyFont="1" applyFill="1" applyBorder="1" applyAlignment="1" applyProtection="1">
      <alignment horizontal="center" vertical="center" wrapText="1"/>
    </xf>
    <xf numFmtId="0" fontId="52" fillId="21" borderId="10" xfId="0" applyFont="1" applyFill="1" applyBorder="1" applyAlignment="1" applyProtection="1">
      <alignment horizontal="center" vertical="center" wrapText="1"/>
    </xf>
    <xf numFmtId="164" fontId="58" fillId="0" borderId="31" xfId="439" applyNumberFormat="1" applyFont="1" applyFill="1" applyBorder="1" applyAlignment="1" applyProtection="1">
      <alignment horizontal="center" vertical="center" wrapText="1"/>
    </xf>
    <xf numFmtId="0" fontId="51"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58" fillId="0" borderId="0" xfId="0" applyFont="1" applyProtection="1"/>
    <xf numFmtId="0" fontId="58" fillId="23" borderId="23" xfId="0" applyNumberFormat="1" applyFont="1" applyFill="1" applyBorder="1" applyAlignment="1" applyProtection="1">
      <alignment horizontal="left" vertical="center" wrapText="1"/>
    </xf>
    <xf numFmtId="0" fontId="58"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58"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45" fillId="0" borderId="0" xfId="439" applyNumberFormat="1" applyFont="1" applyFill="1" applyAlignment="1" applyProtection="1">
      <alignment horizontal="center" vertical="center" wrapText="1"/>
    </xf>
    <xf numFmtId="0" fontId="61" fillId="0" borderId="0" xfId="0" applyNumberFormat="1" applyFont="1" applyFill="1" applyAlignment="1" applyProtection="1">
      <alignment vertical="center" wrapText="1"/>
    </xf>
    <xf numFmtId="0" fontId="50" fillId="0" borderId="0" xfId="0" applyFont="1" applyAlignment="1" applyProtection="1">
      <alignment wrapText="1"/>
    </xf>
    <xf numFmtId="0" fontId="45" fillId="0" borderId="23" xfId="1243" applyFont="1" applyFill="1" applyBorder="1" applyAlignment="1" applyProtection="1">
      <alignment horizontal="left" vertical="center" wrapText="1"/>
    </xf>
    <xf numFmtId="164" fontId="51" fillId="25" borderId="0" xfId="439" applyNumberFormat="1" applyFont="1" applyFill="1" applyAlignment="1" applyProtection="1">
      <alignment horizontal="center"/>
    </xf>
    <xf numFmtId="0" fontId="62"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58" fillId="22" borderId="23" xfId="439" applyNumberFormat="1" applyFont="1" applyFill="1" applyBorder="1" applyAlignment="1" applyProtection="1">
      <alignment horizontal="center" vertical="center" wrapText="1"/>
    </xf>
    <xf numFmtId="0" fontId="50" fillId="30" borderId="25" xfId="0" applyNumberFormat="1" applyFont="1" applyFill="1" applyBorder="1" applyAlignment="1" applyProtection="1">
      <alignment horizontal="center" vertical="center" wrapText="1"/>
    </xf>
    <xf numFmtId="164" fontId="50" fillId="24" borderId="10" xfId="439" applyNumberFormat="1" applyFont="1" applyFill="1" applyBorder="1" applyAlignment="1" applyProtection="1">
      <alignment horizontal="center" wrapText="1"/>
    </xf>
    <xf numFmtId="0" fontId="63" fillId="0" borderId="0" xfId="720" applyNumberFormat="1" applyFont="1" applyFill="1" applyAlignment="1" applyProtection="1">
      <alignment horizontal="left" vertic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39" fontId="58" fillId="0" borderId="29" xfId="439" applyNumberFormat="1" applyFont="1" applyFill="1" applyBorder="1" applyAlignment="1" applyProtection="1">
      <alignment horizontal="center" vertical="center" wrapText="1"/>
    </xf>
    <xf numFmtId="39" fontId="58" fillId="23" borderId="28" xfId="439" applyNumberFormat="1" applyFont="1" applyFill="1" applyBorder="1" applyAlignment="1" applyProtection="1">
      <alignment horizontal="center" vertical="center" wrapText="1"/>
    </xf>
    <xf numFmtId="0" fontId="40" fillId="0" borderId="0" xfId="0" applyFont="1" applyFill="1" applyAlignment="1" applyProtection="1">
      <alignment vertical="center" wrapText="1"/>
    </xf>
    <xf numFmtId="39" fontId="52" fillId="31" borderId="0" xfId="0" applyNumberFormat="1" applyFont="1" applyFill="1" applyBorder="1" applyAlignment="1" applyProtection="1">
      <alignment horizontal="center" wrapText="1"/>
    </xf>
    <xf numFmtId="0" fontId="39"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2" fillId="32" borderId="0" xfId="0" applyFont="1" applyFill="1" applyAlignment="1" applyProtection="1">
      <alignment horizontal="center" vertical="center" wrapText="1"/>
    </xf>
    <xf numFmtId="0" fontId="0" fillId="0" borderId="0" xfId="0" applyFont="1" applyProtection="1">
      <protection locked="0"/>
    </xf>
    <xf numFmtId="0" fontId="53" fillId="0" borderId="25" xfId="0" applyNumberFormat="1" applyFont="1" applyFill="1" applyBorder="1" applyAlignment="1" applyProtection="1">
      <alignment horizontal="left" vertical="center" wrapText="1"/>
    </xf>
    <xf numFmtId="0" fontId="41" fillId="0" borderId="25" xfId="0" applyNumberFormat="1" applyFont="1" applyFill="1" applyBorder="1" applyAlignment="1" applyProtection="1">
      <alignment horizontal="left" vertical="center" wrapText="1"/>
    </xf>
    <xf numFmtId="41" fontId="58" fillId="0" borderId="23" xfId="439" applyNumberFormat="1" applyFont="1" applyFill="1" applyBorder="1" applyAlignment="1" applyProtection="1">
      <alignment horizontal="center" vertical="center" wrapText="1"/>
    </xf>
    <xf numFmtId="0" fontId="48" fillId="0" borderId="23" xfId="439" applyNumberFormat="1" applyFont="1" applyFill="1" applyBorder="1" applyAlignment="1" applyProtection="1">
      <alignment horizontal="center" vertical="center" wrapText="1"/>
    </xf>
    <xf numFmtId="41" fontId="65" fillId="0" borderId="0" xfId="0" applyNumberFormat="1" applyFont="1" applyFill="1" applyAlignment="1" applyProtection="1">
      <alignment wrapText="1"/>
    </xf>
    <xf numFmtId="0" fontId="64" fillId="0" borderId="0" xfId="0" applyFont="1" applyFill="1" applyAlignment="1" applyProtection="1">
      <alignment horizontal="center" vertical="center"/>
    </xf>
    <xf numFmtId="0" fontId="50" fillId="0" borderId="0" xfId="0" applyFont="1" applyFill="1" applyAlignment="1" applyProtection="1">
      <alignment horizontal="center" vertical="center" wrapText="1"/>
    </xf>
    <xf numFmtId="0" fontId="58"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58" fillId="29" borderId="23" xfId="439" applyNumberFormat="1" applyFont="1" applyFill="1" applyBorder="1" applyAlignment="1" applyProtection="1">
      <alignment horizontal="center" vertical="center" wrapText="1"/>
      <protection locked="0"/>
    </xf>
    <xf numFmtId="37" fontId="59" fillId="33" borderId="28" xfId="439" applyNumberFormat="1" applyFont="1" applyFill="1" applyBorder="1" applyAlignment="1" applyProtection="1">
      <alignment horizontal="center" vertical="center" wrapText="1"/>
    </xf>
    <xf numFmtId="37" fontId="39" fillId="0" borderId="28" xfId="439" applyNumberFormat="1" applyFont="1" applyFill="1" applyBorder="1" applyAlignment="1" applyProtection="1">
      <alignment horizontal="center" vertical="center" wrapText="1"/>
    </xf>
    <xf numFmtId="37" fontId="59"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58"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8"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0" fontId="0" fillId="0" borderId="0" xfId="0" applyFill="1"/>
    <xf numFmtId="169" fontId="39" fillId="0" borderId="0" xfId="439" applyNumberFormat="1" applyFont="1" applyFill="1" applyAlignment="1" applyProtection="1">
      <alignment horizontal="center" vertical="center"/>
      <protection locked="0"/>
    </xf>
    <xf numFmtId="38" fontId="45"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58" fillId="0" borderId="29" xfId="439" applyNumberFormat="1" applyFont="1" applyFill="1" applyBorder="1" applyAlignment="1" applyProtection="1">
      <alignment horizontal="center" vertical="center" wrapText="1"/>
    </xf>
    <xf numFmtId="172" fontId="58" fillId="0" borderId="23" xfId="439" applyNumberFormat="1" applyFont="1" applyFill="1" applyBorder="1" applyAlignment="1" applyProtection="1">
      <alignment horizontal="center" vertical="center" wrapText="1"/>
    </xf>
    <xf numFmtId="0" fontId="39" fillId="0" borderId="24" xfId="0" applyNumberFormat="1" applyFont="1" applyFill="1" applyBorder="1" applyAlignment="1" applyProtection="1">
      <alignment horizontal="center" vertical="center"/>
    </xf>
    <xf numFmtId="0" fontId="54" fillId="0" borderId="0" xfId="0" applyFont="1" applyFill="1" applyAlignment="1" applyProtection="1">
      <alignment vertical="center" wrapText="1"/>
    </xf>
    <xf numFmtId="0" fontId="54"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58" fillId="29" borderId="44" xfId="439" applyNumberFormat="1" applyFont="1" applyFill="1" applyBorder="1" applyAlignment="1" applyProtection="1">
      <alignment horizontal="center" vertical="center" wrapText="1"/>
      <protection locked="0"/>
    </xf>
    <xf numFmtId="164" fontId="58" fillId="0" borderId="30" xfId="439" applyNumberFormat="1" applyFont="1" applyFill="1" applyBorder="1" applyAlignment="1" applyProtection="1">
      <alignment horizontal="center" vertical="center" wrapText="1"/>
    </xf>
    <xf numFmtId="39" fontId="58" fillId="0" borderId="27" xfId="439" applyNumberFormat="1" applyFont="1" applyFill="1" applyBorder="1" applyAlignment="1" applyProtection="1">
      <alignment horizontal="center" vertical="center" wrapText="1"/>
    </xf>
    <xf numFmtId="164" fontId="58" fillId="0" borderId="46" xfId="439" applyNumberFormat="1" applyFont="1" applyFill="1" applyBorder="1" applyAlignment="1" applyProtection="1">
      <alignment horizontal="center" vertical="center" wrapText="1"/>
    </xf>
    <xf numFmtId="0" fontId="39"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58" fillId="29" borderId="45" xfId="439" applyNumberFormat="1" applyFont="1" applyFill="1" applyBorder="1" applyAlignment="1" applyProtection="1">
      <alignment horizontal="center" vertical="center" wrapText="1"/>
      <protection locked="0"/>
    </xf>
    <xf numFmtId="0" fontId="58" fillId="0" borderId="30" xfId="0" applyNumberFormat="1" applyFont="1" applyFill="1" applyBorder="1" applyAlignment="1" applyProtection="1">
      <alignment horizontal="left" vertical="center" wrapText="1"/>
    </xf>
    <xf numFmtId="0" fontId="58" fillId="23" borderId="31" xfId="0" applyNumberFormat="1" applyFont="1" applyFill="1" applyBorder="1" applyAlignment="1" applyProtection="1">
      <alignment horizontal="left" vertical="center" wrapText="1"/>
    </xf>
    <xf numFmtId="0" fontId="58" fillId="23" borderId="31" xfId="439" applyNumberFormat="1" applyFont="1" applyFill="1" applyBorder="1" applyAlignment="1" applyProtection="1">
      <alignment horizontal="center" vertical="center" wrapText="1"/>
    </xf>
    <xf numFmtId="37" fontId="39" fillId="23" borderId="29" xfId="439" applyNumberFormat="1" applyFont="1" applyFill="1" applyBorder="1" applyAlignment="1" applyProtection="1">
      <alignment horizontal="center" vertical="center" wrapText="1"/>
    </xf>
    <xf numFmtId="0" fontId="39" fillId="23" borderId="26" xfId="0" applyNumberFormat="1" applyFont="1" applyFill="1" applyBorder="1" applyAlignment="1" applyProtection="1">
      <alignment horizontal="center" vertical="center"/>
    </xf>
    <xf numFmtId="37" fontId="39" fillId="0" borderId="27" xfId="439" applyNumberFormat="1" applyFont="1" applyFill="1" applyBorder="1" applyAlignment="1" applyProtection="1">
      <alignment horizontal="center" vertical="center" wrapText="1"/>
    </xf>
    <xf numFmtId="0" fontId="39"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39"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70" fillId="0" borderId="0" xfId="0" applyNumberFormat="1" applyFont="1" applyFill="1" applyAlignment="1" applyProtection="1">
      <alignment horizontal="left" vertical="center" wrapText="1" indent="6"/>
    </xf>
    <xf numFmtId="0" fontId="58"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0" fontId="40" fillId="24" borderId="0" xfId="439" applyNumberFormat="1" applyFont="1" applyFill="1" applyBorder="1" applyAlignment="1" applyProtection="1">
      <alignment horizontal="center" wrapText="1"/>
    </xf>
    <xf numFmtId="41" fontId="66" fillId="0" borderId="0" xfId="0" applyNumberFormat="1" applyFont="1" applyFill="1" applyAlignment="1" applyProtection="1">
      <alignment wrapText="1"/>
    </xf>
    <xf numFmtId="14" fontId="58" fillId="0" borderId="23" xfId="439" applyNumberFormat="1" applyFont="1" applyFill="1" applyBorder="1" applyAlignment="1" applyProtection="1">
      <alignment horizontal="center" vertical="center" wrapText="1"/>
    </xf>
    <xf numFmtId="37" fontId="0" fillId="0" borderId="0" xfId="0" applyNumberFormat="1" applyFont="1" applyFill="1" applyAlignment="1" applyProtection="1">
      <alignment horizontal="center" vertical="center"/>
    </xf>
    <xf numFmtId="164" fontId="50" fillId="0" borderId="0" xfId="0" applyNumberFormat="1" applyFont="1" applyAlignment="1" applyProtection="1">
      <alignment wrapText="1"/>
    </xf>
    <xf numFmtId="164" fontId="58" fillId="22" borderId="23" xfId="439" applyNumberFormat="1" applyFont="1" applyFill="1" applyBorder="1" applyAlignment="1" applyProtection="1">
      <alignment horizontal="center" vertical="center" wrapText="1"/>
      <protection locked="0"/>
    </xf>
    <xf numFmtId="172" fontId="58" fillId="22" borderId="23" xfId="439" applyNumberFormat="1" applyFont="1" applyFill="1" applyBorder="1" applyAlignment="1" applyProtection="1">
      <alignment horizontal="center" vertical="center" wrapText="1"/>
    </xf>
    <xf numFmtId="39" fontId="58" fillId="22" borderId="28" xfId="439" applyNumberFormat="1" applyFont="1" applyFill="1" applyBorder="1" applyAlignment="1" applyProtection="1">
      <alignment horizontal="center" vertical="center" wrapText="1"/>
    </xf>
    <xf numFmtId="164" fontId="58" fillId="22" borderId="29" xfId="439" applyNumberFormat="1" applyFont="1" applyFill="1" applyBorder="1" applyAlignment="1" applyProtection="1">
      <alignment horizontal="center" vertical="center" wrapText="1"/>
    </xf>
    <xf numFmtId="0" fontId="39" fillId="22" borderId="24" xfId="0" applyNumberFormat="1" applyFont="1" applyFill="1" applyBorder="1" applyAlignment="1" applyProtection="1">
      <alignment horizontal="center" vertical="center"/>
    </xf>
    <xf numFmtId="164" fontId="58" fillId="29" borderId="31" xfId="439" applyNumberFormat="1" applyFont="1" applyFill="1" applyBorder="1" applyAlignment="1" applyProtection="1">
      <alignment horizontal="center" vertical="center" wrapText="1"/>
      <protection locked="0"/>
    </xf>
    <xf numFmtId="0" fontId="49" fillId="0" borderId="0" xfId="0" applyFont="1" applyAlignment="1" applyProtection="1">
      <alignment horizontal="center"/>
    </xf>
    <xf numFmtId="0" fontId="41" fillId="22" borderId="0" xfId="0" applyFont="1" applyFill="1" applyAlignment="1" applyProtection="1">
      <alignment horizontal="left" wrapText="1"/>
    </xf>
    <xf numFmtId="172" fontId="58" fillId="22" borderId="30" xfId="439" applyNumberFormat="1" applyFont="1" applyFill="1" applyBorder="1" applyAlignment="1" applyProtection="1">
      <alignment horizontal="center" vertical="center" wrapText="1"/>
    </xf>
    <xf numFmtId="175" fontId="58" fillId="75" borderId="23" xfId="439" applyNumberFormat="1" applyFont="1" applyFill="1" applyBorder="1" applyAlignment="1" applyProtection="1">
      <alignment horizontal="center" vertical="center" wrapText="1"/>
    </xf>
    <xf numFmtId="3" fontId="58" fillId="0" borderId="23" xfId="439" applyNumberFormat="1" applyFont="1" applyFill="1" applyBorder="1" applyAlignment="1" applyProtection="1">
      <alignment horizontal="center" vertical="center" wrapText="1"/>
      <protection locked="0"/>
    </xf>
    <xf numFmtId="180" fontId="58" fillId="75" borderId="23" xfId="439" applyNumberFormat="1" applyFont="1" applyFill="1" applyBorder="1" applyAlignment="1" applyProtection="1">
      <alignment horizontal="center" vertical="center" wrapText="1"/>
    </xf>
    <xf numFmtId="39" fontId="58" fillId="0" borderId="23" xfId="439" applyNumberFormat="1" applyFont="1" applyFill="1" applyBorder="1" applyAlignment="1" applyProtection="1">
      <alignment horizontal="center" vertical="center" wrapText="1"/>
    </xf>
    <xf numFmtId="3" fontId="58" fillId="0" borderId="31" xfId="439" applyNumberFormat="1" applyFont="1" applyFill="1" applyBorder="1" applyAlignment="1" applyProtection="1">
      <alignment horizontal="center" vertical="center" wrapText="1"/>
    </xf>
    <xf numFmtId="3" fontId="58" fillId="23" borderId="31" xfId="439" applyNumberFormat="1" applyFont="1" applyFill="1" applyBorder="1" applyAlignment="1" applyProtection="1">
      <alignment horizontal="center" vertical="center" wrapText="1"/>
    </xf>
    <xf numFmtId="3" fontId="58" fillId="23" borderId="23" xfId="439" applyNumberFormat="1" applyFont="1" applyFill="1" applyBorder="1" applyAlignment="1" applyProtection="1">
      <alignment horizontal="center" vertical="center" wrapText="1"/>
    </xf>
    <xf numFmtId="3" fontId="58" fillId="0" borderId="30" xfId="439" applyNumberFormat="1" applyFont="1" applyFill="1" applyBorder="1" applyAlignment="1" applyProtection="1">
      <alignment horizontal="center" vertical="center" wrapText="1"/>
    </xf>
    <xf numFmtId="37" fontId="58" fillId="0" borderId="23"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4" fillId="0" borderId="0" xfId="0" applyFont="1" applyProtection="1"/>
    <xf numFmtId="0" fontId="39" fillId="0" borderId="57"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3" fontId="39" fillId="0" borderId="0" xfId="439" applyNumberFormat="1" applyFont="1" applyFill="1" applyAlignment="1" applyProtection="1">
      <alignment horizontal="center" vertical="center" wrapText="1"/>
      <protection locked="0"/>
    </xf>
    <xf numFmtId="0" fontId="72" fillId="22" borderId="0" xfId="0" applyFont="1" applyFill="1" applyProtection="1"/>
    <xf numFmtId="0" fontId="119" fillId="22" borderId="0" xfId="0" applyFont="1" applyFill="1" applyProtection="1"/>
    <xf numFmtId="0" fontId="83" fillId="22" borderId="0" xfId="0" applyFont="1" applyFill="1" applyAlignment="1" applyProtection="1">
      <alignment vertical="center" wrapText="1"/>
    </xf>
    <xf numFmtId="0" fontId="83" fillId="22" borderId="0" xfId="0" applyFont="1" applyFill="1" applyAlignment="1" applyProtection="1">
      <alignment vertical="center"/>
      <protection locked="0"/>
    </xf>
    <xf numFmtId="0" fontId="83" fillId="22" borderId="0" xfId="0" applyFont="1" applyFill="1" applyAlignment="1" applyProtection="1">
      <alignment vertical="center"/>
    </xf>
    <xf numFmtId="0" fontId="0" fillId="0" borderId="0" xfId="0" applyAlignment="1">
      <alignment horizontal="center"/>
    </xf>
    <xf numFmtId="0" fontId="83" fillId="0" borderId="0" xfId="0" applyFont="1" applyAlignment="1">
      <alignment horizontal="center"/>
    </xf>
    <xf numFmtId="0" fontId="39" fillId="0" borderId="24" xfId="0" applyFont="1" applyBorder="1" applyAlignment="1">
      <alignment horizontal="center" vertical="center"/>
    </xf>
    <xf numFmtId="0" fontId="39" fillId="0" borderId="0" xfId="0" applyFont="1" applyAlignment="1">
      <alignment vertical="center"/>
    </xf>
    <xf numFmtId="0" fontId="0" fillId="34" borderId="45" xfId="0" applyFont="1" applyFill="1" applyBorder="1" applyAlignment="1">
      <alignment vertical="center" wrapText="1"/>
    </xf>
    <xf numFmtId="171" fontId="58" fillId="75" borderId="29" xfId="439" applyNumberFormat="1" applyFont="1" applyFill="1" applyBorder="1" applyAlignment="1" applyProtection="1">
      <alignment horizontal="center" vertical="center" wrapText="1"/>
    </xf>
    <xf numFmtId="0" fontId="39" fillId="74" borderId="63" xfId="0" applyNumberFormat="1" applyFont="1" applyFill="1" applyBorder="1" applyAlignment="1" applyProtection="1">
      <alignment horizontal="center" vertical="center"/>
    </xf>
    <xf numFmtId="0" fontId="0" fillId="73" borderId="0" xfId="0" applyFill="1"/>
    <xf numFmtId="0" fontId="120" fillId="73" borderId="0" xfId="0" applyFont="1" applyFill="1" applyAlignment="1">
      <alignment vertical="center" wrapText="1"/>
    </xf>
    <xf numFmtId="0" fontId="47" fillId="73" borderId="0" xfId="0" applyFont="1" applyFill="1" applyAlignment="1">
      <alignment horizontal="justify" vertical="center"/>
    </xf>
    <xf numFmtId="0" fontId="125" fillId="77" borderId="0" xfId="0" applyFont="1" applyFill="1" applyAlignment="1">
      <alignment vertical="center"/>
    </xf>
    <xf numFmtId="0" fontId="62" fillId="0" borderId="45" xfId="0" applyFont="1" applyFill="1" applyBorder="1" applyAlignment="1" applyProtection="1">
      <alignment horizontal="center" vertical="center" wrapText="1"/>
    </xf>
    <xf numFmtId="0" fontId="62" fillId="32" borderId="45" xfId="0" applyFont="1" applyFill="1" applyBorder="1" applyAlignment="1" applyProtection="1">
      <alignment horizontal="center" vertical="center" wrapText="1"/>
    </xf>
    <xf numFmtId="0" fontId="58" fillId="31" borderId="25" xfId="0" applyNumberFormat="1" applyFont="1" applyFill="1" applyBorder="1" applyAlignment="1" applyProtection="1">
      <alignment horizontal="left" vertical="center" wrapText="1"/>
    </xf>
    <xf numFmtId="0" fontId="41" fillId="31" borderId="65" xfId="0" applyFont="1" applyFill="1" applyBorder="1" applyAlignment="1">
      <alignment wrapText="1"/>
    </xf>
    <xf numFmtId="14" fontId="41" fillId="31" borderId="65" xfId="0" applyNumberFormat="1" applyFont="1" applyFill="1" applyBorder="1" applyAlignment="1">
      <alignment wrapText="1"/>
    </xf>
    <xf numFmtId="0" fontId="39" fillId="31" borderId="63" xfId="0" applyNumberFormat="1" applyFont="1" applyFill="1" applyBorder="1" applyAlignment="1" applyProtection="1">
      <alignment horizontal="center" vertical="center"/>
    </xf>
    <xf numFmtId="49" fontId="58" fillId="0" borderId="23" xfId="439" applyNumberFormat="1" applyFont="1" applyFill="1" applyBorder="1" applyAlignment="1" applyProtection="1">
      <alignment horizontal="center" vertical="center" wrapText="1"/>
    </xf>
    <xf numFmtId="0" fontId="121" fillId="73" borderId="0" xfId="0" applyFont="1" applyFill="1" applyAlignment="1">
      <alignment horizontal="left" vertical="center" wrapText="1"/>
    </xf>
    <xf numFmtId="0" fontId="33" fillId="73" borderId="0" xfId="30098" applyFill="1"/>
    <xf numFmtId="0" fontId="124" fillId="77" borderId="0" xfId="30098" applyFont="1" applyFill="1" applyAlignment="1">
      <alignment horizontal="center" vertical="center" wrapText="1"/>
    </xf>
    <xf numFmtId="0" fontId="120" fillId="73" borderId="0" xfId="30098" applyFont="1" applyFill="1" applyAlignment="1">
      <alignment vertical="center" wrapText="1"/>
    </xf>
    <xf numFmtId="0" fontId="47" fillId="73" borderId="0" xfId="30098" applyFont="1" applyFill="1" applyAlignment="1">
      <alignment vertical="center" wrapText="1"/>
    </xf>
    <xf numFmtId="0" fontId="125" fillId="77" borderId="0" xfId="30098" applyFont="1" applyFill="1" applyAlignment="1">
      <alignment vertical="center"/>
    </xf>
    <xf numFmtId="0" fontId="128" fillId="0" borderId="0" xfId="30099" applyFont="1" applyAlignment="1">
      <alignment horizontal="left" vertical="top"/>
    </xf>
    <xf numFmtId="0" fontId="130" fillId="0" borderId="0" xfId="30099" applyFont="1" applyAlignment="1">
      <alignment horizontal="left" vertical="top"/>
    </xf>
    <xf numFmtId="0" fontId="128" fillId="36" borderId="0" xfId="30099" applyFont="1" applyFill="1" applyAlignment="1">
      <alignment horizontal="left" vertical="top"/>
    </xf>
    <xf numFmtId="0" fontId="130" fillId="0" borderId="0" xfId="30099" applyFont="1" applyAlignment="1">
      <alignment vertical="top"/>
    </xf>
    <xf numFmtId="0" fontId="128" fillId="0" borderId="0" xfId="30099" applyFont="1" applyAlignment="1">
      <alignment vertical="top"/>
    </xf>
    <xf numFmtId="0" fontId="130" fillId="79" borderId="13" xfId="30099" applyFont="1" applyFill="1" applyBorder="1" applyAlignment="1">
      <alignment horizontal="left" vertical="top"/>
    </xf>
    <xf numFmtId="0" fontId="130" fillId="79" borderId="16" xfId="30099" applyFont="1" applyFill="1" applyBorder="1" applyAlignment="1">
      <alignment horizontal="left" vertical="top"/>
    </xf>
    <xf numFmtId="164" fontId="135" fillId="79" borderId="16" xfId="30100" applyNumberFormat="1" applyFont="1" applyFill="1" applyBorder="1" applyAlignment="1">
      <alignment vertical="center"/>
    </xf>
    <xf numFmtId="0" fontId="136" fillId="79" borderId="16" xfId="30099" applyFont="1" applyFill="1" applyBorder="1" applyAlignment="1">
      <alignment vertical="center" wrapText="1"/>
    </xf>
    <xf numFmtId="0" fontId="136" fillId="79" borderId="16" xfId="30099" applyFont="1" applyFill="1" applyBorder="1" applyAlignment="1">
      <alignment vertical="center"/>
    </xf>
    <xf numFmtId="0" fontId="128" fillId="79" borderId="11" xfId="30099" applyFont="1" applyFill="1" applyBorder="1" applyAlignment="1">
      <alignment horizontal="left" vertical="top" wrapText="1"/>
    </xf>
    <xf numFmtId="0" fontId="137" fillId="0" borderId="0" xfId="30099" applyFont="1" applyAlignment="1">
      <alignment horizontal="left" vertical="top"/>
    </xf>
    <xf numFmtId="0" fontId="137" fillId="26" borderId="15" xfId="30099" applyFont="1" applyFill="1" applyBorder="1" applyAlignment="1">
      <alignment horizontal="left" vertical="top"/>
    </xf>
    <xf numFmtId="0" fontId="137" fillId="26" borderId="0" xfId="30099" applyFont="1" applyFill="1" applyAlignment="1">
      <alignment horizontal="left" vertical="top"/>
    </xf>
    <xf numFmtId="0" fontId="128" fillId="26" borderId="0" xfId="30099" applyFont="1" applyFill="1" applyAlignment="1">
      <alignment horizontal="left" vertical="top" wrapText="1"/>
    </xf>
    <xf numFmtId="0" fontId="137" fillId="26" borderId="0" xfId="30099" applyFont="1" applyFill="1" applyAlignment="1">
      <alignment horizontal="left" vertical="center"/>
    </xf>
    <xf numFmtId="0" fontId="137" fillId="26" borderId="60" xfId="30099" applyFont="1" applyFill="1" applyBorder="1" applyAlignment="1">
      <alignment horizontal="left" vertical="top" wrapText="1"/>
    </xf>
    <xf numFmtId="0" fontId="128" fillId="26" borderId="15" xfId="30099" applyFont="1" applyFill="1" applyBorder="1" applyAlignment="1">
      <alignment horizontal="left" vertical="top"/>
    </xf>
    <xf numFmtId="0" fontId="128" fillId="26" borderId="0" xfId="30099" applyFont="1" applyFill="1" applyAlignment="1">
      <alignment horizontal="left" vertical="top"/>
    </xf>
    <xf numFmtId="0" fontId="128" fillId="26" borderId="60" xfId="30099" applyFont="1" applyFill="1" applyBorder="1" applyAlignment="1">
      <alignment horizontal="left" vertical="top" wrapText="1"/>
    </xf>
    <xf numFmtId="0" fontId="140" fillId="26" borderId="0" xfId="30099" applyFont="1" applyFill="1" applyAlignment="1">
      <alignment horizontal="left" vertical="top"/>
    </xf>
    <xf numFmtId="0" fontId="128" fillId="26" borderId="0" xfId="30099" applyFont="1" applyFill="1" applyAlignment="1">
      <alignment horizontal="left" vertical="center"/>
    </xf>
    <xf numFmtId="14" fontId="128" fillId="0" borderId="69" xfId="30099" applyNumberFormat="1" applyFont="1" applyBorder="1" applyAlignment="1" applyProtection="1">
      <alignment horizontal="center" vertical="center"/>
      <protection locked="0"/>
    </xf>
    <xf numFmtId="0" fontId="128" fillId="26" borderId="0" xfId="30099" applyFont="1" applyFill="1" applyAlignment="1">
      <alignment horizontal="left" vertical="center" wrapText="1"/>
    </xf>
    <xf numFmtId="0" fontId="128" fillId="0" borderId="69" xfId="30099" applyFont="1" applyBorder="1" applyAlignment="1" applyProtection="1">
      <alignment horizontal="center" vertical="center"/>
      <protection locked="0"/>
    </xf>
    <xf numFmtId="0" fontId="144" fillId="26" borderId="0" xfId="30099" applyFont="1" applyFill="1" applyAlignment="1">
      <alignment horizontal="center" vertical="center" wrapText="1"/>
    </xf>
    <xf numFmtId="0" fontId="128" fillId="0" borderId="57" xfId="30099" applyFont="1" applyBorder="1" applyAlignment="1" applyProtection="1">
      <alignment horizontal="center" vertical="center"/>
      <protection locked="0"/>
    </xf>
    <xf numFmtId="0" fontId="128" fillId="26" borderId="0" xfId="30099" applyFont="1" applyFill="1" applyAlignment="1">
      <alignment horizontal="center" vertical="center"/>
    </xf>
    <xf numFmtId="0" fontId="145" fillId="26" borderId="0" xfId="30099" applyFont="1" applyFill="1" applyAlignment="1">
      <alignment horizontal="left" vertical="top" wrapText="1"/>
    </xf>
    <xf numFmtId="0" fontId="145" fillId="0" borderId="57" xfId="30099" applyFont="1" applyBorder="1" applyAlignment="1" applyProtection="1">
      <alignment horizontal="center" vertical="center" wrapText="1"/>
      <protection locked="0"/>
    </xf>
    <xf numFmtId="0" fontId="130" fillId="0" borderId="0" xfId="30099" applyFont="1" applyAlignment="1">
      <alignment horizontal="left"/>
    </xf>
    <xf numFmtId="0" fontId="129" fillId="0" borderId="69" xfId="30099" applyFont="1" applyBorder="1" applyAlignment="1" applyProtection="1">
      <alignment horizontal="center" vertical="center"/>
      <protection locked="0"/>
    </xf>
    <xf numFmtId="0" fontId="128" fillId="26" borderId="0" xfId="30099" applyFont="1" applyFill="1" applyAlignment="1">
      <alignment vertical="top" wrapText="1"/>
    </xf>
    <xf numFmtId="0" fontId="128" fillId="26" borderId="60" xfId="30099" applyFont="1" applyFill="1" applyBorder="1" applyAlignment="1">
      <alignment vertical="top" wrapText="1"/>
    </xf>
    <xf numFmtId="0" fontId="132" fillId="26" borderId="0" xfId="30099" applyFont="1" applyFill="1" applyAlignment="1">
      <alignment horizontal="left" vertical="top"/>
    </xf>
    <xf numFmtId="0" fontId="140" fillId="26" borderId="0" xfId="30099" applyFont="1" applyFill="1" applyAlignment="1">
      <alignment horizontal="left" vertical="top" wrapText="1"/>
    </xf>
    <xf numFmtId="0" fontId="128" fillId="26" borderId="15" xfId="30099" applyFont="1" applyFill="1" applyBorder="1" applyAlignment="1">
      <alignment horizontal="left"/>
    </xf>
    <xf numFmtId="0" fontId="128" fillId="26" borderId="0" xfId="30099" applyFont="1" applyFill="1" applyAlignment="1">
      <alignment horizontal="left"/>
    </xf>
    <xf numFmtId="0" fontId="128" fillId="26" borderId="0" xfId="30099" applyFont="1" applyFill="1" applyAlignment="1">
      <alignment vertical="center" wrapText="1"/>
    </xf>
    <xf numFmtId="0" fontId="140" fillId="26" borderId="0" xfId="30099" applyFont="1" applyFill="1" applyAlignment="1">
      <alignment vertical="center" wrapText="1"/>
    </xf>
    <xf numFmtId="0" fontId="128" fillId="0" borderId="0" xfId="30099" applyFont="1" applyAlignment="1">
      <alignment horizontal="left"/>
    </xf>
    <xf numFmtId="0" fontId="134" fillId="26" borderId="0" xfId="30099" applyFont="1" applyFill="1" applyAlignment="1">
      <alignment horizontal="left"/>
    </xf>
    <xf numFmtId="0" fontId="134" fillId="26" borderId="0" xfId="30099" applyFont="1" applyFill="1" applyAlignment="1">
      <alignment horizontal="right" vertical="center"/>
    </xf>
    <xf numFmtId="0" fontId="134" fillId="26" borderId="0" xfId="30099" applyFont="1" applyFill="1" applyAlignment="1">
      <alignment horizontal="right"/>
    </xf>
    <xf numFmtId="0" fontId="128" fillId="26" borderId="0" xfId="30099" applyFont="1" applyFill="1" applyAlignment="1">
      <alignment horizontal="right" vertical="center" wrapText="1"/>
    </xf>
    <xf numFmtId="14" fontId="128" fillId="26" borderId="0" xfId="30099" applyNumberFormat="1" applyFont="1" applyFill="1" applyAlignment="1">
      <alignment horizontal="left" vertical="center"/>
    </xf>
    <xf numFmtId="0" fontId="149" fillId="79" borderId="0" xfId="30099" applyFont="1" applyFill="1" applyAlignment="1">
      <alignment vertical="center"/>
    </xf>
    <xf numFmtId="0" fontId="149" fillId="79" borderId="0" xfId="30099" applyFont="1" applyFill="1" applyAlignment="1">
      <alignment horizontal="left" vertical="center"/>
    </xf>
    <xf numFmtId="0" fontId="140" fillId="26" borderId="0" xfId="30099" applyFont="1" applyFill="1" applyAlignment="1">
      <alignment horizontal="left" vertical="center" wrapText="1"/>
    </xf>
    <xf numFmtId="0" fontId="140" fillId="26" borderId="60" xfId="30099" applyFont="1" applyFill="1" applyBorder="1" applyAlignment="1">
      <alignment vertical="top" wrapText="1"/>
    </xf>
    <xf numFmtId="0" fontId="128" fillId="26" borderId="40" xfId="30099" applyFont="1" applyFill="1" applyBorder="1" applyAlignment="1">
      <alignment horizontal="left" vertical="top"/>
    </xf>
    <xf numFmtId="0" fontId="128" fillId="26" borderId="41" xfId="30099" applyFont="1" applyFill="1" applyBorder="1" applyAlignment="1">
      <alignment horizontal="left" vertical="top"/>
    </xf>
    <xf numFmtId="0" fontId="128" fillId="26" borderId="41" xfId="30099" applyFont="1" applyFill="1" applyBorder="1" applyAlignment="1">
      <alignment horizontal="right" vertical="center" wrapText="1"/>
    </xf>
    <xf numFmtId="0" fontId="128" fillId="26" borderId="41" xfId="30099" applyFont="1" applyFill="1" applyBorder="1" applyAlignment="1">
      <alignment horizontal="left" vertical="center"/>
    </xf>
    <xf numFmtId="0" fontId="128" fillId="26" borderId="42" xfId="30099" applyFont="1" applyFill="1" applyBorder="1" applyAlignment="1">
      <alignment horizontal="left" vertical="top" wrapText="1"/>
    </xf>
    <xf numFmtId="0" fontId="128" fillId="0" borderId="0" xfId="30099" applyFont="1" applyAlignment="1">
      <alignment horizontal="left" vertical="top" wrapText="1"/>
    </xf>
    <xf numFmtId="2" fontId="128" fillId="0" borderId="0" xfId="30099" applyNumberFormat="1" applyFont="1" applyAlignment="1">
      <alignment horizontal="left" vertical="top"/>
    </xf>
    <xf numFmtId="0" fontId="128" fillId="0" borderId="0" xfId="30099" applyFont="1" applyAlignment="1">
      <alignment horizontal="left" vertical="center" wrapText="1"/>
    </xf>
    <xf numFmtId="14" fontId="128" fillId="0" borderId="0" xfId="30099" applyNumberFormat="1" applyFont="1" applyAlignment="1">
      <alignment horizontal="left" vertical="top"/>
    </xf>
    <xf numFmtId="0" fontId="128" fillId="0" borderId="0" xfId="30099" applyFont="1" applyAlignment="1">
      <alignment horizontal="left" wrapText="1"/>
    </xf>
    <xf numFmtId="0" fontId="0" fillId="0" borderId="0" xfId="0" applyNumberFormat="1" applyFont="1" applyFill="1" applyBorder="1" applyAlignment="1" applyProtection="1">
      <alignment horizontal="left" vertical="center" wrapText="1"/>
    </xf>
    <xf numFmtId="0" fontId="151" fillId="26" borderId="0" xfId="30099" applyFont="1" applyFill="1" applyAlignment="1">
      <alignment horizontal="center" vertical="center"/>
    </xf>
    <xf numFmtId="164" fontId="134" fillId="26" borderId="0" xfId="30100" applyNumberFormat="1" applyFont="1" applyFill="1" applyBorder="1" applyAlignment="1">
      <alignment vertical="center"/>
    </xf>
    <xf numFmtId="164" fontId="134" fillId="26" borderId="0" xfId="30100" applyNumberFormat="1" applyFont="1" applyFill="1" applyBorder="1" applyAlignment="1">
      <alignment vertical="top"/>
    </xf>
    <xf numFmtId="164" fontId="133" fillId="26" borderId="0" xfId="30100" applyNumberFormat="1" applyFont="1" applyFill="1" applyBorder="1" applyAlignment="1">
      <alignment vertical="center"/>
    </xf>
    <xf numFmtId="164" fontId="132" fillId="26" borderId="0" xfId="30100" applyNumberFormat="1" applyFont="1" applyFill="1" applyBorder="1" applyAlignment="1">
      <alignment vertical="center"/>
    </xf>
    <xf numFmtId="164" fontId="134" fillId="26" borderId="41" xfId="30100" applyNumberFormat="1" applyFont="1" applyFill="1" applyBorder="1" applyAlignment="1">
      <alignment vertical="top"/>
    </xf>
    <xf numFmtId="164" fontId="128" fillId="0" borderId="0" xfId="30100" applyNumberFormat="1" applyFont="1" applyFill="1" applyBorder="1" applyAlignment="1">
      <alignment vertical="top"/>
    </xf>
    <xf numFmtId="49" fontId="134" fillId="26" borderId="0" xfId="30100" applyNumberFormat="1" applyFont="1" applyFill="1" applyBorder="1" applyAlignment="1">
      <alignment horizontal="center" vertical="center"/>
    </xf>
    <xf numFmtId="49" fontId="134" fillId="26" borderId="0" xfId="30100" applyNumberFormat="1" applyFont="1" applyFill="1" applyBorder="1" applyAlignment="1">
      <alignment horizontal="center" vertical="top"/>
    </xf>
    <xf numFmtId="0" fontId="134" fillId="26" borderId="0" xfId="30099" applyFont="1" applyFill="1" applyAlignment="1">
      <alignment horizontal="left" wrapText="1"/>
    </xf>
    <xf numFmtId="0" fontId="134" fillId="26" borderId="0" xfId="30099" applyFont="1" applyFill="1" applyAlignment="1">
      <alignment horizontal="left" vertical="center" wrapText="1"/>
    </xf>
    <xf numFmtId="0" fontId="128" fillId="0" borderId="0" xfId="30099" applyFont="1" applyFill="1" applyAlignment="1">
      <alignment horizontal="left"/>
    </xf>
    <xf numFmtId="0" fontId="130" fillId="0" borderId="0" xfId="30099" applyFont="1" applyFill="1" applyAlignment="1">
      <alignment horizontal="left"/>
    </xf>
    <xf numFmtId="167" fontId="0" fillId="0" borderId="82" xfId="545" applyNumberFormat="1" applyFont="1" applyBorder="1"/>
    <xf numFmtId="10" fontId="0" fillId="0" borderId="82" xfId="4688" applyNumberFormat="1" applyFont="1" applyBorder="1"/>
    <xf numFmtId="0" fontId="0" fillId="0" borderId="0" xfId="0"/>
    <xf numFmtId="2" fontId="0" fillId="0" borderId="82" xfId="439" applyNumberFormat="1" applyFont="1" applyBorder="1"/>
    <xf numFmtId="169" fontId="39" fillId="29" borderId="0" xfId="439" applyNumberFormat="1" applyFont="1" applyFill="1" applyAlignment="1" applyProtection="1">
      <alignment horizontal="center" vertical="center"/>
      <protection locked="0"/>
    </xf>
    <xf numFmtId="174" fontId="39" fillId="29" borderId="0" xfId="439" applyNumberFormat="1" applyFont="1" applyFill="1" applyAlignment="1" applyProtection="1">
      <alignment horizontal="center" vertical="center"/>
      <protection locked="0"/>
    </xf>
    <xf numFmtId="38" fontId="45" fillId="29" borderId="0" xfId="439" applyNumberFormat="1" applyFont="1" applyFill="1" applyAlignment="1" applyProtection="1">
      <alignment horizontal="center" vertical="center" wrapText="1"/>
      <protection locked="0"/>
    </xf>
    <xf numFmtId="9" fontId="0" fillId="0" borderId="82" xfId="4688" applyFont="1" applyBorder="1"/>
    <xf numFmtId="0" fontId="136" fillId="79" borderId="41" xfId="30099" applyFont="1" applyFill="1" applyBorder="1" applyAlignment="1">
      <alignment vertical="center"/>
    </xf>
    <xf numFmtId="0" fontId="39" fillId="0" borderId="43" xfId="0" applyNumberFormat="1" applyFont="1" applyFill="1" applyBorder="1" applyAlignment="1" applyProtection="1">
      <alignment horizontal="center" vertical="center"/>
    </xf>
    <xf numFmtId="0" fontId="39" fillId="0" borderId="0" xfId="0" applyFont="1" applyAlignment="1">
      <alignment horizontal="center"/>
    </xf>
    <xf numFmtId="0" fontId="39" fillId="0" borderId="0" xfId="0" applyFont="1" applyAlignment="1">
      <alignment horizontal="center" wrapText="1"/>
    </xf>
    <xf numFmtId="0" fontId="132" fillId="26" borderId="0" xfId="30099" applyFont="1" applyFill="1" applyAlignment="1">
      <alignment vertical="top" wrapText="1"/>
    </xf>
    <xf numFmtId="0" fontId="153" fillId="26" borderId="0" xfId="30099" applyFont="1" applyFill="1" applyAlignment="1">
      <alignment horizontal="left" vertical="top" wrapText="1"/>
    </xf>
    <xf numFmtId="170" fontId="39" fillId="29" borderId="0" xfId="439" applyNumberFormat="1" applyFont="1" applyFill="1" applyAlignment="1" applyProtection="1">
      <alignment horizontal="center" vertical="center"/>
      <protection locked="0"/>
    </xf>
    <xf numFmtId="0" fontId="39" fillId="78" borderId="85" xfId="0" applyFont="1" applyFill="1" applyBorder="1" applyAlignment="1">
      <alignment horizontal="center"/>
    </xf>
    <xf numFmtId="0" fontId="39" fillId="78" borderId="85" xfId="0" applyFont="1" applyFill="1" applyBorder="1" applyAlignment="1">
      <alignment horizontal="center" wrapText="1"/>
    </xf>
    <xf numFmtId="0" fontId="39" fillId="78" borderId="94" xfId="0" applyFont="1" applyFill="1" applyBorder="1" applyAlignment="1">
      <alignment vertical="center" wrapText="1"/>
    </xf>
    <xf numFmtId="0" fontId="39" fillId="78" borderId="88" xfId="0" applyFont="1" applyFill="1" applyBorder="1" applyAlignment="1">
      <alignment wrapText="1"/>
    </xf>
    <xf numFmtId="0" fontId="39" fillId="78" borderId="85" xfId="0" applyFont="1" applyFill="1" applyBorder="1" applyAlignment="1">
      <alignment wrapText="1"/>
    </xf>
    <xf numFmtId="43" fontId="0" fillId="0" borderId="82" xfId="439" applyNumberFormat="1" applyFont="1" applyBorder="1"/>
    <xf numFmtId="0" fontId="39" fillId="78" borderId="97" xfId="0" applyFont="1" applyFill="1" applyBorder="1" applyAlignment="1">
      <alignment horizontal="center"/>
    </xf>
    <xf numFmtId="0" fontId="39" fillId="78" borderId="92" xfId="0" applyFont="1" applyFill="1" applyBorder="1" applyAlignment="1">
      <alignment horizontal="center"/>
    </xf>
    <xf numFmtId="0" fontId="39" fillId="78" borderId="94" xfId="0" applyFont="1" applyFill="1" applyBorder="1" applyAlignment="1">
      <alignment wrapText="1"/>
    </xf>
    <xf numFmtId="0" fontId="39" fillId="78" borderId="101" xfId="0" applyFont="1" applyFill="1" applyBorder="1" applyAlignment="1">
      <alignment vertical="center" wrapText="1"/>
    </xf>
    <xf numFmtId="38" fontId="39" fillId="29" borderId="0" xfId="439" applyNumberFormat="1" applyFont="1" applyFill="1" applyAlignment="1" applyProtection="1">
      <alignment horizontal="center" vertical="center"/>
      <protection locked="0"/>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2" fontId="0" fillId="0" borderId="0" xfId="0" applyNumberFormat="1" applyFont="1"/>
    <xf numFmtId="0" fontId="0" fillId="0" borderId="0" xfId="0" applyFont="1" applyFill="1"/>
    <xf numFmtId="0" fontId="158" fillId="0" borderId="0" xfId="0" applyFont="1" applyAlignment="1">
      <alignment vertical="center"/>
    </xf>
    <xf numFmtId="0" fontId="158" fillId="0" borderId="0" xfId="30099" applyFont="1" applyAlignment="1">
      <alignment horizontal="left" vertical="top"/>
    </xf>
    <xf numFmtId="0" fontId="154" fillId="26" borderId="0" xfId="30099" applyFont="1" applyFill="1" applyAlignment="1">
      <alignment vertical="center" wrapText="1"/>
    </xf>
    <xf numFmtId="0" fontId="159" fillId="26" borderId="0" xfId="30099" applyFont="1" applyFill="1" applyAlignment="1">
      <alignment vertical="center" wrapText="1"/>
    </xf>
    <xf numFmtId="0" fontId="160" fillId="0" borderId="0" xfId="0" applyFont="1"/>
    <xf numFmtId="0" fontId="134" fillId="26" borderId="0" xfId="30100" applyNumberFormat="1" applyFont="1" applyFill="1" applyBorder="1" applyAlignment="1">
      <alignment horizontal="center" vertical="center"/>
    </xf>
    <xf numFmtId="164" fontId="134" fillId="26" borderId="0" xfId="30100" quotePrefix="1" applyNumberFormat="1" applyFont="1" applyFill="1" applyBorder="1" applyAlignment="1">
      <alignment horizontal="center" vertical="center"/>
    </xf>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0" fillId="0" borderId="0" xfId="0" applyFill="1" applyAlignment="1">
      <alignment horizontal="center"/>
    </xf>
    <xf numFmtId="0" fontId="54" fillId="34" borderId="0" xfId="0" applyNumberFormat="1" applyFont="1" applyFill="1" applyAlignment="1" applyProtection="1">
      <alignment vertical="center" wrapText="1"/>
    </xf>
    <xf numFmtId="0" fontId="0" fillId="34" borderId="0" xfId="0" applyNumberFormat="1" applyFont="1" applyFill="1" applyBorder="1" applyAlignment="1" applyProtection="1">
      <alignment horizontal="center" vertical="center" wrapText="1"/>
    </xf>
    <xf numFmtId="0" fontId="0" fillId="34" borderId="0" xfId="0" applyNumberFormat="1" applyFont="1" applyFill="1" applyBorder="1" applyAlignment="1" applyProtection="1">
      <alignment horizontal="left" vertical="center" wrapText="1"/>
    </xf>
    <xf numFmtId="0" fontId="39" fillId="0" borderId="26" xfId="0" applyFont="1" applyFill="1" applyBorder="1" applyAlignment="1">
      <alignment horizontal="center" vertical="center"/>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45" xfId="0" applyFont="1" applyFill="1" applyBorder="1" applyAlignment="1">
      <alignment horizontal="center" vertical="center"/>
    </xf>
    <xf numFmtId="0" fontId="39" fillId="0" borderId="43" xfId="0" applyFont="1" applyFill="1" applyBorder="1" applyAlignment="1">
      <alignment horizontal="center" vertical="center"/>
    </xf>
    <xf numFmtId="0" fontId="60" fillId="0" borderId="25" xfId="0" applyFont="1" applyFill="1" applyBorder="1" applyAlignment="1">
      <alignment horizontal="center" vertical="center"/>
    </xf>
    <xf numFmtId="0" fontId="50" fillId="0" borderId="25" xfId="0" applyFont="1" applyFill="1" applyBorder="1" applyAlignment="1">
      <alignment horizontal="center" vertical="center" wrapText="1"/>
    </xf>
    <xf numFmtId="0" fontId="59" fillId="0" borderId="25" xfId="0" applyFont="1" applyFill="1" applyBorder="1" applyAlignment="1">
      <alignment horizontal="center" vertical="center"/>
    </xf>
    <xf numFmtId="0" fontId="39" fillId="0" borderId="63" xfId="0" applyFont="1" applyFill="1" applyBorder="1" applyAlignment="1">
      <alignment horizontal="center" vertical="center"/>
    </xf>
    <xf numFmtId="0" fontId="70" fillId="0" borderId="0" xfId="0" applyFont="1" applyFill="1"/>
    <xf numFmtId="0" fontId="39" fillId="0" borderId="0" xfId="0" applyFont="1" applyFill="1" applyBorder="1" applyAlignment="1">
      <alignment horizontal="center" vertical="center"/>
    </xf>
    <xf numFmtId="0" fontId="53" fillId="0" borderId="30" xfId="0" applyNumberFormat="1" applyFont="1" applyFill="1" applyBorder="1" applyAlignment="1" applyProtection="1">
      <alignment horizontal="left" vertical="center" wrapText="1"/>
    </xf>
    <xf numFmtId="39" fontId="58" fillId="0" borderId="45" xfId="439" applyNumberFormat="1" applyFont="1" applyFill="1" applyBorder="1" applyAlignment="1" applyProtection="1">
      <alignment horizontal="center" vertical="center" wrapText="1"/>
    </xf>
    <xf numFmtId="0" fontId="63" fillId="0" borderId="0" xfId="0" applyNumberFormat="1" applyFont="1" applyFill="1" applyAlignment="1" applyProtection="1">
      <alignment horizontal="left" vertical="center" wrapText="1"/>
    </xf>
    <xf numFmtId="0" fontId="41" fillId="34" borderId="23" xfId="0" applyNumberFormat="1" applyFont="1" applyFill="1" applyBorder="1" applyAlignment="1" applyProtection="1">
      <alignment horizontal="left" vertical="center" wrapText="1"/>
    </xf>
    <xf numFmtId="0" fontId="58" fillId="34" borderId="25" xfId="0" applyNumberFormat="1" applyFont="1" applyFill="1" applyBorder="1" applyAlignment="1" applyProtection="1">
      <alignment horizontal="left" vertical="center" wrapText="1"/>
    </xf>
    <xf numFmtId="0" fontId="39" fillId="34" borderId="24" xfId="0" applyNumberFormat="1" applyFont="1" applyFill="1" applyBorder="1" applyAlignment="1" applyProtection="1">
      <alignment horizontal="center" vertical="center"/>
    </xf>
    <xf numFmtId="180" fontId="58"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39" fillId="0" borderId="45" xfId="439" applyNumberFormat="1" applyFont="1" applyFill="1" applyBorder="1" applyAlignment="1" applyProtection="1">
      <alignment horizontal="center" vertical="center" wrapText="1"/>
    </xf>
    <xf numFmtId="0" fontId="63" fillId="0" borderId="45" xfId="0" applyNumberFormat="1" applyFont="1" applyFill="1" applyBorder="1" applyAlignment="1" applyProtection="1">
      <alignment horizontal="left" vertical="center" wrapText="1"/>
    </xf>
    <xf numFmtId="0" fontId="58" fillId="0" borderId="28" xfId="0" applyNumberFormat="1" applyFont="1" applyFill="1" applyBorder="1" applyAlignment="1" applyProtection="1">
      <alignment horizontal="left" vertical="center" wrapText="1"/>
    </xf>
    <xf numFmtId="0" fontId="53" fillId="0" borderId="45" xfId="0" applyNumberFormat="1" applyFont="1" applyFill="1" applyBorder="1" applyAlignment="1" applyProtection="1">
      <alignment horizontal="left" vertical="center" wrapText="1"/>
    </xf>
    <xf numFmtId="0" fontId="39" fillId="0" borderId="45" xfId="0" applyNumberFormat="1" applyFont="1" applyFill="1" applyBorder="1" applyAlignment="1" applyProtection="1">
      <alignment horizontal="center" vertical="center"/>
    </xf>
    <xf numFmtId="164" fontId="58" fillId="0" borderId="45" xfId="439"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39" fillId="0" borderId="25" xfId="0" applyNumberFormat="1" applyFont="1" applyFill="1" applyBorder="1" applyAlignment="1" applyProtection="1">
      <alignment horizontal="center" vertical="center"/>
    </xf>
    <xf numFmtId="164" fontId="58" fillId="0" borderId="29" xfId="439" applyNumberFormat="1" applyFont="1" applyFill="1" applyBorder="1" applyAlignment="1" applyProtection="1">
      <alignment horizontal="center" vertical="center" wrapText="1"/>
    </xf>
    <xf numFmtId="164" fontId="58" fillId="0" borderId="23" xfId="439" applyNumberFormat="1" applyFont="1" applyFill="1" applyBorder="1" applyAlignment="1" applyProtection="1">
      <alignment horizontal="center" vertical="center" wrapText="1"/>
    </xf>
    <xf numFmtId="0" fontId="58" fillId="0" borderId="23" xfId="0" applyNumberFormat="1" applyFont="1" applyFill="1" applyBorder="1" applyAlignment="1" applyProtection="1">
      <alignment horizontal="left" vertical="center" wrapText="1"/>
    </xf>
    <xf numFmtId="39" fontId="58" fillId="0" borderId="28" xfId="439" applyNumberFormat="1" applyFont="1" applyFill="1" applyBorder="1" applyAlignment="1" applyProtection="1">
      <alignment horizontal="center" vertical="center" wrapText="1"/>
    </xf>
    <xf numFmtId="164" fontId="58"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8" fillId="34" borderId="23" xfId="0" applyNumberFormat="1" applyFont="1" applyFill="1" applyBorder="1" applyAlignment="1" applyProtection="1">
      <alignment horizontal="left" vertical="center" wrapText="1"/>
    </xf>
    <xf numFmtId="164" fontId="58" fillId="29" borderId="23" xfId="439" applyNumberFormat="1" applyFont="1" applyFill="1" applyBorder="1" applyAlignment="1" applyProtection="1">
      <alignment horizontal="center" vertical="center" wrapText="1"/>
      <protection locked="0"/>
    </xf>
    <xf numFmtId="3" fontId="58" fillId="0" borderId="23" xfId="439" applyNumberFormat="1" applyFont="1" applyFill="1" applyBorder="1" applyAlignment="1" applyProtection="1">
      <alignment horizontal="center" vertical="center" wrapText="1"/>
    </xf>
    <xf numFmtId="3" fontId="58" fillId="34" borderId="23" xfId="439" applyNumberFormat="1" applyFont="1" applyFill="1" applyBorder="1" applyAlignment="1" applyProtection="1">
      <alignment horizontal="center" vertical="center" wrapText="1"/>
    </xf>
    <xf numFmtId="0" fontId="58" fillId="22" borderId="23" xfId="439" applyNumberFormat="1" applyFont="1" applyFill="1" applyBorder="1" applyAlignment="1" applyProtection="1">
      <alignment horizontal="center" vertical="center" wrapText="1"/>
      <protection locked="0"/>
    </xf>
    <xf numFmtId="164" fontId="58" fillId="29" borderId="0" xfId="439" applyNumberFormat="1" applyFont="1" applyFill="1" applyBorder="1" applyAlignment="1" applyProtection="1">
      <alignment horizontal="center" vertical="center" wrapText="1"/>
      <protection locked="0"/>
    </xf>
    <xf numFmtId="37" fontId="39" fillId="0" borderId="0" xfId="439" applyNumberFormat="1" applyFont="1" applyFill="1" applyBorder="1" applyAlignment="1" applyProtection="1">
      <alignment horizontal="center" vertical="center" wrapText="1"/>
    </xf>
    <xf numFmtId="0" fontId="39" fillId="0" borderId="0" xfId="0" applyNumberFormat="1" applyFont="1" applyFill="1" applyBorder="1" applyAlignment="1" applyProtection="1">
      <alignment horizontal="center" vertical="center"/>
    </xf>
    <xf numFmtId="3" fontId="58" fillId="0" borderId="45" xfId="439" applyNumberFormat="1" applyFont="1" applyFill="1" applyBorder="1" applyAlignment="1" applyProtection="1">
      <alignment horizontal="center" vertical="center" wrapText="1"/>
    </xf>
    <xf numFmtId="0" fontId="58" fillId="0" borderId="45" xfId="0" applyNumberFormat="1" applyFont="1" applyFill="1" applyBorder="1" applyAlignment="1" applyProtection="1">
      <alignment horizontal="left" vertical="center" wrapText="1"/>
    </xf>
    <xf numFmtId="0" fontId="0" fillId="0" borderId="36" xfId="0" applyFont="1" applyFill="1" applyBorder="1" applyAlignment="1" applyProtection="1">
      <alignment vertical="center" wrapText="1"/>
    </xf>
    <xf numFmtId="0" fontId="39" fillId="34" borderId="25" xfId="0" applyNumberFormat="1" applyFont="1" applyFill="1" applyBorder="1" applyAlignment="1" applyProtection="1">
      <alignment horizontal="center" vertical="center"/>
    </xf>
    <xf numFmtId="182" fontId="39" fillId="29" borderId="0" xfId="439" applyNumberFormat="1" applyFont="1" applyFill="1" applyAlignment="1" applyProtection="1">
      <alignment horizontal="center" vertical="center"/>
      <protection locked="0"/>
    </xf>
    <xf numFmtId="14" fontId="0" fillId="0" borderId="0" xfId="0" applyNumberFormat="1" applyFont="1" applyFill="1" applyAlignment="1" applyProtection="1">
      <alignment horizontal="center" vertical="center"/>
    </xf>
    <xf numFmtId="0" fontId="58" fillId="78" borderId="25" xfId="0" applyNumberFormat="1" applyFont="1" applyFill="1" applyBorder="1" applyAlignment="1" applyProtection="1">
      <alignment horizontal="left" vertical="center" wrapText="1"/>
    </xf>
    <xf numFmtId="0" fontId="58" fillId="78" borderId="23" xfId="0" applyNumberFormat="1" applyFont="1" applyFill="1" applyBorder="1" applyAlignment="1" applyProtection="1">
      <alignment horizontal="left" vertical="center" wrapText="1"/>
    </xf>
    <xf numFmtId="0" fontId="39" fillId="78" borderId="43" xfId="0" applyNumberFormat="1" applyFont="1" applyFill="1" applyBorder="1" applyAlignment="1" applyProtection="1">
      <alignment horizontal="center" vertical="center"/>
    </xf>
    <xf numFmtId="0" fontId="39"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39"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70" fillId="0" borderId="0" xfId="0" applyFont="1" applyAlignment="1" applyProtection="1">
      <alignment wrapText="1"/>
      <protection locked="0"/>
    </xf>
    <xf numFmtId="3" fontId="39" fillId="0" borderId="0" xfId="439" applyNumberFormat="1" applyFont="1" applyFill="1" applyAlignment="1" applyProtection="1">
      <alignment horizontal="center" vertical="center" wrapText="1"/>
    </xf>
    <xf numFmtId="183" fontId="45" fillId="0" borderId="0" xfId="439" applyNumberFormat="1" applyFont="1" applyFill="1" applyAlignment="1" applyProtection="1">
      <alignment horizontal="center" vertical="center" wrapText="1"/>
    </xf>
    <xf numFmtId="167" fontId="0" fillId="0" borderId="86" xfId="545" applyNumberFormat="1" applyFont="1" applyFill="1" applyBorder="1" applyAlignment="1">
      <alignment horizontal="center"/>
    </xf>
    <xf numFmtId="10" fontId="0" fillId="0" borderId="95" xfId="4688" applyNumberFormat="1" applyFont="1" applyFill="1" applyBorder="1" applyAlignment="1">
      <alignment horizontal="center"/>
    </xf>
    <xf numFmtId="164" fontId="50" fillId="0" borderId="0" xfId="0" applyNumberFormat="1" applyFont="1" applyFill="1" applyAlignment="1" applyProtection="1">
      <alignment wrapText="1"/>
    </xf>
    <xf numFmtId="0" fontId="128" fillId="26" borderId="0" xfId="30099" applyFont="1" applyFill="1" applyAlignment="1">
      <alignment horizontal="left" vertical="top" wrapText="1"/>
    </xf>
    <xf numFmtId="164" fontId="50" fillId="78" borderId="10" xfId="0" applyNumberFormat="1" applyFont="1" applyFill="1" applyBorder="1" applyAlignment="1" applyProtection="1">
      <alignment horizontal="center" vertical="center" wrapText="1"/>
    </xf>
    <xf numFmtId="0" fontId="41" fillId="78" borderId="0" xfId="0" applyFont="1" applyFill="1" applyBorder="1" applyAlignment="1">
      <alignment wrapText="1"/>
    </xf>
    <xf numFmtId="0" fontId="39" fillId="78" borderId="63" xfId="0" applyNumberFormat="1" applyFont="1" applyFill="1" applyBorder="1" applyAlignment="1" applyProtection="1">
      <alignment horizontal="center" vertical="center"/>
    </xf>
    <xf numFmtId="0" fontId="41" fillId="78" borderId="23" xfId="0" applyNumberFormat="1" applyFont="1" applyFill="1" applyBorder="1" applyAlignment="1" applyProtection="1">
      <alignment horizontal="left" vertical="center" wrapText="1"/>
    </xf>
    <xf numFmtId="0" fontId="151" fillId="81" borderId="57" xfId="30099" applyFont="1" applyFill="1" applyBorder="1" applyAlignment="1" applyProtection="1">
      <alignment horizontal="center" vertical="center"/>
      <protection locked="0"/>
    </xf>
    <xf numFmtId="0" fontId="128" fillId="81" borderId="57" xfId="30099" applyFont="1" applyFill="1" applyBorder="1" applyAlignment="1" applyProtection="1">
      <alignment horizontal="center" vertical="center"/>
      <protection locked="0"/>
    </xf>
    <xf numFmtId="14" fontId="128" fillId="81" borderId="57" xfId="30099" applyNumberFormat="1" applyFont="1" applyFill="1" applyBorder="1" applyAlignment="1" applyProtection="1">
      <alignment horizontal="center" vertical="center"/>
      <protection locked="0"/>
    </xf>
    <xf numFmtId="164" fontId="134" fillId="26" borderId="0" xfId="30100" applyNumberFormat="1" applyFont="1" applyFill="1" applyBorder="1" applyAlignment="1"/>
    <xf numFmtId="10" fontId="0" fillId="0" borderId="10" xfId="4688" applyNumberFormat="1" applyFont="1" applyFill="1" applyBorder="1"/>
    <xf numFmtId="10" fontId="0" fillId="0" borderId="10" xfId="0" applyNumberFormat="1" applyFont="1" applyFill="1" applyBorder="1" applyAlignment="1">
      <alignment horizontal="center" wrapText="1"/>
    </xf>
    <xf numFmtId="10" fontId="0" fillId="78" borderId="10" xfId="4688" applyNumberFormat="1" applyFont="1" applyFill="1" applyBorder="1"/>
    <xf numFmtId="10" fontId="0" fillId="78" borderId="10" xfId="0" applyNumberFormat="1" applyFont="1" applyFill="1" applyBorder="1" applyAlignment="1">
      <alignment horizontal="center" wrapText="1"/>
    </xf>
    <xf numFmtId="0" fontId="39" fillId="78" borderId="106" xfId="0" applyFont="1" applyFill="1" applyBorder="1" applyAlignment="1">
      <alignment wrapText="1"/>
    </xf>
    <xf numFmtId="0" fontId="39" fillId="78" borderId="10" xfId="0" applyFont="1" applyFill="1" applyBorder="1" applyAlignment="1">
      <alignment vertical="center" wrapText="1"/>
    </xf>
    <xf numFmtId="167" fontId="0" fillId="0" borderId="10" xfId="545" applyNumberFormat="1" applyFont="1" applyFill="1" applyBorder="1" applyAlignment="1">
      <alignment horizontal="center"/>
    </xf>
    <xf numFmtId="10" fontId="0" fillId="0" borderId="10" xfId="4688" applyNumberFormat="1" applyFont="1" applyFill="1" applyBorder="1" applyAlignment="1">
      <alignment horizontal="center"/>
    </xf>
    <xf numFmtId="0" fontId="39" fillId="78" borderId="106" xfId="0" applyFont="1" applyFill="1" applyBorder="1" applyAlignment="1">
      <alignment vertical="center" wrapText="1"/>
    </xf>
    <xf numFmtId="0" fontId="39" fillId="78" borderId="0" xfId="0" applyFont="1" applyFill="1" applyBorder="1" applyAlignment="1">
      <alignment vertical="center" wrapText="1"/>
    </xf>
    <xf numFmtId="10" fontId="0" fillId="78" borderId="0" xfId="4688" applyNumberFormat="1" applyFont="1" applyFill="1" applyBorder="1" applyAlignment="1">
      <alignment horizontal="center"/>
    </xf>
    <xf numFmtId="10" fontId="0" fillId="78" borderId="10" xfId="4688" applyNumberFormat="1" applyFont="1" applyFill="1" applyBorder="1" applyAlignment="1">
      <alignment horizontal="center"/>
    </xf>
    <xf numFmtId="43" fontId="0" fillId="0" borderId="0" xfId="439" applyFont="1" applyFill="1"/>
    <xf numFmtId="164" fontId="0" fillId="0" borderId="0" xfId="439" applyNumberFormat="1" applyFont="1" applyFill="1"/>
    <xf numFmtId="172" fontId="0" fillId="0" borderId="0" xfId="439" applyNumberFormat="1" applyFont="1" applyFill="1"/>
    <xf numFmtId="184" fontId="0" fillId="0" borderId="0" xfId="439" applyNumberFormat="1" applyFont="1" applyFill="1"/>
    <xf numFmtId="43" fontId="0" fillId="0" borderId="0" xfId="439" applyNumberFormat="1" applyFont="1" applyFill="1"/>
    <xf numFmtId="38" fontId="0" fillId="0" borderId="0" xfId="0" applyNumberFormat="1" applyFont="1" applyFill="1"/>
    <xf numFmtId="40" fontId="0" fillId="0" borderId="0" xfId="0" applyNumberFormat="1" applyFont="1" applyFill="1"/>
    <xf numFmtId="0" fontId="33" fillId="0" borderId="0" xfId="0" applyFont="1" applyProtection="1"/>
    <xf numFmtId="0" fontId="59" fillId="0" borderId="0" xfId="26000" applyFont="1" applyProtection="1"/>
    <xf numFmtId="0" fontId="59" fillId="0" borderId="0" xfId="26000" applyFont="1" applyAlignment="1" applyProtection="1">
      <alignment horizontal="center" vertical="center"/>
    </xf>
    <xf numFmtId="0" fontId="45" fillId="0" borderId="0" xfId="26000" applyFont="1" applyProtection="1"/>
    <xf numFmtId="0" fontId="45" fillId="0" borderId="0" xfId="26000" applyFont="1" applyFill="1" applyProtection="1"/>
    <xf numFmtId="0" fontId="45" fillId="0" borderId="0" xfId="26000" applyFont="1" applyAlignment="1" applyProtection="1">
      <alignment horizontal="center"/>
    </xf>
    <xf numFmtId="0" fontId="59" fillId="0" borderId="0" xfId="26000" applyFont="1" applyAlignment="1" applyProtection="1">
      <alignment horizontal="left"/>
    </xf>
    <xf numFmtId="0" fontId="59" fillId="84" borderId="0" xfId="26000" applyFont="1" applyFill="1" applyProtection="1"/>
    <xf numFmtId="0" fontId="45" fillId="84" borderId="0" xfId="26000" applyFont="1" applyFill="1" applyProtection="1"/>
    <xf numFmtId="0" fontId="163" fillId="0" borderId="57" xfId="26000" applyFont="1" applyBorder="1" applyProtection="1"/>
    <xf numFmtId="9" fontId="59" fillId="0" borderId="0" xfId="26000" applyNumberFormat="1" applyFont="1" applyAlignment="1" applyProtection="1">
      <alignment horizontal="center"/>
    </xf>
    <xf numFmtId="38" fontId="45" fillId="83" borderId="0" xfId="29549" applyNumberFormat="1" applyFont="1" applyFill="1" applyProtection="1"/>
    <xf numFmtId="38" fontId="45" fillId="0" borderId="0" xfId="29549" applyNumberFormat="1" applyFont="1" applyFill="1" applyProtection="1"/>
    <xf numFmtId="164" fontId="45" fillId="0" borderId="57" xfId="29549" applyNumberFormat="1" applyFont="1" applyBorder="1" applyProtection="1"/>
    <xf numFmtId="164" fontId="45" fillId="0" borderId="0" xfId="29549" applyNumberFormat="1" applyFont="1" applyFill="1" applyBorder="1" applyProtection="1"/>
    <xf numFmtId="38" fontId="45" fillId="83" borderId="0" xfId="26000" applyNumberFormat="1" applyFont="1" applyFill="1" applyProtection="1"/>
    <xf numFmtId="38" fontId="45" fillId="0" borderId="0" xfId="26000" applyNumberFormat="1" applyFont="1" applyProtection="1"/>
    <xf numFmtId="0" fontId="45" fillId="0" borderId="0" xfId="26000" applyFont="1" applyAlignment="1" applyProtection="1">
      <alignment wrapText="1"/>
    </xf>
    <xf numFmtId="43" fontId="45" fillId="83" borderId="57" xfId="29549" applyFont="1" applyFill="1" applyBorder="1" applyAlignment="1" applyProtection="1">
      <alignment horizontal="left"/>
    </xf>
    <xf numFmtId="164" fontId="45" fillId="0" borderId="0" xfId="29549" applyNumberFormat="1" applyFont="1" applyFill="1" applyBorder="1" applyAlignment="1" applyProtection="1">
      <alignment horizontal="left"/>
    </xf>
    <xf numFmtId="172" fontId="45" fillId="0" borderId="0" xfId="29549" applyNumberFormat="1" applyFont="1" applyFill="1" applyBorder="1" applyAlignment="1" applyProtection="1">
      <alignment horizontal="left"/>
    </xf>
    <xf numFmtId="0" fontId="59" fillId="0" borderId="0" xfId="26000" applyFont="1" applyAlignment="1" applyProtection="1">
      <alignment wrapText="1"/>
    </xf>
    <xf numFmtId="164" fontId="45" fillId="83" borderId="57" xfId="29549" applyNumberFormat="1" applyFont="1" applyFill="1" applyBorder="1" applyProtection="1"/>
    <xf numFmtId="164" fontId="45" fillId="0" borderId="57" xfId="29549" applyNumberFormat="1" applyFont="1" applyFill="1" applyBorder="1" applyProtection="1"/>
    <xf numFmtId="40" fontId="45" fillId="83" borderId="0" xfId="26000" applyNumberFormat="1" applyFont="1" applyFill="1" applyProtection="1"/>
    <xf numFmtId="0" fontId="164" fillId="0" borderId="0" xfId="26000" applyFont="1" applyAlignment="1" applyProtection="1">
      <alignment horizontal="right"/>
    </xf>
    <xf numFmtId="164" fontId="45" fillId="0" borderId="0" xfId="29549" applyNumberFormat="1" applyFont="1" applyBorder="1" applyProtection="1"/>
    <xf numFmtId="164" fontId="45" fillId="0" borderId="0" xfId="26000" applyNumberFormat="1" applyFont="1" applyProtection="1"/>
    <xf numFmtId="38" fontId="45" fillId="0" borderId="0" xfId="29549" applyNumberFormat="1" applyFont="1" applyBorder="1" applyProtection="1"/>
    <xf numFmtId="0" fontId="164" fillId="0" borderId="0" xfId="26000" applyFont="1" applyProtection="1"/>
    <xf numFmtId="43" fontId="45" fillId="0" borderId="0" xfId="26000" applyNumberFormat="1" applyFont="1" applyProtection="1"/>
    <xf numFmtId="164" fontId="59" fillId="0" borderId="57" xfId="26000" applyNumberFormat="1" applyFont="1" applyBorder="1" applyProtection="1"/>
    <xf numFmtId="0" fontId="59" fillId="0" borderId="0" xfId="26000" applyFont="1" applyAlignment="1" applyProtection="1">
      <alignment horizontal="center"/>
    </xf>
    <xf numFmtId="0" fontId="59" fillId="0" borderId="70" xfId="26000" applyFont="1" applyBorder="1" applyAlignment="1" applyProtection="1">
      <alignment horizontal="right" vertical="top" wrapText="1"/>
    </xf>
    <xf numFmtId="164" fontId="59" fillId="0" borderId="72" xfId="29549" applyNumberFormat="1" applyFont="1" applyBorder="1" applyProtection="1"/>
    <xf numFmtId="167" fontId="45" fillId="0" borderId="0" xfId="29549" applyNumberFormat="1" applyFont="1" applyProtection="1"/>
    <xf numFmtId="43" fontId="59" fillId="0" borderId="70" xfId="29549" applyFont="1" applyBorder="1" applyProtection="1"/>
    <xf numFmtId="43" fontId="45" fillId="0" borderId="72" xfId="29549" applyFont="1" applyBorder="1" applyAlignment="1" applyProtection="1">
      <alignment horizontal="right"/>
    </xf>
    <xf numFmtId="0" fontId="45" fillId="0" borderId="0" xfId="26000" applyFont="1" applyBorder="1" applyAlignment="1" applyProtection="1">
      <alignment vertical="top"/>
    </xf>
    <xf numFmtId="0" fontId="164" fillId="0" borderId="0" xfId="26000" applyFont="1" applyAlignment="1" applyProtection="1">
      <alignment vertical="top" wrapText="1"/>
    </xf>
    <xf numFmtId="38" fontId="53" fillId="26" borderId="0" xfId="682" applyNumberFormat="1" applyFont="1" applyFill="1"/>
    <xf numFmtId="0" fontId="39" fillId="0" borderId="0" xfId="682" applyFont="1" applyFill="1" applyAlignment="1">
      <alignment wrapText="1"/>
    </xf>
    <xf numFmtId="0" fontId="0" fillId="0" borderId="0" xfId="682" applyFont="1"/>
    <xf numFmtId="0" fontId="165" fillId="26" borderId="0" xfId="682" applyFont="1" applyFill="1"/>
    <xf numFmtId="0" fontId="0" fillId="26" borderId="0" xfId="682" applyFont="1" applyFill="1"/>
    <xf numFmtId="0" fontId="50" fillId="0" borderId="17" xfId="682" applyFont="1" applyBorder="1" applyAlignment="1">
      <alignment horizontal="center"/>
    </xf>
    <xf numFmtId="0" fontId="166" fillId="0" borderId="0" xfId="682" applyFont="1"/>
    <xf numFmtId="0" fontId="166" fillId="0" borderId="0" xfId="682" applyFont="1" applyAlignment="1">
      <alignment vertical="center"/>
    </xf>
    <xf numFmtId="0" fontId="50" fillId="0" borderId="14" xfId="682" applyFont="1" applyBorder="1" applyAlignment="1">
      <alignment horizontal="center" vertical="center" wrapText="1"/>
    </xf>
    <xf numFmtId="0" fontId="167" fillId="0" borderId="0" xfId="682" applyFont="1"/>
    <xf numFmtId="0" fontId="53" fillId="0" borderId="0" xfId="682" applyFont="1"/>
    <xf numFmtId="167" fontId="168" fillId="26" borderId="0" xfId="546" applyNumberFormat="1" applyFont="1" applyFill="1"/>
    <xf numFmtId="167" fontId="53" fillId="0" borderId="0" xfId="546" applyNumberFormat="1" applyFont="1"/>
    <xf numFmtId="38" fontId="168" fillId="26" borderId="0" xfId="682" applyNumberFormat="1" applyFont="1" applyFill="1"/>
    <xf numFmtId="38" fontId="53" fillId="0" borderId="0" xfId="682" applyNumberFormat="1" applyFont="1"/>
    <xf numFmtId="38" fontId="0" fillId="26" borderId="0" xfId="682" applyNumberFormat="1" applyFont="1" applyFill="1"/>
    <xf numFmtId="38" fontId="53" fillId="26" borderId="17" xfId="449" applyNumberFormat="1" applyFont="1" applyFill="1" applyBorder="1"/>
    <xf numFmtId="38" fontId="53" fillId="0" borderId="0" xfId="449" applyNumberFormat="1" applyFont="1"/>
    <xf numFmtId="0" fontId="50" fillId="27" borderId="0" xfId="682" applyFont="1" applyFill="1"/>
    <xf numFmtId="0" fontId="0" fillId="27" borderId="0" xfId="682" applyFont="1" applyFill="1"/>
    <xf numFmtId="0" fontId="53" fillId="27" borderId="0" xfId="682" applyFont="1" applyFill="1"/>
    <xf numFmtId="167" fontId="50" fillId="27" borderId="0" xfId="546" applyNumberFormat="1" applyFont="1" applyFill="1"/>
    <xf numFmtId="167" fontId="53" fillId="27" borderId="0" xfId="546" applyNumberFormat="1" applyFont="1" applyFill="1"/>
    <xf numFmtId="164" fontId="53" fillId="26" borderId="17" xfId="449" applyNumberFormat="1" applyFont="1" applyFill="1" applyBorder="1"/>
    <xf numFmtId="164" fontId="53" fillId="0" borderId="0" xfId="449" applyNumberFormat="1" applyFont="1"/>
    <xf numFmtId="0" fontId="167" fillId="0" borderId="0" xfId="682" applyFont="1" applyAlignment="1">
      <alignment vertical="center"/>
    </xf>
    <xf numFmtId="0" fontId="169" fillId="0" borderId="0" xfId="682" applyFont="1"/>
    <xf numFmtId="38" fontId="53" fillId="26" borderId="0" xfId="449" applyNumberFormat="1" applyFont="1" applyFill="1"/>
    <xf numFmtId="167" fontId="50" fillId="27" borderId="18" xfId="546" applyNumberFormat="1" applyFont="1" applyFill="1" applyBorder="1"/>
    <xf numFmtId="167" fontId="53" fillId="26" borderId="19" xfId="546" applyNumberFormat="1" applyFont="1" applyFill="1" applyBorder="1"/>
    <xf numFmtId="0" fontId="50" fillId="0" borderId="0" xfId="682" applyFont="1"/>
    <xf numFmtId="167" fontId="50" fillId="0" borderId="20" xfId="546" applyNumberFormat="1" applyFont="1" applyBorder="1"/>
    <xf numFmtId="0" fontId="50" fillId="0" borderId="0" xfId="682" applyFont="1" applyAlignment="1">
      <alignment horizontal="center"/>
    </xf>
    <xf numFmtId="167" fontId="168" fillId="0" borderId="0" xfId="546" applyNumberFormat="1" applyFont="1" applyFill="1"/>
    <xf numFmtId="38" fontId="168" fillId="26" borderId="0" xfId="0" applyNumberFormat="1" applyFont="1" applyFill="1"/>
    <xf numFmtId="38" fontId="168" fillId="0" borderId="0" xfId="449" applyNumberFormat="1" applyFont="1" applyFill="1"/>
    <xf numFmtId="38" fontId="168" fillId="26" borderId="17" xfId="0" applyNumberFormat="1" applyFont="1" applyFill="1" applyBorder="1"/>
    <xf numFmtId="38" fontId="168" fillId="0" borderId="17" xfId="449" applyNumberFormat="1" applyFont="1" applyFill="1" applyBorder="1"/>
    <xf numFmtId="167" fontId="53" fillId="0" borderId="19" xfId="546" applyNumberFormat="1" applyFont="1" applyBorder="1"/>
    <xf numFmtId="10" fontId="50" fillId="0" borderId="19" xfId="682" applyNumberFormat="1" applyFont="1" applyBorder="1"/>
    <xf numFmtId="0" fontId="0" fillId="0" borderId="82" xfId="0" applyFont="1" applyBorder="1"/>
    <xf numFmtId="0" fontId="39" fillId="78" borderId="78" xfId="0" applyFont="1" applyFill="1" applyBorder="1" applyAlignment="1">
      <alignment horizontal="left"/>
    </xf>
    <xf numFmtId="0" fontId="0" fillId="78" borderId="78" xfId="0" applyFont="1" applyFill="1" applyBorder="1"/>
    <xf numFmtId="0" fontId="39" fillId="78" borderId="78" xfId="0" applyFont="1" applyFill="1" applyBorder="1"/>
    <xf numFmtId="0" fontId="0" fillId="78" borderId="81" xfId="0" applyFont="1" applyFill="1" applyBorder="1"/>
    <xf numFmtId="0" fontId="0" fillId="73" borderId="10" xfId="0" applyFont="1" applyFill="1" applyBorder="1" applyAlignment="1">
      <alignment horizontal="center" vertical="center" wrapText="1"/>
    </xf>
    <xf numFmtId="0" fontId="0" fillId="78" borderId="81" xfId="0" applyFont="1" applyFill="1" applyBorder="1" applyAlignment="1">
      <alignment wrapText="1"/>
    </xf>
    <xf numFmtId="0" fontId="0" fillId="0" borderId="82" xfId="0" applyFont="1" applyBorder="1" applyAlignment="1">
      <alignment wrapText="1"/>
    </xf>
    <xf numFmtId="1" fontId="0" fillId="0" borderId="82" xfId="0" applyNumberFormat="1" applyFont="1" applyBorder="1"/>
    <xf numFmtId="0" fontId="0" fillId="73" borderId="84" xfId="0" applyFont="1" applyFill="1" applyBorder="1" applyAlignment="1">
      <alignment horizontal="center" vertical="center" wrapText="1"/>
    </xf>
    <xf numFmtId="0" fontId="0" fillId="0" borderId="82" xfId="0" applyFont="1" applyBorder="1" applyAlignment="1">
      <alignment horizontal="center"/>
    </xf>
    <xf numFmtId="0" fontId="0" fillId="0" borderId="81" xfId="0" applyFont="1" applyBorder="1"/>
    <xf numFmtId="0" fontId="171" fillId="78" borderId="100" xfId="0" applyFont="1" applyFill="1" applyBorder="1" applyAlignment="1">
      <alignment wrapText="1"/>
    </xf>
    <xf numFmtId="37" fontId="0" fillId="0" borderId="0" xfId="0" applyNumberFormat="1" applyFont="1" applyBorder="1"/>
    <xf numFmtId="0" fontId="0" fillId="0" borderId="86" xfId="0" applyNumberFormat="1" applyFont="1" applyBorder="1" applyAlignment="1">
      <alignment horizontal="center" wrapText="1"/>
    </xf>
    <xf numFmtId="10" fontId="0" fillId="0" borderId="82" xfId="0" applyNumberFormat="1" applyFont="1" applyBorder="1"/>
    <xf numFmtId="0" fontId="0" fillId="78" borderId="85" xfId="0" applyFont="1" applyFill="1" applyBorder="1"/>
    <xf numFmtId="0" fontId="0" fillId="78" borderId="85" xfId="0" applyFont="1" applyFill="1" applyBorder="1" applyAlignment="1">
      <alignment horizontal="center" wrapText="1"/>
    </xf>
    <xf numFmtId="0" fontId="0" fillId="78" borderId="85" xfId="0" applyFont="1" applyFill="1" applyBorder="1" applyAlignment="1">
      <alignment wrapText="1"/>
    </xf>
    <xf numFmtId="0" fontId="0" fillId="78" borderId="97" xfId="0" applyFont="1" applyFill="1" applyBorder="1" applyAlignment="1">
      <alignment horizontal="center" wrapText="1"/>
    </xf>
    <xf numFmtId="0" fontId="0" fillId="78" borderId="97" xfId="0" applyFont="1" applyFill="1" applyBorder="1"/>
    <xf numFmtId="2" fontId="0" fillId="0" borderId="82" xfId="0" applyNumberFormat="1" applyFont="1" applyBorder="1"/>
    <xf numFmtId="168" fontId="0" fillId="0" borderId="82" xfId="0" applyNumberFormat="1" applyFont="1" applyBorder="1"/>
    <xf numFmtId="2" fontId="0" fillId="80" borderId="87" xfId="0" applyNumberFormat="1" applyFont="1" applyFill="1" applyBorder="1"/>
    <xf numFmtId="0" fontId="0" fillId="78" borderId="92" xfId="0" applyFont="1" applyFill="1" applyBorder="1" applyAlignment="1">
      <alignment horizontal="center" wrapText="1"/>
    </xf>
    <xf numFmtId="0" fontId="0" fillId="78" borderId="92" xfId="0" applyFont="1" applyFill="1" applyBorder="1"/>
    <xf numFmtId="0" fontId="0" fillId="78" borderId="93" xfId="0" applyFont="1" applyFill="1" applyBorder="1"/>
    <xf numFmtId="39" fontId="0" fillId="0" borderId="82" xfId="0" applyNumberFormat="1" applyFont="1" applyBorder="1"/>
    <xf numFmtId="2" fontId="0" fillId="0" borderId="86" xfId="0" applyNumberFormat="1" applyFont="1" applyFill="1" applyBorder="1" applyAlignment="1">
      <alignment horizontal="center"/>
    </xf>
    <xf numFmtId="0" fontId="0" fillId="78" borderId="88" xfId="0" applyFont="1" applyFill="1" applyBorder="1"/>
    <xf numFmtId="0" fontId="0" fillId="78" borderId="88" xfId="0" applyFont="1" applyFill="1" applyBorder="1" applyAlignment="1">
      <alignment horizontal="center" wrapText="1"/>
    </xf>
    <xf numFmtId="0" fontId="0" fillId="78" borderId="88" xfId="0" applyFont="1" applyFill="1" applyBorder="1" applyAlignment="1">
      <alignment wrapText="1"/>
    </xf>
    <xf numFmtId="0" fontId="0" fillId="0" borderId="10" xfId="0" applyFont="1" applyFill="1" applyBorder="1"/>
    <xf numFmtId="0" fontId="0" fillId="0" borderId="10" xfId="0" applyFont="1" applyFill="1" applyBorder="1" applyProtection="1">
      <protection locked="0"/>
    </xf>
    <xf numFmtId="0" fontId="0" fillId="78" borderId="10" xfId="0" applyFont="1" applyFill="1" applyBorder="1" applyAlignment="1">
      <alignment wrapText="1"/>
    </xf>
    <xf numFmtId="0" fontId="0" fillId="78" borderId="105" xfId="0" applyFont="1" applyFill="1" applyBorder="1"/>
    <xf numFmtId="0" fontId="0" fillId="78" borderId="10" xfId="0" quotePrefix="1" applyFont="1" applyFill="1" applyBorder="1" applyAlignment="1">
      <alignment horizontal="center" wrapText="1"/>
    </xf>
    <xf numFmtId="0" fontId="0" fillId="0" borderId="98" xfId="0" applyFont="1" applyFill="1" applyBorder="1" applyProtection="1">
      <protection locked="0"/>
    </xf>
    <xf numFmtId="0" fontId="0" fillId="78" borderId="10" xfId="0" applyNumberFormat="1" applyFont="1" applyFill="1" applyBorder="1" applyAlignment="1">
      <alignment horizontal="center" wrapText="1"/>
    </xf>
    <xf numFmtId="0" fontId="0" fillId="0" borderId="0" xfId="0" applyNumberFormat="1" applyFont="1" applyBorder="1" applyAlignment="1">
      <alignment horizontal="center" wrapText="1"/>
    </xf>
    <xf numFmtId="0" fontId="0" fillId="78" borderId="103" xfId="0" applyFont="1" applyFill="1" applyBorder="1" applyAlignment="1">
      <alignment wrapText="1"/>
    </xf>
    <xf numFmtId="0" fontId="0" fillId="0" borderId="99" xfId="0" applyFont="1" applyFill="1" applyBorder="1" applyProtection="1">
      <protection locked="0"/>
    </xf>
    <xf numFmtId="2" fontId="0" fillId="0" borderId="10" xfId="0" applyNumberFormat="1" applyFont="1" applyFill="1" applyBorder="1" applyAlignment="1">
      <alignment horizontal="center"/>
    </xf>
    <xf numFmtId="0" fontId="0" fillId="78" borderId="10" xfId="0" applyFont="1" applyFill="1" applyBorder="1" applyAlignment="1">
      <alignment horizontal="center" vertical="center" wrapText="1"/>
    </xf>
    <xf numFmtId="0" fontId="0" fillId="78" borderId="10" xfId="0" applyFont="1" applyFill="1" applyBorder="1" applyAlignment="1">
      <alignment vertical="center" wrapText="1"/>
    </xf>
    <xf numFmtId="167" fontId="0" fillId="0" borderId="10" xfId="0" applyNumberFormat="1" applyFont="1" applyFill="1" applyBorder="1" applyAlignment="1">
      <alignment horizontal="center"/>
    </xf>
    <xf numFmtId="37" fontId="0" fillId="0" borderId="10" xfId="0" applyNumberFormat="1" applyFont="1" applyFill="1" applyBorder="1" applyAlignment="1">
      <alignment horizontal="center"/>
    </xf>
    <xf numFmtId="0" fontId="0" fillId="78" borderId="103" xfId="0" applyFont="1" applyFill="1" applyBorder="1" applyAlignment="1">
      <alignment vertical="center" wrapText="1"/>
    </xf>
    <xf numFmtId="0" fontId="0" fillId="78" borderId="0" xfId="0" applyFont="1" applyFill="1" applyBorder="1" applyAlignment="1">
      <alignment horizontal="center" wrapText="1"/>
    </xf>
    <xf numFmtId="10" fontId="0" fillId="78" borderId="0" xfId="0" applyNumberFormat="1" applyFont="1" applyFill="1" applyBorder="1" applyAlignment="1">
      <alignment horizontal="center"/>
    </xf>
    <xf numFmtId="0" fontId="0" fillId="78" borderId="0" xfId="0" applyFont="1" applyFill="1" applyBorder="1" applyAlignment="1">
      <alignment wrapText="1"/>
    </xf>
    <xf numFmtId="0" fontId="39" fillId="0" borderId="78" xfId="0" applyFont="1" applyBorder="1" applyAlignment="1">
      <alignment vertical="center"/>
    </xf>
    <xf numFmtId="0" fontId="171" fillId="78" borderId="104" xfId="0" applyFont="1" applyFill="1" applyBorder="1" applyAlignment="1">
      <alignment wrapText="1"/>
    </xf>
    <xf numFmtId="0" fontId="39" fillId="0" borderId="91" xfId="0" applyFont="1" applyBorder="1" applyAlignment="1">
      <alignment vertical="center"/>
    </xf>
    <xf numFmtId="9" fontId="39" fillId="0" borderId="0" xfId="4688" applyFont="1" applyBorder="1" applyAlignment="1">
      <alignment horizontal="center" wrapText="1"/>
    </xf>
    <xf numFmtId="0" fontId="39" fillId="0" borderId="85" xfId="0" applyFont="1" applyBorder="1" applyAlignment="1">
      <alignment vertical="center"/>
    </xf>
    <xf numFmtId="0" fontId="39" fillId="0" borderId="0" xfId="0" applyFont="1" applyFill="1" applyBorder="1" applyAlignment="1">
      <alignment vertical="center"/>
    </xf>
    <xf numFmtId="0" fontId="39" fillId="0" borderId="88" xfId="0" applyFont="1" applyBorder="1" applyAlignment="1">
      <alignment vertical="center"/>
    </xf>
    <xf numFmtId="0" fontId="39" fillId="0" borderId="82" xfId="0" applyFont="1" applyBorder="1" applyAlignment="1">
      <alignment vertical="center"/>
    </xf>
    <xf numFmtId="0" fontId="161" fillId="73" borderId="93" xfId="0" applyFont="1" applyFill="1" applyBorder="1" applyAlignment="1">
      <alignment horizontal="center" vertical="center" wrapText="1"/>
    </xf>
    <xf numFmtId="0" fontId="39" fillId="78" borderId="12" xfId="0" applyFont="1" applyFill="1" applyBorder="1"/>
    <xf numFmtId="0" fontId="171" fillId="78" borderId="110" xfId="0" applyFont="1" applyFill="1" applyBorder="1" applyAlignment="1">
      <alignment wrapText="1"/>
    </xf>
    <xf numFmtId="0" fontId="39" fillId="78" borderId="12" xfId="0" applyFont="1" applyFill="1" applyBorder="1" applyAlignment="1">
      <alignment horizontal="center"/>
    </xf>
    <xf numFmtId="0" fontId="39" fillId="78" borderId="12" xfId="0" applyFont="1" applyFill="1" applyBorder="1" applyAlignment="1">
      <alignment horizontal="center" wrapText="1"/>
    </xf>
    <xf numFmtId="0" fontId="0" fillId="78" borderId="111" xfId="0" applyFont="1" applyFill="1" applyBorder="1"/>
    <xf numFmtId="0" fontId="0" fillId="78" borderId="10" xfId="0" applyFont="1" applyFill="1" applyBorder="1"/>
    <xf numFmtId="0" fontId="39" fillId="78" borderId="10" xfId="0" applyFont="1" applyFill="1" applyBorder="1" applyAlignment="1">
      <alignment horizontal="center"/>
    </xf>
    <xf numFmtId="0" fontId="39" fillId="78" borderId="10" xfId="0" applyFont="1" applyFill="1" applyBorder="1" applyAlignment="1">
      <alignment horizontal="center" wrapText="1"/>
    </xf>
    <xf numFmtId="0" fontId="161" fillId="78" borderId="10" xfId="0" applyFont="1" applyFill="1" applyBorder="1" applyAlignment="1">
      <alignment horizontal="center" vertical="center" wrapText="1"/>
    </xf>
    <xf numFmtId="39" fontId="0" fillId="0" borderId="0" xfId="0" applyNumberFormat="1" applyFont="1" applyProtection="1"/>
    <xf numFmtId="0" fontId="0" fillId="22" borderId="0" xfId="0" applyFont="1" applyFill="1" applyBorder="1" applyProtection="1"/>
    <xf numFmtId="0" fontId="0" fillId="23" borderId="0" xfId="0" applyFont="1" applyFill="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8"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8"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37" fontId="0" fillId="0" borderId="45" xfId="439" applyNumberFormat="1" applyFont="1" applyFill="1" applyBorder="1" applyAlignment="1" applyProtection="1">
      <alignment vertical="center"/>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5"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38" fontId="0" fillId="0" borderId="0" xfId="0" applyNumberFormat="1"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34" borderId="0" xfId="0" applyFont="1" applyFill="1" applyAlignment="1" applyProtection="1">
      <alignment vertical="center" wrapText="1"/>
      <protection locked="0"/>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72" fillId="76" borderId="62" xfId="1562" applyNumberFormat="1" applyFont="1" applyFill="1" applyBorder="1" applyAlignment="1">
      <alignment horizontal="center" vertical="center" wrapText="1"/>
    </xf>
    <xf numFmtId="174" fontId="0" fillId="0" borderId="28" xfId="439" applyNumberFormat="1" applyFont="1" applyFill="1" applyBorder="1" applyAlignment="1" applyProtection="1">
      <alignment vertical="center"/>
    </xf>
    <xf numFmtId="0" fontId="0" fillId="23" borderId="25" xfId="0" applyNumberFormat="1" applyFont="1" applyFill="1" applyBorder="1" applyAlignment="1" applyProtection="1">
      <alignment horizontal="left" vertical="center" wrapText="1"/>
    </xf>
    <xf numFmtId="3" fontId="45" fillId="0" borderId="0" xfId="1540" applyFont="1" applyFill="1" applyAlignment="1" applyProtection="1">
      <alignment vertical="center" wrapText="1"/>
    </xf>
    <xf numFmtId="39" fontId="0" fillId="0" borderId="29" xfId="439" applyNumberFormat="1" applyFont="1" applyBorder="1" applyAlignment="1" applyProtection="1">
      <alignment vertical="center"/>
    </xf>
    <xf numFmtId="181" fontId="0" fillId="75" borderId="28" xfId="439" applyNumberFormat="1" applyFont="1" applyFill="1" applyBorder="1" applyAlignment="1" applyProtection="1">
      <alignment vertical="center"/>
    </xf>
    <xf numFmtId="0" fontId="0" fillId="0" borderId="0" xfId="0" applyFont="1" applyAlignment="1">
      <alignment wrapText="1"/>
    </xf>
    <xf numFmtId="175" fontId="0" fillId="0" borderId="29" xfId="439" applyNumberFormat="1" applyFont="1" applyBorder="1" applyAlignment="1" applyProtection="1">
      <alignment vertical="center"/>
    </xf>
    <xf numFmtId="0" fontId="0" fillId="78" borderId="25" xfId="0" applyNumberFormat="1" applyFont="1" applyFill="1" applyBorder="1" applyAlignment="1" applyProtection="1">
      <alignment horizontal="left" vertical="center" wrapText="1"/>
    </xf>
    <xf numFmtId="0" fontId="172"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0" fillId="78" borderId="0" xfId="0" applyFont="1" applyFill="1" applyProtection="1"/>
    <xf numFmtId="0" fontId="58" fillId="78" borderId="0" xfId="0" applyFont="1" applyFill="1" applyAlignment="1" applyProtection="1">
      <alignment horizontal="left" vertical="center" wrapText="1"/>
    </xf>
    <xf numFmtId="0" fontId="0" fillId="78" borderId="0" xfId="0" quotePrefix="1" applyFont="1" applyFill="1" applyAlignment="1" applyProtection="1">
      <alignment horizontal="center"/>
    </xf>
    <xf numFmtId="0" fontId="56" fillId="78" borderId="0" xfId="0" applyFont="1" applyFill="1" applyAlignment="1" applyProtection="1">
      <alignment horizontal="left" vertical="center" wrapText="1"/>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39" fontId="0" fillId="78" borderId="28" xfId="439" applyNumberFormat="1" applyFont="1" applyFill="1" applyBorder="1" applyAlignment="1" applyProtection="1">
      <alignment vertical="center"/>
    </xf>
    <xf numFmtId="4" fontId="0" fillId="0" borderId="0" xfId="0" applyNumberFormat="1" applyFont="1" applyProtection="1"/>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37" fontId="0" fillId="0" borderId="64" xfId="439" applyNumberFormat="1" applyFont="1" applyFill="1" applyBorder="1" applyAlignment="1" applyProtection="1">
      <alignment vertical="center"/>
    </xf>
    <xf numFmtId="0" fontId="0" fillId="0" borderId="45" xfId="0" applyFont="1" applyFill="1" applyBorder="1" applyAlignment="1" applyProtection="1">
      <alignment vertical="center" wrapText="1"/>
      <protection locked="0"/>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4"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4" xfId="439" applyNumberFormat="1" applyFont="1" applyFill="1" applyBorder="1" applyAlignment="1" applyProtection="1">
      <alignment horizontal="center" vertical="center"/>
    </xf>
    <xf numFmtId="49" fontId="0" fillId="74" borderId="63" xfId="439" applyNumberFormat="1" applyFont="1" applyFill="1" applyBorder="1" applyAlignment="1" applyProtection="1">
      <alignment horizontal="center" vertical="center"/>
    </xf>
    <xf numFmtId="0" fontId="0" fillId="31" borderId="65" xfId="0" applyFont="1" applyFill="1" applyBorder="1"/>
    <xf numFmtId="49" fontId="0" fillId="31" borderId="0" xfId="0" applyNumberFormat="1" applyFont="1" applyFill="1" applyAlignment="1" applyProtection="1">
      <alignment horizontal="center"/>
    </xf>
    <xf numFmtId="41" fontId="0" fillId="0" borderId="65"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3"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3" xfId="439" applyNumberFormat="1" applyFont="1" applyFill="1" applyBorder="1" applyAlignment="1" applyProtection="1">
      <alignment horizontal="center" vertical="center"/>
    </xf>
    <xf numFmtId="0" fontId="0" fillId="78" borderId="0" xfId="0" applyFont="1" applyFill="1" applyBorder="1"/>
    <xf numFmtId="14" fontId="0" fillId="78" borderId="0" xfId="0" applyNumberFormat="1" applyFont="1" applyFill="1" applyAlignment="1" applyProtection="1">
      <alignment horizontal="center"/>
    </xf>
    <xf numFmtId="41" fontId="0" fillId="78" borderId="0" xfId="0" applyNumberFormat="1" applyFont="1" applyFill="1" applyBorder="1" applyAlignment="1">
      <alignment horizontal="center" vertical="center" wrapText="1"/>
    </xf>
    <xf numFmtId="14" fontId="0" fillId="78" borderId="63" xfId="439" applyNumberFormat="1" applyFont="1" applyFill="1" applyBorder="1" applyAlignment="1" applyProtection="1">
      <alignment horizontal="center" vertical="center"/>
    </xf>
    <xf numFmtId="169" fontId="0" fillId="74" borderId="64"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28" xfId="439" applyNumberFormat="1" applyFont="1" applyFill="1" applyBorder="1" applyAlignment="1" applyProtection="1">
      <alignment vertical="center"/>
    </xf>
    <xf numFmtId="164" fontId="0" fillId="0" borderId="0" xfId="439" applyNumberFormat="1" applyFont="1" applyAlignment="1" applyProtection="1">
      <alignment vertical="center"/>
    </xf>
    <xf numFmtId="0" fontId="58"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5"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0" fillId="0" borderId="0" xfId="0" applyNumberFormat="1" applyFont="1" applyFill="1" applyBorder="1" applyAlignment="1" applyProtection="1">
      <alignment horizontal="center" vertical="center" wrapText="1"/>
    </xf>
    <xf numFmtId="164" fontId="45" fillId="0" borderId="0" xfId="439" applyNumberFormat="1" applyFont="1" applyFill="1" applyProtection="1"/>
    <xf numFmtId="38" fontId="45" fillId="0" borderId="45" xfId="439" applyNumberFormat="1" applyFont="1" applyFill="1" applyBorder="1" applyAlignment="1" applyProtection="1">
      <alignment horizontal="center" vertical="center" wrapText="1"/>
    </xf>
    <xf numFmtId="0" fontId="39" fillId="0" borderId="59" xfId="0" applyFont="1" applyFill="1" applyBorder="1" applyAlignment="1">
      <alignment vertical="center"/>
    </xf>
    <xf numFmtId="174" fontId="39" fillId="28" borderId="0" xfId="439" applyNumberFormat="1" applyFont="1" applyFill="1" applyAlignment="1" applyProtection="1">
      <alignment horizontal="center" vertical="center"/>
      <protection locked="0"/>
    </xf>
    <xf numFmtId="181" fontId="158" fillId="82" borderId="0" xfId="30099" applyNumberFormat="1" applyFont="1" applyFill="1" applyAlignment="1">
      <alignment horizontal="right" vertical="top" indent="1" shrinkToFit="1"/>
    </xf>
    <xf numFmtId="0" fontId="45" fillId="0" borderId="0" xfId="30099" applyFont="1" applyAlignment="1">
      <alignment horizontal="left" vertical="top" wrapText="1" indent="1"/>
    </xf>
    <xf numFmtId="1" fontId="158" fillId="0" borderId="0" xfId="30099" applyNumberFormat="1" applyFont="1" applyAlignment="1">
      <alignment horizontal="center" vertical="top" shrinkToFit="1"/>
    </xf>
    <xf numFmtId="0" fontId="45" fillId="0" borderId="0" xfId="0" applyNumberFormat="1" applyFont="1" applyFill="1" applyAlignment="1" applyProtection="1">
      <alignment horizontal="left" vertical="center" wrapText="1"/>
    </xf>
    <xf numFmtId="181" fontId="158" fillId="0" borderId="0" xfId="30099" applyNumberFormat="1" applyFont="1" applyFill="1" applyAlignment="1">
      <alignment horizontal="right" vertical="top" indent="1" shrinkToFit="1"/>
    </xf>
    <xf numFmtId="1" fontId="158" fillId="82" borderId="0" xfId="30099" applyNumberFormat="1" applyFont="1" applyFill="1" applyAlignment="1">
      <alignment horizontal="left" vertical="top" indent="3" shrinkToFit="1"/>
    </xf>
    <xf numFmtId="181" fontId="158" fillId="0" borderId="0" xfId="30099" applyNumberFormat="1" applyFont="1" applyAlignment="1">
      <alignment horizontal="right" vertical="top" indent="1" shrinkToFit="1"/>
    </xf>
    <xf numFmtId="1" fontId="158" fillId="0" borderId="0" xfId="30099" applyNumberFormat="1" applyFont="1" applyFill="1" applyAlignment="1">
      <alignment horizontal="left" vertical="top" indent="3" shrinkToFit="1"/>
    </xf>
    <xf numFmtId="0" fontId="45" fillId="0" borderId="0" xfId="30099" applyFont="1" applyFill="1" applyAlignment="1">
      <alignment horizontal="left" vertical="top" wrapText="1"/>
    </xf>
    <xf numFmtId="164" fontId="33" fillId="0" borderId="0" xfId="439" applyNumberFormat="1" applyFont="1"/>
    <xf numFmtId="0" fontId="45" fillId="0" borderId="0" xfId="30099" applyFont="1" applyAlignment="1">
      <alignment horizontal="left" vertical="top" wrapText="1" indent="2"/>
    </xf>
    <xf numFmtId="0" fontId="54" fillId="0" borderId="0" xfId="0" applyFont="1" applyFill="1" applyAlignment="1" applyProtection="1">
      <alignment horizontal="left" vertical="center" wrapText="1"/>
    </xf>
    <xf numFmtId="164" fontId="33" fillId="0" borderId="0" xfId="439" applyNumberFormat="1" applyFont="1" applyAlignment="1">
      <alignment horizontal="center" vertical="center" wrapText="1"/>
    </xf>
    <xf numFmtId="0" fontId="33" fillId="0" borderId="0" xfId="439" applyNumberFormat="1" applyFont="1" applyAlignment="1">
      <alignment horizontal="center" vertical="center"/>
    </xf>
    <xf numFmtId="0" fontId="0" fillId="0" borderId="32" xfId="0" applyFont="1" applyFill="1" applyBorder="1" applyAlignment="1">
      <alignment horizontal="center" wrapText="1"/>
    </xf>
    <xf numFmtId="1" fontId="158" fillId="0" borderId="0" xfId="30099" applyNumberFormat="1" applyFont="1" applyFill="1" applyAlignment="1">
      <alignment horizontal="center" vertical="top" shrinkToFit="1"/>
    </xf>
    <xf numFmtId="0" fontId="45" fillId="0" borderId="0" xfId="0" applyFont="1" applyFill="1" applyAlignment="1" applyProtection="1">
      <alignment horizontal="left" vertical="center" wrapText="1"/>
      <protection hidden="1"/>
    </xf>
    <xf numFmtId="0" fontId="45" fillId="0" borderId="0" xfId="30099" applyFont="1" applyAlignment="1">
      <alignment horizontal="left" vertical="top" wrapText="1"/>
    </xf>
    <xf numFmtId="0" fontId="45" fillId="0" borderId="61" xfId="0" applyFont="1" applyFill="1" applyBorder="1" applyAlignment="1">
      <alignment vertical="center" wrapText="1"/>
    </xf>
    <xf numFmtId="1" fontId="158" fillId="82" borderId="0" xfId="30099" applyNumberFormat="1" applyFont="1" applyFill="1" applyAlignment="1">
      <alignment horizontal="center" vertical="top" shrinkToFit="1"/>
    </xf>
    <xf numFmtId="1" fontId="158" fillId="0" borderId="0" xfId="30099" applyNumberFormat="1" applyFont="1" applyAlignment="1">
      <alignment horizontal="left" vertical="top" indent="3" shrinkToFit="1"/>
    </xf>
    <xf numFmtId="0" fontId="45" fillId="0" borderId="0" xfId="30099" applyFont="1" applyAlignment="1">
      <alignment horizontal="center" vertical="top" wrapText="1"/>
    </xf>
    <xf numFmtId="0" fontId="158" fillId="0" borderId="0" xfId="30099" applyFont="1" applyAlignment="1">
      <alignment horizontal="left" wrapText="1"/>
    </xf>
    <xf numFmtId="0" fontId="45" fillId="82" borderId="0" xfId="30099" applyFont="1" applyFill="1" applyAlignment="1">
      <alignment horizontal="left" vertical="top" wrapText="1" indent="1"/>
    </xf>
    <xf numFmtId="0" fontId="45" fillId="82" borderId="0" xfId="30099" applyFont="1" applyFill="1" applyAlignment="1">
      <alignment horizontal="left" vertical="top" wrapText="1" indent="2"/>
    </xf>
    <xf numFmtId="0" fontId="0" fillId="0" borderId="0" xfId="0" applyFont="1" applyAlignment="1">
      <alignment horizontal="center" vertical="center" wrapText="1"/>
    </xf>
    <xf numFmtId="0" fontId="71" fillId="0" borderId="45" xfId="0" applyNumberFormat="1" applyFont="1" applyFill="1" applyBorder="1" applyAlignment="1" applyProtection="1">
      <alignment horizontal="left" vertical="center" wrapText="1"/>
    </xf>
    <xf numFmtId="0" fontId="63" fillId="0" borderId="61" xfId="0" applyFont="1" applyFill="1" applyBorder="1" applyAlignment="1">
      <alignment vertical="center" wrapText="1"/>
    </xf>
    <xf numFmtId="0" fontId="0" fillId="0" borderId="0" xfId="0" applyFont="1" applyProtection="1"/>
    <xf numFmtId="0" fontId="0" fillId="0" borderId="23" xfId="0" applyFont="1" applyFill="1" applyBorder="1" applyAlignment="1" applyProtection="1">
      <alignment vertical="center" wrapText="1"/>
    </xf>
    <xf numFmtId="0" fontId="0" fillId="22" borderId="0" xfId="0" applyFont="1" applyFill="1" applyBorder="1" applyAlignment="1" applyProtection="1">
      <alignment vertical="center"/>
    </xf>
    <xf numFmtId="0" fontId="0" fillId="0" borderId="0" xfId="0" applyNumberFormat="1" applyFont="1" applyFill="1" applyAlignment="1" applyProtection="1">
      <alignment horizontal="left" vertical="center" wrapText="1"/>
    </xf>
    <xf numFmtId="0" fontId="0" fillId="0" borderId="0" xfId="0" applyFont="1" applyProtection="1"/>
    <xf numFmtId="0" fontId="0" fillId="0" borderId="36" xfId="0" applyFont="1" applyFill="1" applyBorder="1" applyAlignment="1" applyProtection="1">
      <alignment vertical="center" wrapText="1"/>
    </xf>
    <xf numFmtId="0" fontId="0" fillId="22" borderId="0" xfId="0" applyFont="1" applyFill="1" applyBorder="1" applyAlignment="1" applyProtection="1">
      <alignment vertical="center"/>
    </xf>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5"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10" xfId="0" applyFont="1" applyFill="1" applyBorder="1" applyAlignment="1" applyProtection="1">
      <alignment horizontal="center" wrapText="1"/>
    </xf>
    <xf numFmtId="0" fontId="39" fillId="21" borderId="0" xfId="0" applyFont="1" applyFill="1" applyBorder="1" applyAlignment="1" applyProtection="1">
      <alignment horizontal="center"/>
    </xf>
    <xf numFmtId="164" fontId="71" fillId="21" borderId="12" xfId="439" applyNumberFormat="1" applyFont="1" applyFill="1" applyBorder="1" applyAlignment="1" applyProtection="1">
      <alignment horizontal="center" wrapText="1"/>
    </xf>
    <xf numFmtId="0" fontId="39" fillId="21" borderId="22" xfId="0" applyFont="1" applyFill="1" applyBorder="1" applyAlignment="1" applyProtection="1">
      <alignment horizontal="center" wrapText="1"/>
    </xf>
    <xf numFmtId="41" fontId="70" fillId="28" borderId="0" xfId="439" applyNumberFormat="1" applyFont="1" applyFill="1" applyAlignment="1" applyProtection="1">
      <alignment wrapText="1"/>
    </xf>
    <xf numFmtId="41" fontId="71"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70"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41" fontId="70" fillId="0" borderId="0" xfId="439" applyNumberFormat="1" applyFont="1" applyFill="1" applyAlignment="1" applyProtection="1">
      <alignment wrapText="1"/>
    </xf>
    <xf numFmtId="38" fontId="0" fillId="0" borderId="0" xfId="0" applyNumberFormat="1" applyFont="1" applyFill="1" applyAlignment="1" applyProtection="1">
      <alignment wrapText="1"/>
      <protection locked="0"/>
    </xf>
    <xf numFmtId="37" fontId="0" fillId="29" borderId="0" xfId="439" applyNumberFormat="1" applyFont="1" applyFill="1" applyAlignment="1" applyProtection="1">
      <alignment horizontal="center" vertical="center"/>
      <protection locked="0"/>
    </xf>
    <xf numFmtId="0" fontId="0" fillId="34" borderId="0" xfId="0" applyNumberFormat="1" applyFont="1" applyFill="1" applyAlignment="1" applyProtection="1">
      <alignment horizontal="left" vertical="center" wrapText="1"/>
    </xf>
    <xf numFmtId="41" fontId="70" fillId="0" borderId="0" xfId="0" applyNumberFormat="1" applyFont="1" applyFill="1" applyAlignment="1" applyProtection="1">
      <alignment wrapText="1"/>
    </xf>
    <xf numFmtId="0" fontId="70" fillId="0" borderId="0" xfId="0" applyFont="1" applyFill="1" applyProtection="1"/>
    <xf numFmtId="164" fontId="0" fillId="0" borderId="45" xfId="0" applyNumberFormat="1" applyFont="1" applyFill="1" applyBorder="1" applyAlignment="1" applyProtection="1">
      <alignment wrapText="1"/>
      <protection locked="0"/>
    </xf>
    <xf numFmtId="0" fontId="71" fillId="0" borderId="0" xfId="0" applyFont="1" applyFill="1" applyAlignment="1" applyProtection="1">
      <alignment wrapText="1"/>
    </xf>
    <xf numFmtId="0" fontId="39" fillId="0" borderId="0" xfId="0" applyFont="1" applyFill="1" applyAlignment="1" applyProtection="1">
      <alignment horizontal="center" vertical="center" wrapText="1"/>
    </xf>
    <xf numFmtId="0" fontId="71" fillId="0" borderId="0" xfId="0" applyFont="1" applyFill="1" applyAlignment="1" applyProtection="1">
      <alignment horizontal="left" wrapText="1" indent="2"/>
    </xf>
    <xf numFmtId="0" fontId="0" fillId="0" borderId="0" xfId="0" applyFont="1" applyBorder="1" applyAlignment="1" applyProtection="1">
      <alignment wrapText="1"/>
    </xf>
    <xf numFmtId="41" fontId="71" fillId="0" borderId="45" xfId="0" applyNumberFormat="1" applyFont="1" applyFill="1" applyBorder="1" applyAlignment="1" applyProtection="1">
      <alignment wrapText="1"/>
    </xf>
    <xf numFmtId="41" fontId="71" fillId="0" borderId="45" xfId="0" applyNumberFormat="1" applyFont="1" applyBorder="1" applyAlignment="1">
      <alignment wrapText="1"/>
    </xf>
    <xf numFmtId="41" fontId="71" fillId="0" borderId="0" xfId="0" applyNumberFormat="1" applyFont="1" applyFill="1" applyAlignment="1">
      <alignment wrapText="1"/>
    </xf>
    <xf numFmtId="37" fontId="0" fillId="0" borderId="0" xfId="0" applyNumberFormat="1" applyFont="1" applyAlignment="1" applyProtection="1">
      <alignment wrapText="1"/>
      <protection locked="0"/>
    </xf>
    <xf numFmtId="164" fontId="0" fillId="0" borderId="0" xfId="0" applyNumberFormat="1" applyFont="1" applyAlignment="1" applyProtection="1">
      <alignment wrapText="1"/>
      <protection locked="0"/>
    </xf>
    <xf numFmtId="41" fontId="71" fillId="0" borderId="0" xfId="0" applyNumberFormat="1" applyFont="1" applyAlignment="1">
      <alignment wrapText="1"/>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39" fillId="0" borderId="0" xfId="0" applyNumberFormat="1" applyFont="1" applyFill="1" applyAlignment="1" applyProtection="1">
      <alignment wrapText="1"/>
    </xf>
    <xf numFmtId="0" fontId="0" fillId="34" borderId="0" xfId="0" applyNumberFormat="1" applyFont="1" applyFill="1" applyAlignment="1" applyProtection="1">
      <alignment vertical="center" wrapText="1"/>
    </xf>
    <xf numFmtId="41" fontId="71" fillId="0" borderId="0" xfId="0" applyNumberFormat="1" applyFont="1" applyFill="1" applyAlignment="1" applyProtection="1">
      <alignment horizontal="center" wrapText="1"/>
    </xf>
    <xf numFmtId="0" fontId="39"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39" fontId="0" fillId="0" borderId="0" xfId="439" applyNumberFormat="1" applyFont="1" applyFill="1" applyBorder="1" applyAlignment="1" applyProtection="1">
      <alignment horizontal="center" vertical="center" wrapText="1"/>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70" fillId="0" borderId="0" xfId="439" applyNumberFormat="1" applyFont="1" applyFill="1" applyAlignment="1" applyProtection="1">
      <alignment vertical="center" wrapText="1"/>
    </xf>
    <xf numFmtId="39" fontId="70"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39" fillId="0" borderId="0" xfId="0" applyFont="1" applyAlignment="1" applyProtection="1">
      <alignment wrapText="1"/>
      <protection locked="0"/>
    </xf>
    <xf numFmtId="2" fontId="0" fillId="0" borderId="0" xfId="0" applyNumberFormat="1" applyFont="1" applyFill="1" applyProtection="1"/>
    <xf numFmtId="2" fontId="0" fillId="0" borderId="0" xfId="0" applyNumberFormat="1" applyFont="1" applyAlignment="1" applyProtection="1">
      <alignment wrapText="1"/>
      <protection locked="0"/>
    </xf>
    <xf numFmtId="0" fontId="0" fillId="34" borderId="0" xfId="0" applyFont="1" applyFill="1" applyAlignment="1">
      <alignment vertical="center" wrapText="1"/>
    </xf>
    <xf numFmtId="0" fontId="39" fillId="0" borderId="0" xfId="0" applyFont="1" applyAlignment="1" applyProtection="1">
      <alignment horizontal="center" wrapText="1"/>
      <protection locked="0"/>
    </xf>
    <xf numFmtId="49" fontId="0" fillId="29" borderId="0" xfId="0" applyNumberFormat="1" applyFont="1" applyFill="1" applyProtection="1">
      <protection locked="0"/>
    </xf>
    <xf numFmtId="0" fontId="0" fillId="34" borderId="45" xfId="0" applyNumberFormat="1" applyFont="1" applyFill="1" applyBorder="1" applyAlignment="1" applyProtection="1">
      <alignment vertical="center" wrapText="1"/>
    </xf>
    <xf numFmtId="14" fontId="0" fillId="29" borderId="0" xfId="439" applyNumberFormat="1" applyFont="1" applyFill="1" applyAlignment="1" applyProtection="1">
      <alignment horizontal="left" vertical="center" wrapText="1"/>
      <protection locked="0"/>
    </xf>
    <xf numFmtId="14" fontId="0" fillId="0" borderId="0" xfId="0" applyNumberFormat="1" applyFont="1"/>
    <xf numFmtId="0" fontId="0" fillId="0" borderId="22" xfId="0" applyFont="1" applyFill="1" applyBorder="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70" fillId="0" borderId="0" xfId="439" applyNumberFormat="1" applyFont="1" applyFill="1" applyAlignment="1" applyProtection="1">
      <alignment vertical="center" wrapText="1"/>
      <protection locked="0"/>
    </xf>
    <xf numFmtId="0" fontId="39" fillId="31" borderId="37" xfId="0" applyFont="1" applyFill="1" applyBorder="1" applyAlignment="1">
      <alignment horizontal="center" vertical="center" wrapText="1"/>
    </xf>
    <xf numFmtId="0" fontId="39" fillId="31" borderId="39" xfId="0" applyFont="1" applyFill="1" applyBorder="1" applyAlignment="1">
      <alignment horizontal="center" vertical="center" wrapText="1"/>
    </xf>
    <xf numFmtId="41" fontId="70" fillId="0" borderId="0" xfId="439" applyNumberFormat="1" applyFont="1" applyAlignment="1">
      <alignment vertical="center" wrapText="1"/>
    </xf>
    <xf numFmtId="49" fontId="0" fillId="31" borderId="13" xfId="0" applyNumberFormat="1" applyFont="1" applyFill="1" applyBorder="1" applyAlignment="1" applyProtection="1">
      <alignment horizontal="center"/>
      <protection locked="0"/>
    </xf>
    <xf numFmtId="14" fontId="0" fillId="31" borderId="13" xfId="0" applyNumberFormat="1" applyFont="1" applyFill="1" applyBorder="1" applyAlignment="1" applyProtection="1">
      <alignment horizontal="center"/>
      <protection locked="0"/>
    </xf>
    <xf numFmtId="49" fontId="35" fillId="31" borderId="13" xfId="611" applyNumberFormat="1" applyFont="1" applyFill="1" applyBorder="1" applyAlignment="1" applyProtection="1">
      <alignment horizontal="center"/>
      <protection locked="0"/>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79" fillId="0" borderId="0" xfId="0" applyNumberFormat="1" applyFont="1" applyFill="1" applyAlignment="1" applyProtection="1">
      <alignment horizontal="left" vertical="center" wrapText="1"/>
    </xf>
    <xf numFmtId="0" fontId="0" fillId="0" borderId="45" xfId="0" applyFont="1" applyFill="1" applyBorder="1" applyAlignment="1" applyProtection="1">
      <alignment wrapText="1"/>
    </xf>
    <xf numFmtId="0" fontId="45" fillId="0" borderId="45" xfId="0" applyFont="1" applyFill="1" applyBorder="1" applyAlignment="1" applyProtection="1">
      <alignment wrapText="1"/>
    </xf>
    <xf numFmtId="0" fontId="179" fillId="0" borderId="0" xfId="0" applyFont="1" applyFill="1" applyAlignment="1" applyProtection="1">
      <alignment horizontal="left" vertical="center" wrapText="1"/>
    </xf>
    <xf numFmtId="0" fontId="63" fillId="0" borderId="36" xfId="0" applyNumberFormat="1" applyFont="1" applyFill="1" applyBorder="1" applyAlignment="1" applyProtection="1">
      <alignment horizontal="left" vertical="center" wrapText="1"/>
    </xf>
    <xf numFmtId="0" fontId="45" fillId="0" borderId="0" xfId="0" applyFont="1" applyFill="1" applyAlignment="1" applyProtection="1">
      <alignment wrapText="1"/>
    </xf>
    <xf numFmtId="0" fontId="63" fillId="0" borderId="0" xfId="0" applyFont="1" applyAlignment="1">
      <alignment wrapText="1"/>
    </xf>
    <xf numFmtId="0" fontId="45" fillId="0" borderId="45" xfId="0" applyFont="1" applyBorder="1" applyAlignment="1">
      <alignment horizontal="center" vertical="center" wrapText="1"/>
    </xf>
    <xf numFmtId="0" fontId="39" fillId="0" borderId="0" xfId="0" applyFont="1" applyFill="1" applyAlignment="1" applyProtection="1">
      <alignment horizontal="left" vertical="center" wrapText="1"/>
    </xf>
    <xf numFmtId="0" fontId="0" fillId="0" borderId="25" xfId="0" applyFont="1" applyFill="1" applyBorder="1" applyAlignment="1">
      <alignment horizontal="left" vertical="center" wrapText="1"/>
    </xf>
    <xf numFmtId="0" fontId="0" fillId="0" borderId="23" xfId="0" applyFont="1" applyBorder="1" applyAlignment="1">
      <alignment horizontal="left" vertical="center" wrapText="1"/>
    </xf>
    <xf numFmtId="0" fontId="0" fillId="0" borderId="0" xfId="0" applyFont="1" applyBorder="1" applyAlignment="1">
      <alignment horizontal="left" vertical="center" wrapText="1"/>
    </xf>
    <xf numFmtId="0" fontId="0" fillId="0" borderId="0" xfId="0" applyFont="1" applyFill="1" applyAlignment="1" applyProtection="1">
      <alignment vertical="center"/>
    </xf>
    <xf numFmtId="0" fontId="45" fillId="0" borderId="0" xfId="0" applyFont="1" applyFill="1" applyAlignment="1" applyProtection="1">
      <alignment horizontal="center" vertical="center" wrapText="1"/>
    </xf>
    <xf numFmtId="0" fontId="45"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5" fillId="0" borderId="45" xfId="0" applyFont="1" applyFill="1" applyBorder="1" applyAlignment="1" applyProtection="1">
      <alignment horizontal="center" vertical="center" wrapText="1"/>
    </xf>
    <xf numFmtId="0" fontId="39" fillId="28" borderId="0" xfId="0" applyFont="1" applyFill="1" applyAlignment="1" applyProtection="1">
      <alignment horizontal="left" vertical="center"/>
    </xf>
    <xf numFmtId="0" fontId="0" fillId="28" borderId="0" xfId="0" applyFont="1" applyFill="1" applyAlignment="1" applyProtection="1">
      <alignment horizontal="left" vertical="center"/>
    </xf>
    <xf numFmtId="0" fontId="0" fillId="34" borderId="0" xfId="0" applyFont="1" applyFill="1" applyAlignment="1" applyProtection="1">
      <alignment horizontal="center" vertical="center" wrapText="1"/>
    </xf>
    <xf numFmtId="0" fontId="39"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45" fillId="34" borderId="0" xfId="0" applyFont="1" applyFill="1" applyAlignment="1" applyProtection="1">
      <alignment horizontal="center" vertical="center" wrapText="1"/>
    </xf>
    <xf numFmtId="0" fontId="63" fillId="0" borderId="0" xfId="0" applyFont="1" applyFill="1" applyAlignment="1" applyProtection="1">
      <alignment horizontal="center" vertical="center" wrapText="1"/>
    </xf>
    <xf numFmtId="3" fontId="186" fillId="0" borderId="0" xfId="1540" applyFont="1" applyFill="1" applyAlignment="1" applyProtection="1">
      <alignment vertical="center" wrapText="1"/>
    </xf>
    <xf numFmtId="0" fontId="59" fillId="0" borderId="0" xfId="30099" applyFont="1" applyFill="1" applyAlignment="1">
      <alignment horizontal="left" vertical="top" wrapText="1"/>
    </xf>
    <xf numFmtId="0" fontId="59" fillId="0" borderId="0" xfId="0" applyFont="1" applyFill="1" applyAlignment="1" applyProtection="1">
      <alignment vertical="center" wrapText="1"/>
    </xf>
    <xf numFmtId="0" fontId="0" fillId="34" borderId="45" xfId="0" applyFont="1" applyFill="1" applyBorder="1" applyAlignment="1" applyProtection="1">
      <alignment horizontal="center" vertical="center" wrapText="1"/>
    </xf>
    <xf numFmtId="0" fontId="39" fillId="0" borderId="0" xfId="0" applyFont="1" applyFill="1" applyAlignment="1" applyProtection="1">
      <alignment horizontal="center" vertical="center"/>
    </xf>
    <xf numFmtId="0" fontId="39" fillId="74" borderId="0" xfId="0" applyFont="1" applyFill="1" applyAlignment="1" applyProtection="1">
      <alignment horizontal="left" vertical="center" wrapText="1"/>
    </xf>
    <xf numFmtId="0" fontId="39" fillId="74" borderId="0" xfId="0" applyFont="1" applyFill="1" applyAlignment="1" applyProtection="1">
      <alignment vertical="center" wrapText="1"/>
    </xf>
    <xf numFmtId="0" fontId="39" fillId="74" borderId="0" xfId="0" applyFont="1" applyFill="1" applyAlignment="1" applyProtection="1">
      <alignment vertical="center"/>
    </xf>
    <xf numFmtId="0" fontId="39" fillId="74" borderId="0" xfId="0" applyFont="1" applyFill="1" applyAlignment="1" applyProtection="1"/>
    <xf numFmtId="0" fontId="0" fillId="74" borderId="0" xfId="0" applyFont="1" applyFill="1" applyAlignment="1" applyProtection="1"/>
    <xf numFmtId="0" fontId="39" fillId="74" borderId="0" xfId="0" applyFont="1" applyFill="1" applyAlignment="1" applyProtection="1">
      <alignment wrapText="1"/>
    </xf>
    <xf numFmtId="2" fontId="39" fillId="74" borderId="0" xfId="0" applyNumberFormat="1" applyFont="1" applyFill="1" applyAlignment="1" applyProtection="1">
      <alignment horizontal="center" vertical="center" wrapText="1"/>
      <protection locked="0"/>
    </xf>
    <xf numFmtId="0" fontId="71"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vertical="center"/>
    </xf>
    <xf numFmtId="37" fontId="0" fillId="74" borderId="0" xfId="439" applyNumberFormat="1" applyFont="1" applyFill="1" applyAlignment="1" applyProtection="1">
      <alignment horizontal="center" vertical="center"/>
      <protection locked="0"/>
    </xf>
    <xf numFmtId="41" fontId="70" fillId="74" borderId="0" xfId="439" applyNumberFormat="1" applyFont="1" applyFill="1" applyAlignment="1" applyProtection="1">
      <alignment wrapText="1"/>
    </xf>
    <xf numFmtId="0" fontId="39"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71" fillId="74" borderId="0" xfId="439" applyNumberFormat="1" applyFont="1" applyFill="1" applyAlignment="1" applyProtection="1">
      <alignment wrapText="1"/>
    </xf>
    <xf numFmtId="0" fontId="59" fillId="74" borderId="0" xfId="0" applyFont="1" applyFill="1" applyAlignment="1" applyProtection="1">
      <alignment horizontal="left" vertical="center"/>
    </xf>
    <xf numFmtId="0" fontId="45"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39" fillId="74" borderId="0" xfId="439" applyNumberFormat="1" applyFont="1" applyFill="1" applyAlignment="1" applyProtection="1">
      <alignment horizontal="center" vertical="center"/>
      <protection locked="0"/>
    </xf>
    <xf numFmtId="41" fontId="71" fillId="74" borderId="0" xfId="0" applyNumberFormat="1" applyFont="1" applyFill="1" applyAlignment="1" applyProtection="1">
      <alignment wrapText="1"/>
    </xf>
    <xf numFmtId="0" fontId="39" fillId="74" borderId="0" xfId="0" applyFont="1" applyFill="1" applyAlignment="1" applyProtection="1">
      <alignment horizontal="center" vertical="center"/>
      <protection locked="0"/>
    </xf>
    <xf numFmtId="0" fontId="71" fillId="74" borderId="0" xfId="0" applyFont="1" applyFill="1" applyAlignment="1" applyProtection="1"/>
    <xf numFmtId="0" fontId="39" fillId="74" borderId="0" xfId="0" applyFont="1" applyFill="1" applyAlignment="1" applyProtection="1">
      <alignment horizontal="center" vertical="center" wrapText="1"/>
      <protection locked="0"/>
    </xf>
    <xf numFmtId="0" fontId="71" fillId="74" borderId="0" xfId="0" applyFont="1" applyFill="1" applyAlignment="1" applyProtection="1">
      <alignment horizontal="left" wrapText="1" indent="2"/>
    </xf>
    <xf numFmtId="0" fontId="39"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39"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0" fontId="63" fillId="74" borderId="0" xfId="0" applyFont="1" applyFill="1" applyAlignment="1" applyProtection="1">
      <alignment horizontal="left" vertical="center"/>
    </xf>
    <xf numFmtId="3" fontId="39" fillId="74" borderId="0" xfId="0"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wrapText="1"/>
      <protection locked="0"/>
    </xf>
    <xf numFmtId="0" fontId="71" fillId="74" borderId="0" xfId="0" applyFont="1" applyFill="1" applyAlignment="1" applyProtection="1">
      <alignment vertical="center"/>
    </xf>
    <xf numFmtId="3" fontId="39" fillId="74" borderId="0" xfId="439" applyNumberFormat="1" applyFont="1" applyFill="1" applyAlignment="1" applyProtection="1">
      <alignment horizontal="center" vertical="center"/>
      <protection locked="0"/>
    </xf>
    <xf numFmtId="38" fontId="45"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39" fillId="74" borderId="0" xfId="0" applyNumberFormat="1" applyFont="1" applyFill="1" applyAlignment="1" applyProtection="1">
      <alignment wrapText="1"/>
    </xf>
    <xf numFmtId="164" fontId="39" fillId="74" borderId="0" xfId="439" applyNumberFormat="1" applyFont="1" applyFill="1" applyAlignment="1" applyProtection="1">
      <alignment horizontal="center" wrapText="1"/>
    </xf>
    <xf numFmtId="3" fontId="39" fillId="74" borderId="0" xfId="439" applyNumberFormat="1" applyFont="1" applyFill="1" applyAlignment="1" applyProtection="1">
      <alignment horizontal="center" vertical="center" wrapText="1"/>
    </xf>
    <xf numFmtId="41" fontId="70" fillId="74" borderId="0" xfId="0" applyNumberFormat="1" applyFont="1" applyFill="1" applyAlignment="1" applyProtection="1">
      <alignment wrapText="1"/>
    </xf>
    <xf numFmtId="3" fontId="39"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8" fontId="45" fillId="74" borderId="0" xfId="439" applyNumberFormat="1" applyFont="1" applyFill="1" applyProtection="1"/>
    <xf numFmtId="0" fontId="188" fillId="74" borderId="0" xfId="0" applyFont="1" applyFill="1" applyAlignment="1" applyProtection="1">
      <alignment horizontal="left" vertical="center"/>
    </xf>
    <xf numFmtId="37" fontId="0" fillId="74" borderId="0" xfId="439" applyNumberFormat="1" applyFont="1" applyFill="1" applyAlignment="1" applyProtection="1">
      <alignment horizontal="center" vertical="center"/>
    </xf>
    <xf numFmtId="38" fontId="39" fillId="74" borderId="0" xfId="0" applyNumberFormat="1" applyFont="1" applyFill="1" applyAlignment="1" applyProtection="1">
      <alignment horizontal="left" vertical="center"/>
    </xf>
    <xf numFmtId="0" fontId="71"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39"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89" fillId="74" borderId="0" xfId="0" applyFont="1" applyFill="1" applyAlignment="1" applyProtection="1">
      <alignment horizontal="left" vertical="center"/>
    </xf>
    <xf numFmtId="0" fontId="83" fillId="74" borderId="0" xfId="0" applyFont="1" applyFill="1" applyAlignment="1" applyProtection="1">
      <alignment vertical="center"/>
    </xf>
    <xf numFmtId="0" fontId="190" fillId="74" borderId="0" xfId="0" applyFont="1" applyFill="1" applyAlignment="1" applyProtection="1">
      <alignment vertical="center"/>
      <protection locked="0"/>
    </xf>
    <xf numFmtId="0" fontId="63" fillId="74" borderId="36" xfId="0" applyNumberFormat="1" applyFont="1" applyFill="1" applyBorder="1" applyAlignment="1" applyProtection="1">
      <alignment horizontal="left" vertical="center" wrapText="1"/>
    </xf>
    <xf numFmtId="0" fontId="54" fillId="74" borderId="0" xfId="0" applyNumberFormat="1" applyFont="1" applyFill="1" applyAlignment="1" applyProtection="1">
      <alignment horizontal="left" vertical="center" wrapText="1"/>
    </xf>
    <xf numFmtId="168" fontId="39" fillId="29" borderId="0" xfId="439" applyNumberFormat="1" applyFont="1" applyFill="1" applyAlignment="1" applyProtection="1">
      <alignment horizontal="center" vertical="center"/>
      <protection locked="0"/>
    </xf>
    <xf numFmtId="0" fontId="59" fillId="74" borderId="0" xfId="0" applyFont="1" applyFill="1" applyAlignment="1">
      <alignment vertical="center" wrapText="1"/>
    </xf>
    <xf numFmtId="41" fontId="71" fillId="36" borderId="113" xfId="439" applyNumberFormat="1" applyFont="1" applyFill="1" applyBorder="1" applyAlignment="1">
      <alignment vertical="center" wrapText="1"/>
    </xf>
    <xf numFmtId="41" fontId="71" fillId="36" borderId="0" xfId="439" applyNumberFormat="1" applyFont="1" applyFill="1" applyAlignment="1">
      <alignment vertical="center" wrapText="1"/>
    </xf>
    <xf numFmtId="41" fontId="71" fillId="36" borderId="114" xfId="439" applyNumberFormat="1" applyFont="1" applyFill="1" applyBorder="1" applyAlignment="1">
      <alignment vertical="center" wrapText="1"/>
    </xf>
    <xf numFmtId="41" fontId="191" fillId="0" borderId="0" xfId="0" applyNumberFormat="1" applyFont="1" applyFill="1" applyAlignment="1" applyProtection="1">
      <alignment wrapText="1"/>
    </xf>
    <xf numFmtId="0" fontId="59" fillId="74" borderId="0" xfId="0" applyFont="1" applyFill="1" applyAlignment="1" applyProtection="1">
      <alignment vertical="center"/>
    </xf>
    <xf numFmtId="174" fontId="0" fillId="0" borderId="29" xfId="439" applyNumberFormat="1" applyFont="1" applyBorder="1" applyAlignment="1" applyProtection="1">
      <alignment vertical="center"/>
    </xf>
    <xf numFmtId="38" fontId="45" fillId="22" borderId="0" xfId="439" applyNumberFormat="1" applyFont="1" applyFill="1" applyAlignment="1" applyProtection="1">
      <alignment horizontal="center" vertical="center" wrapText="1"/>
    </xf>
    <xf numFmtId="167" fontId="0" fillId="80" borderId="87" xfId="545" applyNumberFormat="1" applyFont="1" applyFill="1" applyBorder="1"/>
    <xf numFmtId="37" fontId="0" fillId="0" borderId="103" xfId="0" applyNumberFormat="1" applyFont="1" applyFill="1" applyBorder="1" applyAlignment="1">
      <alignment horizontal="center" wrapText="1"/>
    </xf>
    <xf numFmtId="37" fontId="83" fillId="0" borderId="103" xfId="0" applyNumberFormat="1" applyFont="1" applyFill="1" applyBorder="1" applyAlignment="1">
      <alignment horizontal="center" wrapText="1"/>
    </xf>
    <xf numFmtId="41" fontId="71" fillId="0" borderId="0" xfId="0" applyNumberFormat="1" applyFont="1" applyFill="1" applyAlignment="1" applyProtection="1">
      <alignment vertical="center" wrapText="1"/>
    </xf>
    <xf numFmtId="0" fontId="0" fillId="78" borderId="10" xfId="0" applyFont="1" applyFill="1" applyBorder="1" applyAlignment="1">
      <alignment horizontal="left" vertical="center" wrapText="1"/>
    </xf>
    <xf numFmtId="0" fontId="161" fillId="73" borderId="57" xfId="0" applyFont="1" applyFill="1" applyBorder="1" applyAlignment="1">
      <alignment vertical="center" wrapText="1"/>
    </xf>
    <xf numFmtId="166" fontId="0" fillId="21" borderId="16" xfId="0" applyNumberFormat="1" applyFont="1" applyFill="1" applyBorder="1" applyProtection="1"/>
    <xf numFmtId="2" fontId="0" fillId="0" borderId="10" xfId="0" applyNumberFormat="1" applyFont="1" applyFill="1" applyBorder="1" applyAlignment="1">
      <alignment horizontal="center" wrapText="1"/>
    </xf>
    <xf numFmtId="37" fontId="0" fillId="0" borderId="10" xfId="0" applyNumberFormat="1" applyFont="1" applyFill="1" applyBorder="1" applyAlignment="1">
      <alignment horizontal="center" wrapText="1"/>
    </xf>
    <xf numFmtId="2" fontId="0" fillId="0" borderId="86" xfId="0" applyNumberFormat="1" applyFont="1" applyFill="1" applyBorder="1" applyAlignment="1">
      <alignment horizontal="center" wrapText="1"/>
    </xf>
    <xf numFmtId="37" fontId="0" fillId="0" borderId="89" xfId="0" applyNumberFormat="1" applyFont="1" applyFill="1" applyBorder="1" applyAlignment="1">
      <alignment horizontal="center" wrapText="1"/>
    </xf>
    <xf numFmtId="10" fontId="0" fillId="0" borderId="95" xfId="0" applyNumberFormat="1" applyFont="1" applyFill="1" applyBorder="1" applyAlignment="1">
      <alignment horizontal="center" wrapText="1"/>
    </xf>
    <xf numFmtId="0" fontId="39" fillId="78" borderId="10" xfId="0" applyFont="1" applyFill="1" applyBorder="1" applyAlignment="1">
      <alignment wrapText="1"/>
    </xf>
    <xf numFmtId="0" fontId="39" fillId="78" borderId="115" xfId="0" applyFont="1" applyFill="1" applyBorder="1" applyAlignment="1">
      <alignment wrapText="1"/>
    </xf>
    <xf numFmtId="10" fontId="0" fillId="0" borderId="84" xfId="4688" applyNumberFormat="1" applyFont="1" applyFill="1" applyBorder="1"/>
    <xf numFmtId="10" fontId="0" fillId="0" borderId="84" xfId="0" applyNumberFormat="1" applyFont="1" applyFill="1" applyBorder="1" applyAlignment="1">
      <alignment horizontal="center" wrapText="1"/>
    </xf>
    <xf numFmtId="0" fontId="0" fillId="0" borderId="116" xfId="0" applyFont="1" applyFill="1" applyBorder="1" applyProtection="1">
      <protection locked="0"/>
    </xf>
    <xf numFmtId="37" fontId="0" fillId="0" borderId="10" xfId="0" applyNumberFormat="1" applyFont="1" applyFill="1" applyBorder="1"/>
    <xf numFmtId="0" fontId="0" fillId="78" borderId="10" xfId="0" applyFont="1" applyFill="1" applyBorder="1" applyAlignment="1">
      <alignment horizontal="center" wrapText="1"/>
    </xf>
    <xf numFmtId="3" fontId="45" fillId="0" borderId="0" xfId="439" applyNumberFormat="1" applyFont="1" applyFill="1" applyAlignment="1" applyProtection="1">
      <alignment horizontal="center" vertical="center" wrapText="1"/>
    </xf>
    <xf numFmtId="0" fontId="0" fillId="78" borderId="86" xfId="0" applyFont="1" applyFill="1" applyBorder="1" applyAlignment="1">
      <alignment vertical="center" wrapText="1"/>
    </xf>
    <xf numFmtId="0" fontId="0" fillId="78" borderId="96" xfId="0" applyFont="1" applyFill="1" applyBorder="1" applyAlignment="1">
      <alignment vertical="center" wrapText="1"/>
    </xf>
    <xf numFmtId="0" fontId="0" fillId="78" borderId="102" xfId="0" applyFont="1" applyFill="1" applyBorder="1" applyAlignment="1">
      <alignment vertical="center" wrapText="1"/>
    </xf>
    <xf numFmtId="0" fontId="0" fillId="78" borderId="95" xfId="0" applyFont="1" applyFill="1" applyBorder="1" applyAlignment="1">
      <alignment vertical="center" wrapText="1"/>
    </xf>
    <xf numFmtId="0" fontId="0" fillId="78" borderId="10" xfId="0" quotePrefix="1" applyFont="1" applyFill="1" applyBorder="1" applyAlignment="1">
      <alignment horizontal="center" vertical="center" wrapText="1"/>
    </xf>
    <xf numFmtId="0" fontId="0" fillId="78" borderId="84" xfId="0" quotePrefix="1" applyFont="1" applyFill="1" applyBorder="1" applyAlignment="1">
      <alignment horizontal="center" vertical="center" wrapText="1"/>
    </xf>
    <xf numFmtId="0" fontId="0" fillId="78" borderId="84" xfId="0" applyFont="1" applyFill="1" applyBorder="1" applyAlignment="1">
      <alignment vertical="center" wrapText="1"/>
    </xf>
    <xf numFmtId="164" fontId="45" fillId="0" borderId="10" xfId="439" applyNumberFormat="1" applyFont="1" applyFill="1" applyBorder="1" applyAlignment="1">
      <alignment horizontal="center"/>
    </xf>
    <xf numFmtId="0" fontId="0" fillId="78" borderId="0" xfId="0" applyFont="1" applyFill="1" applyBorder="1" applyProtection="1">
      <protection locked="0"/>
    </xf>
    <xf numFmtId="0" fontId="171" fillId="78" borderId="117" xfId="0" applyFont="1" applyFill="1" applyBorder="1" applyAlignment="1">
      <alignment wrapText="1"/>
    </xf>
    <xf numFmtId="9" fontId="0" fillId="78" borderId="84" xfId="4688" applyFont="1" applyFill="1" applyBorder="1" applyAlignment="1">
      <alignment horizontal="center" wrapText="1"/>
    </xf>
    <xf numFmtId="0" fontId="0" fillId="78" borderId="95" xfId="0" applyFont="1" applyFill="1" applyBorder="1" applyAlignment="1">
      <alignment horizontal="center" vertical="center" wrapText="1"/>
    </xf>
    <xf numFmtId="37" fontId="0" fillId="78" borderId="103" xfId="0" applyNumberFormat="1" applyFont="1" applyFill="1" applyBorder="1" applyAlignment="1">
      <alignment horizontal="center" wrapText="1"/>
    </xf>
    <xf numFmtId="0" fontId="0" fillId="78" borderId="98" xfId="0" applyFont="1" applyFill="1" applyBorder="1" applyProtection="1">
      <protection locked="0"/>
    </xf>
    <xf numFmtId="43" fontId="0" fillId="0" borderId="10" xfId="439" applyNumberFormat="1" applyFont="1" applyFill="1" applyBorder="1" applyAlignment="1">
      <alignment horizontal="center"/>
    </xf>
    <xf numFmtId="43" fontId="45" fillId="0" borderId="10" xfId="439" applyNumberFormat="1" applyFont="1" applyFill="1" applyBorder="1" applyAlignment="1">
      <alignment horizontal="center"/>
    </xf>
    <xf numFmtId="0" fontId="133" fillId="78" borderId="15" xfId="30099" applyFont="1" applyFill="1" applyBorder="1" applyAlignment="1">
      <alignment horizontal="left" wrapText="1"/>
    </xf>
    <xf numFmtId="0" fontId="133" fillId="78" borderId="0" xfId="30099" applyFont="1" applyFill="1" applyAlignment="1">
      <alignment horizontal="left" wrapText="1"/>
    </xf>
    <xf numFmtId="0" fontId="133" fillId="78" borderId="60" xfId="30099" applyFont="1" applyFill="1" applyBorder="1" applyAlignment="1">
      <alignment horizontal="left" wrapText="1"/>
    </xf>
    <xf numFmtId="0" fontId="0" fillId="0" borderId="0" xfId="0" applyAlignment="1">
      <alignment wrapText="1"/>
    </xf>
    <xf numFmtId="0" fontId="0" fillId="0" borderId="0" xfId="0" applyAlignment="1">
      <alignment horizontal="left"/>
    </xf>
    <xf numFmtId="0" fontId="0" fillId="0" borderId="118" xfId="0" applyBorder="1"/>
    <xf numFmtId="0" fontId="0" fillId="0" borderId="81" xfId="0" applyBorder="1"/>
    <xf numFmtId="0" fontId="0" fillId="0" borderId="82" xfId="0" applyBorder="1"/>
    <xf numFmtId="0" fontId="0" fillId="0" borderId="121" xfId="0" applyBorder="1"/>
    <xf numFmtId="0" fontId="0" fillId="78" borderId="78" xfId="0" applyFill="1" applyBorder="1"/>
    <xf numFmtId="0" fontId="0" fillId="78" borderId="122" xfId="0" applyFill="1" applyBorder="1"/>
    <xf numFmtId="0" fontId="195" fillId="0" borderId="10" xfId="0" applyFont="1" applyBorder="1" applyAlignment="1">
      <alignment horizontal="center" vertical="center" wrapText="1"/>
    </xf>
    <xf numFmtId="0" fontId="0" fillId="0" borderId="74" xfId="0" applyBorder="1" applyAlignment="1">
      <alignment horizontal="center" wrapText="1"/>
    </xf>
    <xf numFmtId="1" fontId="0" fillId="0" borderId="0" xfId="0" applyNumberFormat="1"/>
    <xf numFmtId="0" fontId="195" fillId="0" borderId="84" xfId="0" applyFont="1" applyBorder="1" applyAlignment="1">
      <alignment horizontal="center" vertical="center" wrapText="1"/>
    </xf>
    <xf numFmtId="0" fontId="0" fillId="0" borderId="0" xfId="0" applyAlignment="1">
      <alignment horizontal="center" wrapText="1"/>
    </xf>
    <xf numFmtId="37" fontId="0" fillId="0" borderId="0" xfId="0" applyNumberFormat="1"/>
    <xf numFmtId="0" fontId="0" fillId="78" borderId="123" xfId="0" applyFill="1" applyBorder="1" applyAlignment="1">
      <alignment horizontal="left" vertical="center" wrapText="1"/>
    </xf>
    <xf numFmtId="0" fontId="50" fillId="78" borderId="57" xfId="0" applyFont="1" applyFill="1" applyBorder="1" applyAlignment="1">
      <alignment horizontal="center" wrapText="1"/>
    </xf>
    <xf numFmtId="0" fontId="0" fillId="78" borderId="11" xfId="0" quotePrefix="1" applyFill="1" applyBorder="1" applyAlignment="1">
      <alignment horizontal="center" wrapText="1"/>
    </xf>
    <xf numFmtId="0" fontId="0" fillId="78" borderId="72" xfId="0" applyFill="1" applyBorder="1" applyAlignment="1">
      <alignment horizontal="left" vertical="center" wrapText="1"/>
    </xf>
    <xf numFmtId="10" fontId="0" fillId="0" borderId="0" xfId="0" applyNumberFormat="1"/>
    <xf numFmtId="9" fontId="0" fillId="0" borderId="0" xfId="4688" applyFont="1" applyFill="1" applyBorder="1"/>
    <xf numFmtId="10" fontId="0" fillId="0" borderId="81" xfId="0" applyNumberFormat="1" applyBorder="1"/>
    <xf numFmtId="0" fontId="0" fillId="0" borderId="57" xfId="0" applyBorder="1" applyAlignment="1">
      <alignment horizontal="center" vertical="center" wrapText="1"/>
    </xf>
    <xf numFmtId="10" fontId="0" fillId="0" borderId="57" xfId="0" applyNumberFormat="1" applyBorder="1" applyAlignment="1">
      <alignment horizontal="center" vertical="center" wrapText="1"/>
    </xf>
    <xf numFmtId="0" fontId="0" fillId="78" borderId="16" xfId="0" quotePrefix="1" applyFill="1" applyBorder="1" applyAlignment="1">
      <alignment horizontal="center" wrapText="1"/>
    </xf>
    <xf numFmtId="0" fontId="0" fillId="78" borderId="57" xfId="0" applyFill="1" applyBorder="1" applyAlignment="1">
      <alignment vertical="center" wrapText="1"/>
    </xf>
    <xf numFmtId="0" fontId="59" fillId="78" borderId="13" xfId="0" applyFont="1" applyFill="1" applyBorder="1" applyAlignment="1">
      <alignment wrapText="1"/>
    </xf>
    <xf numFmtId="0" fontId="39" fillId="78" borderId="16" xfId="0" applyFont="1" applyFill="1" applyBorder="1" applyAlignment="1">
      <alignment horizontal="center"/>
    </xf>
    <xf numFmtId="0" fontId="0" fillId="78" borderId="11" xfId="0" applyFill="1" applyBorder="1" applyAlignment="1">
      <alignment wrapText="1"/>
    </xf>
    <xf numFmtId="0" fontId="59" fillId="78" borderId="11" xfId="0" applyFont="1" applyFill="1" applyBorder="1" applyAlignment="1">
      <alignment horizontal="center" vertical="center" wrapText="1"/>
    </xf>
    <xf numFmtId="2" fontId="0" fillId="0" borderId="0" xfId="0" applyNumberFormat="1"/>
    <xf numFmtId="168" fontId="0" fillId="0" borderId="0" xfId="0" applyNumberFormat="1"/>
    <xf numFmtId="168" fontId="0" fillId="0" borderId="81" xfId="0" applyNumberFormat="1" applyBorder="1"/>
    <xf numFmtId="168" fontId="0" fillId="0" borderId="82" xfId="0" applyNumberFormat="1" applyBorder="1"/>
    <xf numFmtId="0" fontId="39" fillId="0" borderId="40" xfId="0" applyFont="1" applyBorder="1" applyAlignment="1">
      <alignment vertical="center" wrapText="1"/>
    </xf>
    <xf numFmtId="2" fontId="0" fillId="0" borderId="41" xfId="0" applyNumberFormat="1" applyBorder="1" applyAlignment="1">
      <alignment horizontal="center"/>
    </xf>
    <xf numFmtId="2" fontId="0" fillId="0" borderId="42" xfId="0" applyNumberFormat="1" applyBorder="1" applyAlignment="1">
      <alignment horizontal="center"/>
    </xf>
    <xf numFmtId="0" fontId="0" fillId="0" borderId="72" xfId="0" applyBorder="1" applyAlignment="1">
      <alignment horizontal="center" vertical="center" wrapText="1"/>
    </xf>
    <xf numFmtId="2" fontId="0" fillId="0" borderId="72" xfId="0" applyNumberFormat="1" applyBorder="1" applyAlignment="1">
      <alignment horizontal="center" vertical="center"/>
    </xf>
    <xf numFmtId="0" fontId="0" fillId="78" borderId="124" xfId="0" applyFill="1" applyBorder="1" applyAlignment="1">
      <alignment horizontal="center" vertical="center" wrapText="1"/>
    </xf>
    <xf numFmtId="0" fontId="39" fillId="0" borderId="37" xfId="0" applyFont="1" applyBorder="1" applyAlignment="1">
      <alignment vertical="center" wrapText="1"/>
    </xf>
    <xf numFmtId="0" fontId="39" fillId="0" borderId="70" xfId="0" applyFont="1" applyBorder="1" applyAlignment="1">
      <alignment horizontal="center"/>
    </xf>
    <xf numFmtId="0" fontId="0" fillId="78" borderId="60" xfId="0" applyFill="1" applyBorder="1" applyAlignment="1">
      <alignment horizontal="center" vertical="center" wrapText="1"/>
    </xf>
    <xf numFmtId="0" fontId="39" fillId="78" borderId="57" xfId="0" applyFont="1" applyFill="1" applyBorder="1" applyAlignment="1">
      <alignment vertical="center" wrapText="1"/>
    </xf>
    <xf numFmtId="42" fontId="0" fillId="0" borderId="57" xfId="0" applyNumberFormat="1" applyBorder="1" applyAlignment="1">
      <alignment horizontal="center"/>
    </xf>
    <xf numFmtId="0" fontId="0" fillId="0" borderId="57" xfId="0" applyBorder="1" applyAlignment="1">
      <alignment horizontal="center" wrapText="1"/>
    </xf>
    <xf numFmtId="0" fontId="0" fillId="78" borderId="57" xfId="0" applyFill="1" applyBorder="1" applyAlignment="1">
      <alignment horizontal="center" vertical="center" wrapText="1"/>
    </xf>
    <xf numFmtId="0" fontId="0" fillId="78" borderId="57" xfId="0" applyFill="1" applyBorder="1" applyAlignment="1">
      <alignment wrapText="1"/>
    </xf>
    <xf numFmtId="167" fontId="0" fillId="0" borderId="0" xfId="545" applyNumberFormat="1" applyFont="1" applyFill="1" applyBorder="1"/>
    <xf numFmtId="10" fontId="0" fillId="0" borderId="57" xfId="4688" applyNumberFormat="1" applyFont="1" applyFill="1" applyBorder="1" applyAlignment="1">
      <alignment horizontal="center"/>
    </xf>
    <xf numFmtId="10" fontId="0" fillId="0" borderId="57" xfId="0" applyNumberFormat="1" applyBorder="1" applyAlignment="1">
      <alignment horizontal="center"/>
    </xf>
    <xf numFmtId="10" fontId="0" fillId="0" borderId="0" xfId="4688" applyNumberFormat="1" applyFont="1" applyFill="1" applyBorder="1"/>
    <xf numFmtId="37" fontId="0" fillId="0" borderId="57" xfId="0" applyNumberFormat="1" applyBorder="1" applyAlignment="1">
      <alignment horizontal="center" wrapText="1"/>
    </xf>
    <xf numFmtId="37" fontId="0" fillId="85" borderId="57" xfId="0" applyNumberFormat="1" applyFill="1" applyBorder="1" applyAlignment="1">
      <alignment horizontal="center" wrapText="1"/>
    </xf>
    <xf numFmtId="37" fontId="83" fillId="0" borderId="57" xfId="0" applyNumberFormat="1" applyFont="1" applyBorder="1" applyAlignment="1">
      <alignment horizontal="center" wrapText="1"/>
    </xf>
    <xf numFmtId="43" fontId="0" fillId="0" borderId="0" xfId="439" applyFont="1" applyFill="1" applyBorder="1"/>
    <xf numFmtId="0" fontId="39" fillId="0" borderId="125" xfId="0" applyFont="1" applyBorder="1" applyAlignment="1">
      <alignment wrapText="1"/>
    </xf>
    <xf numFmtId="0" fontId="0" fillId="0" borderId="85" xfId="0" applyBorder="1"/>
    <xf numFmtId="0" fontId="0" fillId="0" borderId="85" xfId="0" applyBorder="1" applyAlignment="1">
      <alignment horizontal="center" wrapText="1"/>
    </xf>
    <xf numFmtId="0" fontId="0" fillId="0" borderId="85" xfId="0" applyBorder="1" applyAlignment="1">
      <alignment wrapText="1"/>
    </xf>
    <xf numFmtId="0" fontId="0" fillId="73" borderId="126" xfId="0" applyFill="1" applyBorder="1" applyAlignment="1">
      <alignment wrapText="1"/>
    </xf>
    <xf numFmtId="0" fontId="59" fillId="78" borderId="39" xfId="0" applyFont="1" applyFill="1" applyBorder="1" applyAlignment="1">
      <alignment horizontal="center" wrapText="1"/>
    </xf>
    <xf numFmtId="2" fontId="0" fillId="0" borderId="0" xfId="439" applyNumberFormat="1" applyFont="1" applyFill="1" applyBorder="1"/>
    <xf numFmtId="39" fontId="0" fillId="0" borderId="0" xfId="0" applyNumberFormat="1"/>
    <xf numFmtId="0" fontId="0" fillId="78" borderId="57" xfId="0" applyFill="1" applyBorder="1" applyAlignment="1">
      <alignment horizontal="left" vertical="center" wrapText="1"/>
    </xf>
    <xf numFmtId="0" fontId="39" fillId="0" borderId="57" xfId="0" applyFont="1" applyBorder="1" applyAlignment="1">
      <alignment vertical="center" wrapText="1"/>
    </xf>
    <xf numFmtId="0" fontId="39" fillId="0" borderId="57" xfId="0" applyFont="1" applyBorder="1" applyAlignment="1">
      <alignment horizontal="center"/>
    </xf>
    <xf numFmtId="167" fontId="0" fillId="0" borderId="57" xfId="545" applyNumberFormat="1" applyFont="1" applyFill="1" applyBorder="1" applyAlignment="1">
      <alignment horizontal="center"/>
    </xf>
    <xf numFmtId="0" fontId="39" fillId="0" borderId="127" xfId="0" applyFont="1" applyBorder="1" applyAlignment="1">
      <alignment wrapText="1"/>
    </xf>
    <xf numFmtId="0" fontId="0" fillId="0" borderId="128" xfId="0" applyBorder="1"/>
    <xf numFmtId="0" fontId="0" fillId="0" borderId="128" xfId="0" applyBorder="1" applyAlignment="1">
      <alignment horizontal="center" wrapText="1"/>
    </xf>
    <xf numFmtId="0" fontId="0" fillId="0" borderId="128" xfId="0" applyBorder="1" applyAlignment="1">
      <alignment wrapText="1"/>
    </xf>
    <xf numFmtId="0" fontId="0" fillId="78" borderId="85" xfId="0" applyFill="1" applyBorder="1"/>
    <xf numFmtId="0" fontId="39" fillId="78" borderId="90" xfId="0" applyFont="1" applyFill="1" applyBorder="1" applyAlignment="1">
      <alignment horizontal="center" wrapText="1"/>
    </xf>
    <xf numFmtId="0" fontId="39" fillId="78" borderId="70" xfId="0" applyFont="1" applyFill="1" applyBorder="1" applyAlignment="1">
      <alignment horizontal="center"/>
    </xf>
    <xf numFmtId="37" fontId="0" fillId="0" borderId="57" xfId="0" applyNumberFormat="1" applyBorder="1" applyAlignment="1">
      <alignment horizontal="center"/>
    </xf>
    <xf numFmtId="0" fontId="39" fillId="78" borderId="11" xfId="0" applyFont="1" applyFill="1" applyBorder="1" applyAlignment="1">
      <alignment horizontal="center" wrapText="1"/>
    </xf>
    <xf numFmtId="0" fontId="39" fillId="78" borderId="57" xfId="0" applyFont="1" applyFill="1" applyBorder="1" applyAlignment="1">
      <alignment horizontal="center"/>
    </xf>
    <xf numFmtId="0" fontId="0" fillId="78" borderId="57" xfId="0" applyFill="1" applyBorder="1"/>
    <xf numFmtId="9" fontId="0" fillId="0" borderId="57" xfId="4688" applyFont="1" applyFill="1" applyBorder="1" applyAlignment="1">
      <alignment horizontal="center"/>
    </xf>
    <xf numFmtId="9" fontId="39" fillId="0" borderId="57" xfId="0" applyNumberFormat="1" applyFont="1" applyBorder="1" applyAlignment="1">
      <alignment horizontal="center"/>
    </xf>
    <xf numFmtId="0" fontId="0" fillId="0" borderId="130" xfId="0" applyBorder="1"/>
    <xf numFmtId="0" fontId="39" fillId="0" borderId="0" xfId="0" applyFont="1" applyAlignment="1">
      <alignment wrapText="1"/>
    </xf>
    <xf numFmtId="0" fontId="0" fillId="0" borderId="120" xfId="0" applyBorder="1"/>
    <xf numFmtId="0" fontId="39" fillId="0" borderId="57" xfId="0" applyFont="1" applyBorder="1" applyAlignment="1">
      <alignment horizontal="center" wrapText="1"/>
    </xf>
    <xf numFmtId="0" fontId="0" fillId="0" borderId="57" xfId="0" applyBorder="1" applyAlignment="1">
      <alignment horizontal="center"/>
    </xf>
    <xf numFmtId="0" fontId="0" fillId="78" borderId="57" xfId="0" applyFill="1" applyBorder="1" applyAlignment="1">
      <alignment horizontal="center"/>
    </xf>
    <xf numFmtId="0" fontId="45" fillId="85" borderId="57" xfId="0" applyFont="1" applyFill="1" applyBorder="1" applyAlignment="1">
      <alignment horizontal="center" wrapText="1"/>
    </xf>
    <xf numFmtId="0" fontId="0" fillId="85" borderId="57" xfId="0" applyFill="1" applyBorder="1" applyAlignment="1">
      <alignment horizontal="center" wrapText="1"/>
    </xf>
    <xf numFmtId="37" fontId="45" fillId="0" borderId="57" xfId="0" applyNumberFormat="1" applyFont="1" applyBorder="1" applyAlignment="1">
      <alignment horizontal="center"/>
    </xf>
    <xf numFmtId="37" fontId="45" fillId="0" borderId="57" xfId="0" applyNumberFormat="1" applyFont="1" applyBorder="1" applyAlignment="1">
      <alignment horizontal="center" wrapText="1"/>
    </xf>
    <xf numFmtId="37" fontId="0" fillId="0" borderId="0" xfId="0" applyNumberFormat="1" applyAlignment="1">
      <alignment horizontal="center"/>
    </xf>
    <xf numFmtId="0" fontId="0" fillId="0" borderId="88" xfId="0" applyBorder="1"/>
    <xf numFmtId="0" fontId="0" fillId="0" borderId="88" xfId="0" applyBorder="1" applyAlignment="1">
      <alignment wrapText="1"/>
    </xf>
    <xf numFmtId="0" fontId="0" fillId="0" borderId="82" xfId="0" applyBorder="1" applyAlignment="1">
      <alignment wrapText="1"/>
    </xf>
    <xf numFmtId="2" fontId="0" fillId="0" borderId="57" xfId="0" applyNumberFormat="1" applyBorder="1" applyAlignment="1">
      <alignment horizontal="center"/>
    </xf>
    <xf numFmtId="0" fontId="0" fillId="0" borderId="90" xfId="0" applyBorder="1"/>
    <xf numFmtId="0" fontId="0" fillId="0" borderId="119" xfId="0" applyBorder="1"/>
    <xf numFmtId="0" fontId="0" fillId="78" borderId="70" xfId="0" applyFill="1" applyBorder="1" applyAlignment="1">
      <alignment horizontal="center" vertical="center" wrapText="1"/>
    </xf>
    <xf numFmtId="0" fontId="59" fillId="78" borderId="57" xfId="0" applyFont="1" applyFill="1" applyBorder="1" applyAlignment="1">
      <alignment horizontal="center" vertical="center" wrapText="1"/>
    </xf>
    <xf numFmtId="0" fontId="59" fillId="78" borderId="57" xfId="0" applyFont="1" applyFill="1" applyBorder="1" applyAlignment="1">
      <alignment horizontal="center" wrapText="1"/>
    </xf>
    <xf numFmtId="0" fontId="37" fillId="78" borderId="57" xfId="0" applyFont="1" applyFill="1" applyBorder="1" applyAlignment="1">
      <alignment vertical="center" wrapText="1"/>
    </xf>
    <xf numFmtId="0" fontId="46" fillId="78" borderId="57" xfId="0" applyFont="1" applyFill="1" applyBorder="1" applyAlignment="1">
      <alignment vertical="center" wrapText="1"/>
    </xf>
    <xf numFmtId="0" fontId="39" fillId="78" borderId="13" xfId="0" applyFont="1" applyFill="1" applyBorder="1" applyAlignment="1">
      <alignment vertical="center" wrapText="1"/>
    </xf>
    <xf numFmtId="0" fontId="0" fillId="78" borderId="16" xfId="0" applyFill="1" applyBorder="1" applyAlignment="1">
      <alignment wrapText="1"/>
    </xf>
    <xf numFmtId="0" fontId="0" fillId="78" borderId="16" xfId="0" applyFill="1" applyBorder="1" applyAlignment="1">
      <alignment vertical="center" wrapText="1"/>
    </xf>
    <xf numFmtId="10" fontId="0" fillId="78" borderId="16" xfId="4688" applyNumberFormat="1" applyFont="1" applyFill="1" applyBorder="1" applyAlignment="1">
      <alignment horizontal="center"/>
    </xf>
    <xf numFmtId="0" fontId="0" fillId="78" borderId="16" xfId="0" applyFill="1" applyBorder="1" applyAlignment="1">
      <alignment horizontal="center" wrapText="1"/>
    </xf>
    <xf numFmtId="10" fontId="0" fillId="78" borderId="16" xfId="0" applyNumberFormat="1" applyFill="1" applyBorder="1" applyAlignment="1">
      <alignment horizontal="center"/>
    </xf>
    <xf numFmtId="0" fontId="161" fillId="0" borderId="0" xfId="0" applyFont="1" applyFill="1" applyBorder="1" applyAlignment="1">
      <alignment vertical="center" wrapText="1"/>
    </xf>
    <xf numFmtId="0" fontId="0" fillId="0" borderId="120" xfId="0" applyBorder="1" applyAlignment="1">
      <alignment wrapText="1"/>
    </xf>
    <xf numFmtId="0" fontId="0" fillId="78" borderId="57" xfId="0" applyFill="1" applyBorder="1" applyAlignment="1">
      <alignment vertical="center"/>
    </xf>
    <xf numFmtId="0" fontId="37" fillId="78" borderId="57" xfId="0" applyFont="1" applyFill="1" applyBorder="1" applyAlignment="1">
      <alignment horizontal="left" vertical="center" wrapText="1"/>
    </xf>
    <xf numFmtId="0" fontId="37" fillId="78" borderId="57" xfId="0" applyFont="1" applyFill="1" applyBorder="1" applyAlignment="1">
      <alignment horizontal="justify" vertical="center"/>
    </xf>
    <xf numFmtId="0" fontId="46" fillId="78" borderId="57" xfId="0" quotePrefix="1" applyFont="1" applyFill="1" applyBorder="1" applyAlignment="1">
      <alignment horizontal="center" vertical="center" wrapText="1"/>
    </xf>
    <xf numFmtId="0" fontId="46" fillId="78" borderId="57" xfId="0" applyFont="1" applyFill="1" applyBorder="1" applyAlignment="1">
      <alignment horizontal="center" vertical="center" wrapText="1"/>
    </xf>
    <xf numFmtId="0" fontId="46" fillId="78" borderId="57" xfId="0" applyFont="1" applyFill="1" applyBorder="1" applyAlignment="1">
      <alignment horizontal="center" wrapText="1"/>
    </xf>
    <xf numFmtId="0" fontId="0" fillId="0" borderId="57" xfId="0" applyFill="1" applyBorder="1" applyAlignment="1">
      <alignment vertical="center" wrapText="1"/>
    </xf>
    <xf numFmtId="0" fontId="0" fillId="0" borderId="57" xfId="0" applyFill="1" applyBorder="1" applyAlignment="1">
      <alignment wrapText="1"/>
    </xf>
    <xf numFmtId="0" fontId="0" fillId="0" borderId="57" xfId="0" applyFill="1" applyBorder="1" applyAlignment="1">
      <alignment horizontal="left" vertical="center" wrapText="1"/>
    </xf>
    <xf numFmtId="0" fontId="46" fillId="78" borderId="13" xfId="0" applyFont="1" applyFill="1" applyBorder="1" applyAlignment="1">
      <alignment vertical="center" wrapText="1"/>
    </xf>
    <xf numFmtId="0" fontId="46" fillId="0" borderId="90" xfId="0" applyFont="1" applyFill="1" applyBorder="1" applyAlignment="1">
      <alignment vertical="center"/>
    </xf>
    <xf numFmtId="0" fontId="0" fillId="0" borderId="57" xfId="0" applyFill="1" applyBorder="1" applyAlignment="1">
      <alignment horizontal="justify" vertical="center"/>
    </xf>
    <xf numFmtId="0" fontId="40" fillId="78" borderId="13" xfId="0" applyFont="1" applyFill="1" applyBorder="1" applyAlignment="1">
      <alignment horizontal="center" vertical="center"/>
    </xf>
    <xf numFmtId="0" fontId="46" fillId="78" borderId="13" xfId="0" applyFont="1" applyFill="1" applyBorder="1" applyAlignment="1">
      <alignment vertical="center"/>
    </xf>
    <xf numFmtId="0" fontId="46" fillId="78" borderId="13" xfId="0" applyFont="1" applyFill="1" applyBorder="1" applyAlignment="1">
      <alignment horizontal="left" vertical="center" wrapText="1"/>
    </xf>
    <xf numFmtId="0" fontId="46" fillId="78" borderId="132" xfId="0" applyFont="1" applyFill="1" applyBorder="1" applyAlignment="1">
      <alignment vertical="center" wrapText="1"/>
    </xf>
    <xf numFmtId="0" fontId="0" fillId="78" borderId="123" xfId="0" applyFill="1" applyBorder="1"/>
    <xf numFmtId="10" fontId="0" fillId="0" borderId="0" xfId="0" applyNumberFormat="1" applyAlignment="1">
      <alignment horizontal="center" wrapText="1"/>
    </xf>
    <xf numFmtId="10" fontId="0" fillId="0" borderId="0" xfId="4688" applyNumberFormat="1" applyFont="1" applyAlignment="1">
      <alignment horizontal="center" wrapText="1"/>
    </xf>
    <xf numFmtId="9" fontId="0" fillId="0" borderId="118" xfId="4688" applyNumberFormat="1" applyFont="1" applyBorder="1"/>
    <xf numFmtId="9" fontId="0" fillId="0" borderId="57" xfId="0" applyNumberFormat="1" applyBorder="1" applyAlignment="1">
      <alignment horizontal="center" vertical="center" wrapText="1"/>
    </xf>
    <xf numFmtId="0" fontId="0" fillId="0" borderId="0" xfId="4688" applyNumberFormat="1" applyFont="1" applyFill="1" applyBorder="1"/>
    <xf numFmtId="0" fontId="0" fillId="78" borderId="10" xfId="0" applyFill="1" applyBorder="1"/>
    <xf numFmtId="37" fontId="0" fillId="0" borderId="10" xfId="0" applyNumberFormat="1" applyBorder="1"/>
    <xf numFmtId="0" fontId="0" fillId="78" borderId="10" xfId="0" applyFill="1" applyBorder="1" applyAlignment="1">
      <alignment horizontal="center" wrapText="1"/>
    </xf>
    <xf numFmtId="0" fontId="0" fillId="78" borderId="10" xfId="0" applyFill="1" applyBorder="1" applyAlignment="1">
      <alignment vertical="center" wrapText="1"/>
    </xf>
    <xf numFmtId="0" fontId="45" fillId="78" borderId="11" xfId="0" applyFont="1" applyFill="1" applyBorder="1" applyAlignment="1">
      <alignment horizontal="center" vertical="center" wrapText="1"/>
    </xf>
    <xf numFmtId="0" fontId="46" fillId="78" borderId="57" xfId="0" applyFont="1" applyFill="1" applyBorder="1" applyAlignment="1">
      <alignment wrapText="1"/>
    </xf>
    <xf numFmtId="0" fontId="0" fillId="78" borderId="83" xfId="0" applyFill="1" applyBorder="1" applyAlignment="1">
      <alignment vertical="center" wrapText="1"/>
    </xf>
    <xf numFmtId="0" fontId="0" fillId="0" borderId="57" xfId="0" applyBorder="1"/>
    <xf numFmtId="0" fontId="46" fillId="78" borderId="16" xfId="0" applyFont="1" applyFill="1" applyBorder="1" applyAlignment="1">
      <alignment vertical="center" wrapText="1"/>
    </xf>
    <xf numFmtId="0" fontId="0" fillId="78" borderId="11" xfId="0" applyFill="1" applyBorder="1" applyAlignment="1">
      <alignment vertical="center" wrapText="1"/>
    </xf>
    <xf numFmtId="4" fontId="0" fillId="0" borderId="57" xfId="4688" applyNumberFormat="1" applyFont="1" applyFill="1" applyBorder="1" applyAlignment="1">
      <alignment horizontal="center"/>
    </xf>
    <xf numFmtId="4" fontId="0" fillId="0" borderId="57" xfId="0" applyNumberFormat="1" applyBorder="1" applyAlignment="1">
      <alignment horizontal="center"/>
    </xf>
    <xf numFmtId="0" fontId="0" fillId="0" borderId="25" xfId="0" applyNumberFormat="1" applyFont="1" applyFill="1" applyBorder="1" applyAlignment="1">
      <alignment horizontal="center" vertical="center" wrapText="1"/>
    </xf>
    <xf numFmtId="164" fontId="0" fillId="0" borderId="0" xfId="439" applyNumberFormat="1" applyFont="1" applyFill="1" applyProtection="1"/>
    <xf numFmtId="0" fontId="0" fillId="0" borderId="0" xfId="0" applyNumberFormat="1" applyFont="1" applyFill="1" applyBorder="1" applyAlignment="1">
      <alignment horizontal="center"/>
    </xf>
    <xf numFmtId="0" fontId="63" fillId="0" borderId="0" xfId="0" applyFont="1" applyFill="1" applyBorder="1" applyAlignment="1">
      <alignment vertical="center" wrapText="1"/>
    </xf>
    <xf numFmtId="0" fontId="111" fillId="0" borderId="0" xfId="659" applyFont="1"/>
    <xf numFmtId="0" fontId="34" fillId="0" borderId="0" xfId="659"/>
    <xf numFmtId="1" fontId="196" fillId="0" borderId="0" xfId="659" applyNumberFormat="1" applyFont="1" applyAlignment="1">
      <alignment horizontal="center"/>
    </xf>
    <xf numFmtId="0" fontId="34" fillId="0" borderId="0" xfId="659" applyAlignment="1">
      <alignment horizontal="center"/>
    </xf>
    <xf numFmtId="3" fontId="198" fillId="0" borderId="0" xfId="440" applyNumberFormat="1" applyFont="1" applyFill="1" applyAlignment="1">
      <alignment horizontal="center"/>
    </xf>
    <xf numFmtId="4" fontId="34" fillId="0" borderId="0" xfId="659" applyNumberFormat="1"/>
    <xf numFmtId="164" fontId="34" fillId="0" borderId="0" xfId="440" applyNumberFormat="1" applyFont="1" applyFill="1"/>
    <xf numFmtId="43" fontId="34" fillId="0" borderId="0" xfId="439" applyFont="1" applyFill="1"/>
    <xf numFmtId="4" fontId="34" fillId="36" borderId="0" xfId="659" applyNumberFormat="1" applyFill="1"/>
    <xf numFmtId="4" fontId="0" fillId="0" borderId="0" xfId="0" applyNumberFormat="1"/>
    <xf numFmtId="43" fontId="34" fillId="0" borderId="0" xfId="440" applyFont="1"/>
    <xf numFmtId="39" fontId="34" fillId="0" borderId="0" xfId="440" applyNumberFormat="1" applyFont="1"/>
    <xf numFmtId="0" fontId="34" fillId="73" borderId="0" xfId="659" applyFill="1" applyAlignment="1">
      <alignment horizontal="center"/>
    </xf>
    <xf numFmtId="0" fontId="0" fillId="0" borderId="0" xfId="0"/>
    <xf numFmtId="0" fontId="0" fillId="0" borderId="0" xfId="0" applyAlignment="1">
      <alignment wrapText="1"/>
    </xf>
    <xf numFmtId="1" fontId="0" fillId="0" borderId="0" xfId="0" applyNumberFormat="1" applyAlignment="1">
      <alignment wrapText="1"/>
    </xf>
    <xf numFmtId="1" fontId="196" fillId="0" borderId="0" xfId="0" applyNumberFormat="1" applyFont="1" applyAlignment="1">
      <alignment horizontal="center"/>
    </xf>
    <xf numFmtId="1" fontId="197" fillId="0" borderId="0" xfId="0" applyNumberFormat="1" applyFont="1" applyAlignment="1">
      <alignment horizontal="center" vertical="center"/>
    </xf>
    <xf numFmtId="1" fontId="50" fillId="0" borderId="0" xfId="0" applyNumberFormat="1" applyFont="1" applyAlignment="1">
      <alignment horizontal="center" vertical="center"/>
    </xf>
    <xf numFmtId="0" fontId="196" fillId="0" borderId="0" xfId="0" applyFont="1" applyAlignment="1">
      <alignment horizontal="center"/>
    </xf>
    <xf numFmtId="1" fontId="198" fillId="0" borderId="0" xfId="0" applyNumberFormat="1" applyFont="1" applyAlignment="1">
      <alignment horizontal="center"/>
    </xf>
    <xf numFmtId="0" fontId="198" fillId="0" borderId="0" xfId="0" applyFont="1" applyAlignment="1">
      <alignment horizontal="center"/>
    </xf>
    <xf numFmtId="0" fontId="0" fillId="0" borderId="0" xfId="0" applyAlignment="1">
      <alignment horizontal="center"/>
    </xf>
    <xf numFmtId="3" fontId="198" fillId="0" borderId="0" xfId="439" applyNumberFormat="1" applyFont="1" applyFill="1" applyAlignment="1">
      <alignment horizontal="center"/>
    </xf>
    <xf numFmtId="3" fontId="60" fillId="0" borderId="0" xfId="0" applyNumberFormat="1" applyFont="1" applyAlignment="1">
      <alignment horizontal="center" vertical="center"/>
    </xf>
    <xf numFmtId="3" fontId="198" fillId="0" borderId="0" xfId="0" applyNumberFormat="1" applyFont="1" applyAlignment="1">
      <alignment horizontal="center"/>
    </xf>
    <xf numFmtId="164" fontId="0" fillId="0" borderId="0" xfId="439" applyNumberFormat="1" applyFont="1" applyFill="1" applyAlignment="1">
      <alignment horizontal="center"/>
    </xf>
    <xf numFmtId="4" fontId="198" fillId="0" borderId="0" xfId="0" applyNumberFormat="1" applyFont="1" applyAlignment="1">
      <alignment horizontal="center"/>
    </xf>
    <xf numFmtId="0" fontId="44" fillId="0" borderId="0" xfId="31723" applyFont="1" applyAlignment="1">
      <alignment horizontal="center"/>
    </xf>
    <xf numFmtId="38" fontId="0" fillId="0" borderId="0" xfId="0" applyNumberFormat="1"/>
    <xf numFmtId="38" fontId="63" fillId="0" borderId="0" xfId="0" applyNumberFormat="1" applyFont="1" applyAlignment="1">
      <alignment horizontal="right" vertical="center" wrapText="1"/>
    </xf>
    <xf numFmtId="10" fontId="0" fillId="0" borderId="0" xfId="0" applyNumberFormat="1"/>
    <xf numFmtId="2" fontId="63" fillId="0" borderId="0" xfId="0" applyNumberFormat="1" applyFont="1" applyAlignment="1">
      <alignment horizontal="center" vertical="center"/>
    </xf>
    <xf numFmtId="164" fontId="63" fillId="0" borderId="0" xfId="440" applyNumberFormat="1" applyFont="1" applyFill="1" applyAlignment="1" applyProtection="1">
      <alignment horizontal="center" vertical="center"/>
    </xf>
    <xf numFmtId="40" fontId="0" fillId="0" borderId="0" xfId="0" applyNumberFormat="1"/>
    <xf numFmtId="3" fontId="0" fillId="0" borderId="0" xfId="0" applyNumberFormat="1"/>
    <xf numFmtId="164" fontId="0" fillId="0" borderId="0" xfId="439" applyNumberFormat="1" applyFont="1" applyFill="1"/>
    <xf numFmtId="0" fontId="34" fillId="0" borderId="0" xfId="31723"/>
    <xf numFmtId="164" fontId="45" fillId="22" borderId="0" xfId="439" applyNumberFormat="1" applyFont="1" applyFill="1" applyAlignment="1" applyProtection="1">
      <alignment horizontal="center" vertical="center" wrapText="1"/>
    </xf>
    <xf numFmtId="41" fontId="71" fillId="0" borderId="0" xfId="439" applyNumberFormat="1" applyFont="1" applyFill="1" applyAlignment="1" applyProtection="1">
      <alignment horizontal="center" vertical="center" wrapText="1"/>
      <protection locked="0"/>
    </xf>
    <xf numFmtId="0" fontId="134" fillId="26" borderId="0" xfId="30099" applyFont="1" applyFill="1" applyAlignment="1">
      <alignment horizontal="left" wrapText="1"/>
    </xf>
    <xf numFmtId="0" fontId="128" fillId="26" borderId="0" xfId="30099" applyFont="1" applyFill="1" applyAlignment="1">
      <alignment horizontal="left" vertical="top" wrapText="1"/>
    </xf>
    <xf numFmtId="0" fontId="63" fillId="0" borderId="45" xfId="0" applyNumberFormat="1" applyFont="1" applyFill="1" applyBorder="1" applyAlignment="1" applyProtection="1">
      <alignment vertical="center" wrapText="1"/>
    </xf>
    <xf numFmtId="38" fontId="45" fillId="0" borderId="0" xfId="439" applyNumberFormat="1" applyFont="1" applyFill="1" applyAlignment="1" applyProtection="1">
      <alignment vertical="center" wrapText="1"/>
    </xf>
    <xf numFmtId="37" fontId="39" fillId="29" borderId="0" xfId="439" applyNumberFormat="1" applyFont="1" applyFill="1" applyAlignment="1" applyProtection="1">
      <alignment vertical="center"/>
      <protection locked="0"/>
    </xf>
    <xf numFmtId="3" fontId="0" fillId="0" borderId="0" xfId="0" applyNumberFormat="1" applyFont="1" applyFill="1" applyAlignment="1" applyProtection="1"/>
    <xf numFmtId="0" fontId="0" fillId="0" borderId="0" xfId="0" applyFont="1" applyFill="1" applyAlignment="1" applyProtection="1"/>
    <xf numFmtId="0" fontId="0" fillId="0" borderId="0" xfId="0" applyFont="1" applyAlignment="1"/>
    <xf numFmtId="0" fontId="0" fillId="0" borderId="45" xfId="0" applyNumberFormat="1" applyFont="1" applyFill="1" applyBorder="1" applyAlignment="1" applyProtection="1">
      <alignment vertical="center"/>
    </xf>
    <xf numFmtId="0" fontId="0" fillId="0" borderId="0" xfId="0" applyFont="1" applyAlignment="1" applyProtection="1"/>
    <xf numFmtId="0" fontId="0" fillId="0" borderId="0" xfId="0" applyNumberFormat="1" applyFont="1" applyFill="1" applyAlignment="1" applyProtection="1">
      <alignment vertical="center"/>
    </xf>
    <xf numFmtId="164" fontId="34" fillId="0" borderId="0" xfId="439" applyNumberFormat="1" applyFont="1" applyFill="1" applyAlignment="1">
      <alignment wrapText="1"/>
    </xf>
    <xf numFmtId="1" fontId="197" fillId="20" borderId="0" xfId="439" applyNumberFormat="1" applyFont="1" applyFill="1" applyAlignment="1" applyProtection="1">
      <alignment horizontal="center" vertical="center"/>
    </xf>
    <xf numFmtId="1" fontId="50" fillId="20" borderId="0" xfId="439" applyNumberFormat="1" applyFont="1" applyFill="1" applyAlignment="1" applyProtection="1">
      <alignment horizontal="center" vertical="center"/>
    </xf>
    <xf numFmtId="1" fontId="196" fillId="20" borderId="0" xfId="439" applyNumberFormat="1" applyFont="1" applyFill="1" applyAlignment="1">
      <alignment horizontal="center"/>
    </xf>
    <xf numFmtId="1" fontId="198" fillId="20" borderId="0" xfId="439" applyNumberFormat="1" applyFont="1" applyFill="1" applyAlignment="1">
      <alignment horizontal="center"/>
    </xf>
    <xf numFmtId="0" fontId="128" fillId="26" borderId="0" xfId="30099" applyFont="1" applyFill="1" applyAlignment="1">
      <alignment horizontal="left" vertical="center" wrapText="1"/>
    </xf>
    <xf numFmtId="0" fontId="34" fillId="0" borderId="0" xfId="31254"/>
    <xf numFmtId="1" fontId="34" fillId="0" borderId="0" xfId="31254" applyNumberFormat="1" applyFill="1"/>
    <xf numFmtId="0" fontId="34" fillId="0" borderId="0" xfId="31254" applyFill="1"/>
    <xf numFmtId="4" fontId="34" fillId="0" borderId="0" xfId="31254" applyNumberFormat="1" applyFill="1"/>
    <xf numFmtId="0" fontId="34" fillId="0" borderId="0" xfId="31254" applyNumberFormat="1" applyFill="1"/>
    <xf numFmtId="0" fontId="111" fillId="0" borderId="0" xfId="31254" applyFont="1" applyFill="1"/>
    <xf numFmtId="0" fontId="39" fillId="0" borderId="0" xfId="683" applyFont="1" applyFill="1" applyAlignment="1" applyProtection="1">
      <alignment vertical="center" wrapText="1"/>
      <protection locked="0"/>
    </xf>
    <xf numFmtId="0" fontId="85" fillId="0" borderId="0" xfId="841" applyFont="1" applyFill="1" applyAlignment="1">
      <alignment horizontal="left" vertical="center" wrapText="1"/>
    </xf>
    <xf numFmtId="3" fontId="199" fillId="0" borderId="0" xfId="1540" applyFont="1" applyFill="1" applyAlignment="1" applyProtection="1">
      <alignment vertical="center" wrapText="1"/>
    </xf>
    <xf numFmtId="0" fontId="39" fillId="0" borderId="0" xfId="683" applyFont="1" applyFill="1" applyAlignment="1" applyProtection="1">
      <alignment vertical="center" wrapText="1"/>
    </xf>
    <xf numFmtId="1" fontId="34" fillId="0" borderId="0" xfId="31254" applyNumberFormat="1" applyFill="1" applyAlignment="1">
      <alignment wrapText="1"/>
    </xf>
    <xf numFmtId="166" fontId="60" fillId="0" borderId="0" xfId="31254" applyNumberFormat="1" applyFont="1" applyFill="1" applyAlignment="1" applyProtection="1">
      <alignment horizontal="center" vertical="center"/>
    </xf>
    <xf numFmtId="166" fontId="39" fillId="0" borderId="0" xfId="440" applyNumberFormat="1" applyFont="1" applyFill="1" applyAlignment="1" applyProtection="1">
      <alignment horizontal="center" vertical="center"/>
    </xf>
    <xf numFmtId="166" fontId="60" fillId="0" borderId="0" xfId="440" applyNumberFormat="1" applyFont="1" applyFill="1" applyAlignment="1" applyProtection="1">
      <alignment horizontal="center" vertical="center"/>
    </xf>
    <xf numFmtId="166" fontId="198" fillId="0" borderId="0" xfId="31254" applyNumberFormat="1" applyFont="1" applyFill="1" applyAlignment="1">
      <alignment horizontal="center"/>
    </xf>
    <xf numFmtId="166" fontId="196" fillId="0" borderId="0" xfId="31254" applyNumberFormat="1" applyFont="1" applyFill="1" applyAlignment="1">
      <alignment horizontal="center"/>
    </xf>
    <xf numFmtId="0" fontId="34" fillId="0" borderId="0" xfId="31254" applyFill="1" applyAlignment="1">
      <alignment wrapText="1"/>
    </xf>
    <xf numFmtId="0" fontId="200" fillId="0" borderId="0" xfId="31254" applyNumberFormat="1" applyFont="1" applyFill="1" applyAlignment="1" applyProtection="1">
      <alignment horizontal="left" vertical="center" wrapText="1"/>
    </xf>
    <xf numFmtId="38" fontId="60" fillId="0" borderId="0" xfId="31254" applyNumberFormat="1" applyFont="1" applyFill="1" applyAlignment="1" applyProtection="1">
      <alignment horizontal="center" vertical="center"/>
    </xf>
    <xf numFmtId="38" fontId="39" fillId="0" borderId="0" xfId="440" applyNumberFormat="1" applyFont="1" applyFill="1" applyAlignment="1" applyProtection="1">
      <alignment horizontal="center" vertical="center"/>
    </xf>
    <xf numFmtId="38" fontId="60" fillId="0" borderId="0" xfId="440" applyNumberFormat="1" applyFont="1" applyFill="1" applyAlignment="1" applyProtection="1">
      <alignment horizontal="center" vertical="center"/>
    </xf>
    <xf numFmtId="38" fontId="198" fillId="0" borderId="0" xfId="31254" applyNumberFormat="1" applyFont="1" applyFill="1" applyAlignment="1">
      <alignment horizontal="center"/>
    </xf>
    <xf numFmtId="38" fontId="196" fillId="0" borderId="0" xfId="31254" applyNumberFormat="1" applyFont="1" applyFill="1" applyAlignment="1">
      <alignment horizontal="center"/>
    </xf>
    <xf numFmtId="0" fontId="34" fillId="73" borderId="0" xfId="31254" applyFill="1"/>
    <xf numFmtId="0" fontId="39" fillId="73" borderId="0" xfId="703" applyNumberFormat="1" applyFont="1" applyFill="1" applyBorder="1" applyAlignment="1" applyProtection="1">
      <alignment horizontal="center" vertical="center"/>
    </xf>
    <xf numFmtId="0" fontId="33" fillId="73" borderId="0" xfId="703" applyFont="1" applyFill="1" applyBorder="1" applyAlignment="1" applyProtection="1">
      <alignment vertical="center" wrapText="1"/>
    </xf>
    <xf numFmtId="166" fontId="60" fillId="73" borderId="0" xfId="31254" applyNumberFormat="1" applyFont="1" applyFill="1" applyAlignment="1" applyProtection="1">
      <alignment horizontal="center" vertical="center"/>
    </xf>
    <xf numFmtId="166" fontId="39" fillId="73" borderId="0" xfId="440" applyNumberFormat="1" applyFont="1" applyFill="1" applyAlignment="1" applyProtection="1">
      <alignment horizontal="center" vertical="center"/>
    </xf>
    <xf numFmtId="166" fontId="60" fillId="73" borderId="0" xfId="440" applyNumberFormat="1" applyFont="1" applyFill="1" applyAlignment="1" applyProtection="1">
      <alignment horizontal="center" vertical="center"/>
    </xf>
    <xf numFmtId="166" fontId="198" fillId="73" borderId="0" xfId="31254" applyNumberFormat="1" applyFont="1" applyFill="1" applyAlignment="1">
      <alignment horizontal="center"/>
    </xf>
    <xf numFmtId="166" fontId="196" fillId="73" borderId="0" xfId="31254" applyNumberFormat="1" applyFont="1" applyFill="1" applyAlignment="1">
      <alignment horizontal="center"/>
    </xf>
    <xf numFmtId="1" fontId="34" fillId="73" borderId="0" xfId="31254" applyNumberFormat="1" applyFill="1"/>
    <xf numFmtId="166" fontId="60" fillId="73" borderId="0" xfId="31254" applyNumberFormat="1" applyFont="1" applyFill="1" applyAlignment="1" applyProtection="1">
      <alignment horizontal="left" vertical="center" wrapText="1"/>
    </xf>
    <xf numFmtId="166" fontId="34" fillId="73" borderId="0" xfId="31254" applyNumberFormat="1" applyFill="1"/>
    <xf numFmtId="0" fontId="60" fillId="73" borderId="0" xfId="31254" applyNumberFormat="1" applyFont="1" applyFill="1" applyAlignment="1" applyProtection="1">
      <alignment horizontal="left" vertical="center" wrapText="1"/>
    </xf>
    <xf numFmtId="38" fontId="60" fillId="73" borderId="0" xfId="31254" applyNumberFormat="1" applyFont="1" applyFill="1" applyAlignment="1" applyProtection="1">
      <alignment horizontal="center" vertical="center"/>
    </xf>
    <xf numFmtId="38" fontId="39" fillId="73" borderId="0" xfId="440" applyNumberFormat="1" applyFont="1" applyFill="1" applyAlignment="1" applyProtection="1">
      <alignment horizontal="center" vertical="center"/>
    </xf>
    <xf numFmtId="38" fontId="60" fillId="73" borderId="0" xfId="440" applyNumberFormat="1" applyFont="1" applyFill="1" applyAlignment="1" applyProtection="1">
      <alignment horizontal="center" vertical="center"/>
    </xf>
    <xf numFmtId="38" fontId="198" fillId="73" borderId="0" xfId="31254" applyNumberFormat="1" applyFont="1" applyFill="1" applyAlignment="1">
      <alignment horizontal="center"/>
    </xf>
    <xf numFmtId="38" fontId="196" fillId="73" borderId="0" xfId="31254" applyNumberFormat="1" applyFont="1" applyFill="1" applyAlignment="1">
      <alignment horizontal="center"/>
    </xf>
    <xf numFmtId="0" fontId="33" fillId="0" borderId="23" xfId="701" applyFont="1" applyFill="1" applyBorder="1" applyAlignment="1" applyProtection="1">
      <alignment vertical="center" wrapText="1"/>
    </xf>
    <xf numFmtId="0" fontId="44" fillId="0" borderId="0" xfId="31254" applyNumberFormat="1" applyFont="1" applyFill="1" applyAlignment="1">
      <alignment horizontal="right"/>
    </xf>
    <xf numFmtId="0" fontId="39" fillId="0" borderId="0" xfId="678" applyFont="1" applyFill="1"/>
    <xf numFmtId="0" fontId="33" fillId="0" borderId="0" xfId="678" applyFill="1"/>
    <xf numFmtId="185" fontId="198" fillId="0" borderId="0" xfId="31254" applyNumberFormat="1" applyFont="1" applyFill="1" applyAlignment="1">
      <alignment horizontal="center"/>
    </xf>
    <xf numFmtId="0" fontId="198" fillId="0" borderId="0" xfId="31254" applyNumberFormat="1" applyFont="1" applyFill="1" applyAlignment="1">
      <alignment horizontal="center"/>
    </xf>
    <xf numFmtId="1" fontId="198" fillId="0" borderId="0" xfId="31254" applyNumberFormat="1" applyFont="1" applyFill="1" applyAlignment="1">
      <alignment horizontal="center"/>
    </xf>
    <xf numFmtId="0" fontId="196" fillId="0" borderId="0" xfId="31254" applyNumberFormat="1" applyFont="1" applyFill="1" applyAlignment="1">
      <alignment horizontal="center"/>
    </xf>
    <xf numFmtId="1" fontId="50" fillId="0" borderId="0" xfId="31254" applyNumberFormat="1" applyFont="1" applyFill="1" applyAlignment="1" applyProtection="1">
      <alignment horizontal="center" vertical="center"/>
    </xf>
    <xf numFmtId="1" fontId="197" fillId="0" borderId="0" xfId="31254" applyNumberFormat="1" applyFont="1" applyFill="1" applyAlignment="1" applyProtection="1">
      <alignment horizontal="center" vertical="center"/>
    </xf>
    <xf numFmtId="1" fontId="196" fillId="0" borderId="0" xfId="31254" applyNumberFormat="1" applyFont="1" applyFill="1" applyAlignment="1">
      <alignment horizontal="center"/>
    </xf>
    <xf numFmtId="0" fontId="60" fillId="0" borderId="0" xfId="31254" applyNumberFormat="1" applyFont="1" applyFill="1" applyAlignment="1" applyProtection="1">
      <alignment horizontal="left" vertical="center" wrapText="1"/>
    </xf>
    <xf numFmtId="185" fontId="60" fillId="0" borderId="0" xfId="31254" applyNumberFormat="1" applyFont="1" applyFill="1" applyAlignment="1" applyProtection="1">
      <alignment horizontal="center" vertical="center"/>
    </xf>
    <xf numFmtId="185" fontId="39" fillId="0" borderId="0" xfId="440" applyNumberFormat="1" applyFont="1" applyFill="1" applyAlignment="1" applyProtection="1">
      <alignment horizontal="center" vertical="center"/>
    </xf>
    <xf numFmtId="185" fontId="60" fillId="0" borderId="0" xfId="440" applyNumberFormat="1" applyFont="1" applyFill="1" applyAlignment="1" applyProtection="1">
      <alignment horizontal="center" vertical="center"/>
    </xf>
    <xf numFmtId="185" fontId="196" fillId="0" borderId="0" xfId="31254" applyNumberFormat="1" applyFont="1" applyFill="1" applyAlignment="1">
      <alignment horizontal="center"/>
    </xf>
    <xf numFmtId="0" fontId="39" fillId="0" borderId="0" xfId="703" applyNumberFormat="1" applyFont="1" applyFill="1" applyBorder="1" applyAlignment="1" applyProtection="1">
      <alignment horizontal="center" vertical="center"/>
    </xf>
    <xf numFmtId="0" fontId="33" fillId="0" borderId="0" xfId="703" applyFont="1" applyFill="1" applyBorder="1" applyAlignment="1" applyProtection="1">
      <alignment vertical="center" wrapText="1"/>
    </xf>
    <xf numFmtId="0" fontId="33" fillId="34" borderId="0" xfId="622" applyFill="1" applyAlignment="1">
      <alignment wrapText="1"/>
    </xf>
    <xf numFmtId="0" fontId="34" fillId="34" borderId="0" xfId="31254" applyNumberFormat="1" applyFill="1"/>
    <xf numFmtId="0" fontId="33" fillId="34" borderId="0" xfId="622" applyFont="1" applyFill="1" applyAlignment="1">
      <alignment wrapText="1"/>
    </xf>
    <xf numFmtId="40" fontId="34" fillId="0" borderId="0" xfId="31254" applyNumberFormat="1"/>
    <xf numFmtId="0" fontId="34" fillId="0" borderId="0" xfId="31254" applyAlignment="1">
      <alignment wrapText="1"/>
    </xf>
    <xf numFmtId="38" fontId="198" fillId="34" borderId="0" xfId="31254" applyNumberFormat="1" applyFont="1" applyFill="1" applyAlignment="1">
      <alignment horizontal="center"/>
    </xf>
    <xf numFmtId="38" fontId="60" fillId="34" borderId="0" xfId="440" applyNumberFormat="1" applyFont="1" applyFill="1" applyAlignment="1" applyProtection="1">
      <alignment horizontal="center" vertical="center"/>
    </xf>
    <xf numFmtId="38" fontId="60" fillId="34" borderId="0" xfId="31254" applyNumberFormat="1" applyFont="1" applyFill="1" applyAlignment="1" applyProtection="1">
      <alignment horizontal="center" vertical="center"/>
    </xf>
    <xf numFmtId="38" fontId="39" fillId="34" borderId="0" xfId="440" applyNumberFormat="1" applyFont="1" applyFill="1" applyAlignment="1" applyProtection="1">
      <alignment horizontal="center" vertical="center"/>
    </xf>
    <xf numFmtId="38" fontId="196" fillId="34" borderId="0" xfId="31254" applyNumberFormat="1" applyFont="1" applyFill="1" applyAlignment="1">
      <alignment horizontal="center"/>
    </xf>
    <xf numFmtId="0" fontId="34" fillId="0" borderId="0" xfId="31254" applyFill="1" applyAlignment="1">
      <alignment horizontal="center"/>
    </xf>
    <xf numFmtId="0" fontId="34" fillId="0" borderId="0" xfId="31254" applyFill="1" applyBorder="1"/>
    <xf numFmtId="0" fontId="34" fillId="0" borderId="0" xfId="31254" applyAlignment="1">
      <alignment horizontal="center"/>
    </xf>
    <xf numFmtId="0" fontId="34" fillId="0" borderId="0" xfId="31254" applyNumberFormat="1" applyFill="1" applyBorder="1"/>
    <xf numFmtId="0" fontId="34" fillId="34" borderId="0" xfId="31254" applyFill="1"/>
    <xf numFmtId="1" fontId="34" fillId="34" borderId="0" xfId="31254" applyNumberFormat="1" applyFill="1"/>
    <xf numFmtId="0" fontId="60" fillId="34" borderId="0" xfId="31254" applyNumberFormat="1" applyFont="1" applyFill="1" applyAlignment="1" applyProtection="1">
      <alignment horizontal="left" vertical="center" wrapText="1"/>
    </xf>
    <xf numFmtId="0" fontId="33" fillId="0" borderId="0" xfId="701" applyFont="1" applyFill="1" applyBorder="1" applyAlignment="1" applyProtection="1">
      <alignment vertical="center" wrapText="1"/>
    </xf>
    <xf numFmtId="38" fontId="34" fillId="0" borderId="0" xfId="31254" applyNumberFormat="1"/>
    <xf numFmtId="38" fontId="63" fillId="0" borderId="0" xfId="31254" applyNumberFormat="1" applyFont="1" applyAlignment="1">
      <alignment horizontal="right" vertical="center" wrapText="1"/>
    </xf>
    <xf numFmtId="10" fontId="34" fillId="0" borderId="0" xfId="31254" applyNumberFormat="1"/>
    <xf numFmtId="2" fontId="63" fillId="0" borderId="0" xfId="31254" applyNumberFormat="1" applyFont="1" applyAlignment="1">
      <alignment horizontal="center" vertical="center"/>
    </xf>
    <xf numFmtId="164" fontId="63" fillId="0" borderId="0" xfId="440" applyNumberFormat="1" applyFont="1" applyFill="1" applyAlignment="1" applyProtection="1">
      <alignment horizontal="center" vertical="center"/>
    </xf>
    <xf numFmtId="40" fontId="34" fillId="86" borderId="0" xfId="31254" applyNumberFormat="1" applyFill="1"/>
    <xf numFmtId="0" fontId="34" fillId="86" borderId="0" xfId="31254" applyFill="1"/>
    <xf numFmtId="49" fontId="11" fillId="0" borderId="0" xfId="1050" applyNumberFormat="1" applyAlignment="1">
      <alignment horizontal="left"/>
    </xf>
    <xf numFmtId="166" fontId="34" fillId="36" borderId="0" xfId="31254" applyNumberFormat="1" applyFill="1"/>
    <xf numFmtId="0" fontId="34" fillId="36" borderId="0" xfId="31254" applyFill="1" applyAlignment="1">
      <alignment horizontal="center"/>
    </xf>
    <xf numFmtId="1" fontId="34" fillId="36" borderId="0" xfId="31254" applyNumberFormat="1" applyFill="1"/>
    <xf numFmtId="166" fontId="60" fillId="36" borderId="0" xfId="31254" applyNumberFormat="1" applyFont="1" applyFill="1" applyAlignment="1" applyProtection="1">
      <alignment horizontal="left" vertical="center" wrapText="1"/>
    </xf>
    <xf numFmtId="166" fontId="60" fillId="36" borderId="0" xfId="31254" applyNumberFormat="1" applyFont="1" applyFill="1" applyAlignment="1" applyProtection="1">
      <alignment horizontal="center" vertical="center"/>
    </xf>
    <xf numFmtId="166" fontId="39" fillId="36" borderId="0" xfId="440" applyNumberFormat="1" applyFont="1" applyFill="1" applyAlignment="1" applyProtection="1">
      <alignment horizontal="center" vertical="center"/>
    </xf>
    <xf numFmtId="166" fontId="60" fillId="36" borderId="0" xfId="440" applyNumberFormat="1" applyFont="1" applyFill="1" applyAlignment="1" applyProtection="1">
      <alignment horizontal="center" vertical="center"/>
    </xf>
    <xf numFmtId="166" fontId="198" fillId="36" borderId="0" xfId="31254" applyNumberFormat="1" applyFont="1" applyFill="1" applyAlignment="1">
      <alignment horizontal="center"/>
    </xf>
    <xf numFmtId="166" fontId="196" fillId="36" borderId="0" xfId="31254" applyNumberFormat="1" applyFont="1" applyFill="1" applyAlignment="1">
      <alignment horizontal="center"/>
    </xf>
    <xf numFmtId="0" fontId="34" fillId="36" borderId="0" xfId="31254" applyFill="1"/>
    <xf numFmtId="40" fontId="34" fillId="36" borderId="0" xfId="31254" applyNumberFormat="1" applyFill="1"/>
    <xf numFmtId="0" fontId="132" fillId="78" borderId="15" xfId="30099" applyFont="1" applyFill="1" applyBorder="1" applyAlignment="1">
      <alignment vertical="top"/>
    </xf>
    <xf numFmtId="0" fontId="132" fillId="78" borderId="0" xfId="30099" applyFont="1" applyFill="1" applyAlignment="1">
      <alignment vertical="top"/>
    </xf>
    <xf numFmtId="0" fontId="133" fillId="78" borderId="0" xfId="30099" applyFont="1" applyFill="1" applyAlignment="1">
      <alignment vertical="top"/>
    </xf>
    <xf numFmtId="0" fontId="133" fillId="78" borderId="60" xfId="30099" applyFont="1" applyFill="1" applyBorder="1" applyAlignment="1">
      <alignment vertical="top"/>
    </xf>
    <xf numFmtId="0" fontId="206" fillId="77" borderId="57" xfId="0" applyFont="1" applyFill="1" applyBorder="1" applyAlignment="1">
      <alignment horizontal="center" vertical="center" wrapText="1"/>
    </xf>
    <xf numFmtId="0" fontId="207" fillId="73" borderId="0" xfId="0" applyFont="1" applyFill="1" applyAlignment="1">
      <alignment horizontal="justify" vertical="center"/>
    </xf>
    <xf numFmtId="0" fontId="207" fillId="73" borderId="0" xfId="0" applyFont="1" applyFill="1" applyAlignment="1">
      <alignment vertical="center"/>
    </xf>
    <xf numFmtId="0" fontId="207" fillId="73" borderId="0" xfId="0" applyFont="1" applyFill="1" applyAlignment="1">
      <alignment vertical="center" wrapText="1"/>
    </xf>
    <xf numFmtId="0" fontId="211" fillId="73" borderId="0" xfId="611" applyFont="1" applyFill="1" applyAlignment="1">
      <alignment vertical="center"/>
    </xf>
    <xf numFmtId="0" fontId="212" fillId="73" borderId="0" xfId="0" applyFont="1" applyFill="1" applyAlignment="1">
      <alignment vertical="center"/>
    </xf>
    <xf numFmtId="0" fontId="213" fillId="73" borderId="0" xfId="611" applyFont="1" applyFill="1" applyAlignment="1" applyProtection="1">
      <alignment vertical="center"/>
      <protection locked="0"/>
    </xf>
    <xf numFmtId="0" fontId="212" fillId="73" borderId="0" xfId="0" applyFont="1" applyFill="1"/>
    <xf numFmtId="0" fontId="213" fillId="73" borderId="0" xfId="611" applyFont="1" applyFill="1" applyProtection="1">
      <protection locked="0"/>
    </xf>
    <xf numFmtId="0" fontId="120" fillId="73" borderId="0" xfId="30098" applyFont="1" applyFill="1" applyAlignment="1">
      <alignment horizontal="left" vertical="center" wrapText="1" indent="1"/>
    </xf>
    <xf numFmtId="0" fontId="120" fillId="73" borderId="0" xfId="30098" quotePrefix="1" applyFont="1" applyFill="1" applyAlignment="1">
      <alignment horizontal="left" vertical="center" wrapText="1" indent="1"/>
    </xf>
    <xf numFmtId="0" fontId="216" fillId="73" borderId="0" xfId="30098" applyFont="1" applyFill="1" applyAlignment="1">
      <alignment vertical="center" wrapText="1"/>
    </xf>
    <xf numFmtId="0" fontId="207" fillId="73" borderId="0" xfId="30098" applyFont="1" applyFill="1" applyAlignment="1">
      <alignment vertical="center" wrapText="1"/>
    </xf>
    <xf numFmtId="0" fontId="213" fillId="73" borderId="0" xfId="611" applyFont="1" applyFill="1" applyAlignment="1">
      <alignment vertical="center"/>
    </xf>
    <xf numFmtId="14" fontId="0" fillId="0" borderId="0" xfId="0" applyNumberFormat="1" applyFont="1" applyProtection="1"/>
    <xf numFmtId="38" fontId="0" fillId="34" borderId="0" xfId="0" applyNumberFormat="1" applyFill="1" applyAlignment="1" applyProtection="1">
      <alignment vertical="center" wrapText="1"/>
      <protection locked="0"/>
    </xf>
    <xf numFmtId="0" fontId="0" fillId="34" borderId="25" xfId="0" applyNumberFormat="1" applyFont="1" applyFill="1" applyBorder="1" applyAlignment="1" applyProtection="1">
      <alignment horizontal="center" vertical="center" wrapText="1"/>
    </xf>
    <xf numFmtId="164" fontId="58" fillId="34" borderId="29" xfId="439" applyNumberFormat="1" applyFont="1" applyFill="1" applyBorder="1" applyAlignment="1" applyProtection="1">
      <alignment horizontal="center" vertical="center" wrapText="1"/>
    </xf>
    <xf numFmtId="0" fontId="193" fillId="0" borderId="0" xfId="0" applyFont="1"/>
    <xf numFmtId="0" fontId="0" fillId="0" borderId="0" xfId="0" applyAlignment="1">
      <alignment vertical="center"/>
    </xf>
    <xf numFmtId="0" fontId="35" fillId="0" borderId="0" xfId="611"/>
    <xf numFmtId="0" fontId="145" fillId="26" borderId="0" xfId="30099" applyFont="1" applyFill="1" applyAlignment="1">
      <alignment horizontal="right" vertical="center" wrapText="1"/>
    </xf>
    <xf numFmtId="0" fontId="128" fillId="26" borderId="0" xfId="30099" applyFont="1" applyFill="1" applyAlignment="1">
      <alignment horizontal="left" vertical="top" wrapText="1"/>
    </xf>
    <xf numFmtId="0" fontId="150" fillId="26" borderId="0" xfId="30099" applyFont="1" applyFill="1" applyAlignment="1">
      <alignment vertical="center" wrapText="1"/>
    </xf>
    <xf numFmtId="0" fontId="154" fillId="26" borderId="0" xfId="30099" applyFont="1" applyFill="1" applyAlignment="1">
      <alignment horizontal="left" vertical="center" wrapText="1"/>
    </xf>
    <xf numFmtId="0" fontId="0" fillId="0" borderId="38" xfId="0" applyFont="1" applyBorder="1" applyAlignment="1">
      <alignment horizontal="left" wrapText="1"/>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39" fillId="0" borderId="13" xfId="0" applyFont="1" applyBorder="1" applyAlignment="1">
      <alignment horizontal="center"/>
    </xf>
    <xf numFmtId="0" fontId="39" fillId="0" borderId="16" xfId="0" applyFont="1" applyBorder="1" applyAlignment="1">
      <alignment horizontal="center"/>
    </xf>
    <xf numFmtId="0" fontId="39" fillId="0" borderId="11" xfId="0" applyFont="1" applyBorder="1" applyAlignment="1">
      <alignment horizontal="center"/>
    </xf>
    <xf numFmtId="0" fontId="59" fillId="74" borderId="112" xfId="0" applyFont="1" applyFill="1" applyBorder="1" applyAlignment="1">
      <alignment horizontal="center" vertical="center" wrapText="1"/>
    </xf>
    <xf numFmtId="0" fontId="142" fillId="26" borderId="0" xfId="30099" applyFont="1" applyFill="1" applyAlignment="1">
      <alignment horizontal="left" vertical="center" wrapText="1"/>
    </xf>
    <xf numFmtId="0" fontId="128" fillId="0" borderId="66" xfId="30099" applyFont="1" applyBorder="1" applyAlignment="1" applyProtection="1">
      <alignment horizontal="left" vertical="center"/>
      <protection locked="0"/>
    </xf>
    <xf numFmtId="0" fontId="128" fillId="0" borderId="67" xfId="30099" applyFont="1" applyBorder="1" applyAlignment="1" applyProtection="1">
      <alignment horizontal="left" vertical="center"/>
      <protection locked="0"/>
    </xf>
    <xf numFmtId="0" fontId="128" fillId="0" borderId="68" xfId="30099" applyFont="1" applyBorder="1" applyAlignment="1" applyProtection="1">
      <alignment horizontal="left" vertical="center"/>
      <protection locked="0"/>
    </xf>
    <xf numFmtId="0" fontId="128" fillId="26" borderId="0" xfId="30099" applyFont="1" applyFill="1" applyAlignment="1">
      <alignment horizontal="left" vertical="center" wrapText="1"/>
    </xf>
    <xf numFmtId="0" fontId="118" fillId="0" borderId="66" xfId="29597" applyFill="1" applyBorder="1" applyAlignment="1" applyProtection="1">
      <alignment horizontal="left" vertical="center"/>
      <protection locked="0"/>
    </xf>
    <xf numFmtId="0" fontId="145" fillId="0" borderId="66" xfId="30099" applyFont="1" applyBorder="1" applyAlignment="1" applyProtection="1">
      <alignment horizontal="left" vertical="center"/>
      <protection locked="0"/>
    </xf>
    <xf numFmtId="0" fontId="145" fillId="0" borderId="67" xfId="30099" applyFont="1" applyBorder="1" applyAlignment="1" applyProtection="1">
      <alignment horizontal="left" vertical="center"/>
      <protection locked="0"/>
    </xf>
    <xf numFmtId="0" fontId="145" fillId="0" borderId="68" xfId="30099" applyFont="1" applyBorder="1" applyAlignment="1" applyProtection="1">
      <alignment horizontal="left" vertical="center"/>
      <protection locked="0"/>
    </xf>
    <xf numFmtId="0" fontId="128" fillId="0" borderId="13" xfId="30099" applyFont="1" applyBorder="1" applyAlignment="1" applyProtection="1">
      <alignment horizontal="left" vertical="center"/>
      <protection locked="0"/>
    </xf>
    <xf numFmtId="0" fontId="128" fillId="0" borderId="11" xfId="30099" applyFont="1" applyBorder="1" applyAlignment="1" applyProtection="1">
      <alignment horizontal="left" vertical="center"/>
      <protection locked="0"/>
    </xf>
    <xf numFmtId="0" fontId="144" fillId="26" borderId="0" xfId="30099" applyFont="1" applyFill="1" applyAlignment="1">
      <alignment horizontal="center" vertical="center" wrapText="1"/>
    </xf>
    <xf numFmtId="0" fontId="140" fillId="26" borderId="15" xfId="30099" applyFont="1" applyFill="1" applyBorder="1" applyAlignment="1">
      <alignment horizontal="center" vertical="top"/>
    </xf>
    <xf numFmtId="0" fontId="140" fillId="26" borderId="0" xfId="30099" applyFont="1" applyFill="1" applyAlignment="1">
      <alignment horizontal="center" vertical="top"/>
    </xf>
    <xf numFmtId="0" fontId="140" fillId="26" borderId="0" xfId="30099" applyFont="1" applyFill="1" applyAlignment="1">
      <alignment horizontal="center" vertical="top" wrapText="1"/>
    </xf>
    <xf numFmtId="0" fontId="128" fillId="26" borderId="0" xfId="30099" applyFont="1" applyFill="1" applyAlignment="1">
      <alignment horizontal="left" wrapText="1"/>
    </xf>
    <xf numFmtId="0" fontId="128" fillId="26" borderId="71" xfId="30099" applyFont="1" applyFill="1" applyBorder="1" applyAlignment="1">
      <alignment horizontal="left" wrapText="1"/>
    </xf>
    <xf numFmtId="0" fontId="133" fillId="78" borderId="40" xfId="30099" applyFont="1" applyFill="1" applyBorder="1" applyAlignment="1">
      <alignment horizontal="left" wrapText="1"/>
    </xf>
    <xf numFmtId="0" fontId="133" fillId="78" borderId="41" xfId="30099" applyFont="1" applyFill="1" applyBorder="1" applyAlignment="1">
      <alignment horizontal="left" wrapText="1"/>
    </xf>
    <xf numFmtId="0" fontId="133" fillId="78" borderId="42" xfId="30099" applyFont="1" applyFill="1" applyBorder="1" applyAlignment="1">
      <alignment horizontal="left" wrapText="1"/>
    </xf>
    <xf numFmtId="0" fontId="133" fillId="78" borderId="15" xfId="30099" applyFont="1" applyFill="1" applyBorder="1" applyAlignment="1">
      <alignment horizontal="left" wrapText="1"/>
    </xf>
    <xf numFmtId="0" fontId="133" fillId="78" borderId="0" xfId="30099" applyFont="1" applyFill="1" applyAlignment="1">
      <alignment horizontal="left" wrapText="1"/>
    </xf>
    <xf numFmtId="0" fontId="133" fillId="78" borderId="60" xfId="30099" applyFont="1" applyFill="1" applyBorder="1" applyAlignment="1">
      <alignment horizontal="left" wrapText="1"/>
    </xf>
    <xf numFmtId="0" fontId="129" fillId="78" borderId="13" xfId="30099" applyFont="1" applyFill="1" applyBorder="1" applyAlignment="1">
      <alignment horizontal="center" vertical="center" wrapText="1"/>
    </xf>
    <xf numFmtId="0" fontId="129" fillId="78" borderId="16" xfId="30099" applyFont="1" applyFill="1" applyBorder="1" applyAlignment="1">
      <alignment horizontal="center" vertical="center" wrapText="1"/>
    </xf>
    <xf numFmtId="0" fontId="129" fillId="78" borderId="11" xfId="30099" applyFont="1" applyFill="1" applyBorder="1" applyAlignment="1">
      <alignment horizontal="center" vertical="center" wrapText="1"/>
    </xf>
    <xf numFmtId="0" fontId="129" fillId="78" borderId="13" xfId="30099" applyFont="1" applyFill="1" applyBorder="1" applyAlignment="1">
      <alignment horizontal="center" vertical="top" wrapText="1"/>
    </xf>
    <xf numFmtId="0" fontId="129" fillId="78" borderId="16" xfId="30099" applyFont="1" applyFill="1" applyBorder="1" applyAlignment="1">
      <alignment horizontal="center" vertical="top" wrapText="1"/>
    </xf>
    <xf numFmtId="0" fontId="129" fillId="78" borderId="11" xfId="30099" applyFont="1" applyFill="1" applyBorder="1" applyAlignment="1">
      <alignment horizontal="center" vertical="top" wrapText="1"/>
    </xf>
    <xf numFmtId="164" fontId="131" fillId="79" borderId="13" xfId="30100" applyNumberFormat="1" applyFont="1" applyFill="1" applyBorder="1" applyAlignment="1">
      <alignment horizontal="center" vertical="center"/>
    </xf>
    <xf numFmtId="164" fontId="131" fillId="79" borderId="16" xfId="30100" applyNumberFormat="1" applyFont="1" applyFill="1" applyBorder="1" applyAlignment="1">
      <alignment horizontal="center" vertical="center"/>
    </xf>
    <xf numFmtId="164" fontId="131" fillId="79" borderId="11" xfId="30100" applyNumberFormat="1" applyFont="1" applyFill="1" applyBorder="1" applyAlignment="1">
      <alignment horizontal="center" vertical="center"/>
    </xf>
    <xf numFmtId="0" fontId="128" fillId="26" borderId="60" xfId="30099" applyFont="1" applyFill="1" applyBorder="1" applyAlignment="1">
      <alignment horizontal="left" vertical="center" wrapText="1"/>
    </xf>
    <xf numFmtId="0" fontId="128" fillId="26" borderId="0" xfId="30099" applyFont="1" applyFill="1" applyAlignment="1">
      <alignment horizontal="left" vertical="top" wrapText="1"/>
    </xf>
    <xf numFmtId="0" fontId="128" fillId="26" borderId="71" xfId="30099" applyFont="1" applyFill="1" applyBorder="1" applyAlignment="1">
      <alignment horizontal="left" vertical="center" wrapText="1"/>
    </xf>
    <xf numFmtId="0" fontId="144" fillId="26" borderId="41" xfId="30099" applyFont="1" applyFill="1" applyBorder="1" applyAlignment="1">
      <alignment horizontal="center" vertical="center" wrapText="1"/>
    </xf>
    <xf numFmtId="164" fontId="135" fillId="79" borderId="13" xfId="30100" applyNumberFormat="1" applyFont="1" applyFill="1" applyBorder="1" applyAlignment="1">
      <alignment horizontal="center" vertical="center" wrapText="1"/>
    </xf>
    <xf numFmtId="164" fontId="135" fillId="79" borderId="16" xfId="30100" applyNumberFormat="1" applyFont="1" applyFill="1" applyBorder="1" applyAlignment="1">
      <alignment horizontal="center" vertical="center" wrapText="1"/>
    </xf>
    <xf numFmtId="164" fontId="135" fillId="79" borderId="11" xfId="30100" applyNumberFormat="1" applyFont="1" applyFill="1" applyBorder="1" applyAlignment="1">
      <alignment horizontal="center" vertical="center" wrapText="1"/>
    </xf>
    <xf numFmtId="0" fontId="134" fillId="26" borderId="0" xfId="30099" applyFont="1" applyFill="1" applyAlignment="1">
      <alignment horizontal="left" wrapText="1"/>
    </xf>
    <xf numFmtId="0" fontId="134" fillId="26" borderId="60" xfId="30099" applyFont="1" applyFill="1" applyBorder="1" applyAlignment="1">
      <alignment horizontal="left" wrapText="1"/>
    </xf>
    <xf numFmtId="0" fontId="134" fillId="26" borderId="0" xfId="30099" applyFont="1" applyFill="1" applyBorder="1" applyAlignment="1">
      <alignment horizontal="left" wrapText="1"/>
    </xf>
    <xf numFmtId="0" fontId="148" fillId="26" borderId="0" xfId="30099" applyFont="1" applyFill="1" applyAlignment="1">
      <alignment horizontal="right" vertical="center" wrapText="1"/>
    </xf>
    <xf numFmtId="0" fontId="140" fillId="26" borderId="0" xfId="30099" applyFont="1" applyFill="1" applyAlignment="1">
      <alignment horizontal="left" vertical="center" wrapText="1"/>
    </xf>
    <xf numFmtId="0" fontId="202" fillId="0" borderId="121" xfId="0" applyFont="1" applyBorder="1" applyAlignment="1">
      <alignment horizontal="center" wrapText="1"/>
    </xf>
    <xf numFmtId="0" fontId="202" fillId="0" borderId="118" xfId="0" applyFont="1" applyBorder="1" applyAlignment="1">
      <alignment horizontal="center" wrapText="1"/>
    </xf>
    <xf numFmtId="0" fontId="202" fillId="0" borderId="81" xfId="0" applyFont="1" applyBorder="1" applyAlignment="1">
      <alignment horizontal="center" wrapText="1"/>
    </xf>
    <xf numFmtId="0" fontId="194" fillId="0" borderId="0" xfId="0" applyFont="1" applyBorder="1" applyAlignment="1">
      <alignment horizontal="center" vertical="center"/>
    </xf>
    <xf numFmtId="0" fontId="39" fillId="78" borderId="57" xfId="0" applyFont="1" applyFill="1" applyBorder="1" applyAlignment="1">
      <alignment horizontal="left" wrapText="1"/>
    </xf>
    <xf numFmtId="0" fontId="161" fillId="73" borderId="123" xfId="0" applyFont="1" applyFill="1" applyBorder="1" applyAlignment="1">
      <alignment horizontal="center" vertical="center" wrapText="1"/>
    </xf>
    <xf numFmtId="0" fontId="161" fillId="73" borderId="72" xfId="0" applyFont="1" applyFill="1" applyBorder="1" applyAlignment="1">
      <alignment horizontal="center" vertical="center" wrapText="1"/>
    </xf>
    <xf numFmtId="0" fontId="39" fillId="78" borderId="123" xfId="0" applyFont="1" applyFill="1" applyBorder="1" applyAlignment="1">
      <alignment horizontal="center" vertical="center" wrapText="1"/>
    </xf>
    <xf numFmtId="0" fontId="39" fillId="78" borderId="72" xfId="0" applyFont="1" applyFill="1" applyBorder="1" applyAlignment="1">
      <alignment horizontal="center" vertical="center" wrapText="1"/>
    </xf>
    <xf numFmtId="0" fontId="0" fillId="0" borderId="70" xfId="0" applyFill="1" applyBorder="1" applyAlignment="1">
      <alignment horizontal="center" vertical="center" wrapText="1"/>
    </xf>
    <xf numFmtId="0" fontId="0" fillId="0" borderId="123" xfId="0" applyFill="1" applyBorder="1" applyAlignment="1">
      <alignment horizontal="center" vertical="center" wrapText="1"/>
    </xf>
    <xf numFmtId="0" fontId="0" fillId="0" borderId="72" xfId="0" applyFill="1" applyBorder="1" applyAlignment="1">
      <alignment horizontal="center" vertical="center" wrapText="1"/>
    </xf>
    <xf numFmtId="0" fontId="39" fillId="78" borderId="13" xfId="0" applyFont="1" applyFill="1" applyBorder="1" applyAlignment="1">
      <alignment horizontal="left" wrapText="1"/>
    </xf>
    <xf numFmtId="0" fontId="39" fillId="78" borderId="16" xfId="0" applyFont="1" applyFill="1" applyBorder="1" applyAlignment="1">
      <alignment horizontal="left" wrapText="1"/>
    </xf>
    <xf numFmtId="0" fontId="39" fillId="78" borderId="11" xfId="0" applyFont="1" applyFill="1" applyBorder="1" applyAlignment="1">
      <alignment horizontal="left" wrapText="1"/>
    </xf>
    <xf numFmtId="0" fontId="39" fillId="78" borderId="13" xfId="0" applyFont="1" applyFill="1" applyBorder="1" applyAlignment="1">
      <alignment horizontal="center" wrapText="1"/>
    </xf>
    <xf numFmtId="0" fontId="39" fillId="78" borderId="16" xfId="0" applyFont="1" applyFill="1" applyBorder="1" applyAlignment="1">
      <alignment horizontal="center" wrapText="1"/>
    </xf>
    <xf numFmtId="0" fontId="39" fillId="78" borderId="11" xfId="0" applyFont="1" applyFill="1" applyBorder="1" applyAlignment="1">
      <alignment horizontal="center" wrapText="1"/>
    </xf>
    <xf numFmtId="0" fontId="0" fillId="78" borderId="13" xfId="0" applyFill="1" applyBorder="1" applyAlignment="1">
      <alignment horizontal="center"/>
    </xf>
    <xf numFmtId="0" fontId="0" fillId="78" borderId="16" xfId="0" applyFill="1" applyBorder="1" applyAlignment="1">
      <alignment horizontal="center"/>
    </xf>
    <xf numFmtId="0" fontId="0" fillId="78" borderId="11" xfId="0" applyFill="1" applyBorder="1" applyAlignment="1">
      <alignment horizontal="center"/>
    </xf>
    <xf numFmtId="0" fontId="39" fillId="78" borderId="57" xfId="0" applyFont="1" applyFill="1" applyBorder="1" applyAlignment="1">
      <alignment horizontal="left" vertical="center" wrapText="1"/>
    </xf>
    <xf numFmtId="0" fontId="59" fillId="78" borderId="13" xfId="0" applyFont="1" applyFill="1" applyBorder="1" applyAlignment="1">
      <alignment horizontal="left" wrapText="1"/>
    </xf>
    <xf numFmtId="0" fontId="59" fillId="78" borderId="16" xfId="0" applyFont="1" applyFill="1" applyBorder="1" applyAlignment="1">
      <alignment horizontal="left" wrapText="1"/>
    </xf>
    <xf numFmtId="0" fontId="59" fillId="78" borderId="11" xfId="0" applyFont="1" applyFill="1" applyBorder="1" applyAlignment="1">
      <alignment horizontal="left" wrapText="1"/>
    </xf>
    <xf numFmtId="0" fontId="59" fillId="78" borderId="129" xfId="0" applyFont="1" applyFill="1" applyBorder="1" applyAlignment="1">
      <alignment horizontal="left" wrapText="1"/>
    </xf>
    <xf numFmtId="0" fontId="59" fillId="0" borderId="37" xfId="0" applyFont="1" applyBorder="1" applyAlignment="1">
      <alignment horizontal="center" wrapText="1"/>
    </xf>
    <xf numFmtId="0" fontId="59" fillId="0" borderId="38" xfId="0" applyFont="1" applyBorder="1" applyAlignment="1">
      <alignment horizontal="center" wrapText="1"/>
    </xf>
    <xf numFmtId="0" fontId="59" fillId="0" borderId="39" xfId="0" applyFont="1" applyBorder="1" applyAlignment="1">
      <alignment horizontal="center" wrapText="1"/>
    </xf>
    <xf numFmtId="0" fontId="59" fillId="0" borderId="15" xfId="0" applyFont="1" applyBorder="1" applyAlignment="1">
      <alignment horizontal="center" wrapText="1"/>
    </xf>
    <xf numFmtId="0" fontId="59" fillId="0" borderId="0" xfId="0" applyFont="1" applyAlignment="1">
      <alignment horizontal="center" wrapText="1"/>
    </xf>
    <xf numFmtId="0" fontId="59" fillId="0" borderId="60" xfId="0" applyFont="1" applyBorder="1" applyAlignment="1">
      <alignment horizontal="center" wrapText="1"/>
    </xf>
    <xf numFmtId="0" fontId="37" fillId="78" borderId="70" xfId="0" applyFont="1" applyFill="1" applyBorder="1" applyAlignment="1">
      <alignment horizontal="left" vertical="center" wrapText="1"/>
    </xf>
    <xf numFmtId="0" fontId="37" fillId="78" borderId="123" xfId="0" applyFont="1" applyFill="1" applyBorder="1" applyAlignment="1">
      <alignment horizontal="left" vertical="center" wrapText="1"/>
    </xf>
    <xf numFmtId="0" fontId="37" fillId="78" borderId="72" xfId="0" applyFont="1" applyFill="1" applyBorder="1" applyAlignment="1">
      <alignment horizontal="left" vertical="center" wrapText="1"/>
    </xf>
    <xf numFmtId="0" fontId="59" fillId="78" borderId="57" xfId="0" applyFont="1" applyFill="1" applyBorder="1" applyAlignment="1">
      <alignment horizontal="left" wrapText="1"/>
    </xf>
    <xf numFmtId="0" fontId="39" fillId="0" borderId="13" xfId="0" applyFont="1" applyBorder="1" applyAlignment="1">
      <alignment horizontal="left" wrapText="1"/>
    </xf>
    <xf numFmtId="0" fontId="39" fillId="0" borderId="16" xfId="0" applyFont="1" applyBorder="1" applyAlignment="1">
      <alignment horizontal="left" wrapText="1"/>
    </xf>
    <xf numFmtId="0" fontId="39" fillId="0" borderId="11" xfId="0" applyFont="1" applyBorder="1" applyAlignment="1">
      <alignment horizontal="left" wrapText="1"/>
    </xf>
    <xf numFmtId="0" fontId="39" fillId="0" borderId="13" xfId="0" applyFont="1" applyBorder="1" applyAlignment="1">
      <alignment horizontal="center" wrapText="1"/>
    </xf>
    <xf numFmtId="0" fontId="39" fillId="0" borderId="16" xfId="0" applyFont="1" applyBorder="1" applyAlignment="1">
      <alignment horizontal="center" wrapText="1"/>
    </xf>
    <xf numFmtId="0" fontId="39" fillId="0" borderId="11" xfId="0" applyFont="1" applyBorder="1" applyAlignment="1">
      <alignment horizontal="center" wrapText="1"/>
    </xf>
    <xf numFmtId="0" fontId="59" fillId="34" borderId="119" xfId="0" applyFont="1" applyFill="1" applyBorder="1" applyAlignment="1">
      <alignment horizontal="center" vertical="center" wrapText="1"/>
    </xf>
    <xf numFmtId="0" fontId="59" fillId="34" borderId="120" xfId="0" applyFont="1" applyFill="1" applyBorder="1" applyAlignment="1">
      <alignment horizontal="center" vertical="center" wrapText="1"/>
    </xf>
    <xf numFmtId="0" fontId="0" fillId="78" borderId="79" xfId="0" applyFill="1" applyBorder="1" applyAlignment="1">
      <alignment horizontal="center"/>
    </xf>
    <xf numFmtId="0" fontId="0" fillId="78" borderId="131" xfId="0" applyFill="1" applyBorder="1" applyAlignment="1">
      <alignment horizontal="center"/>
    </xf>
    <xf numFmtId="0" fontId="49" fillId="0" borderId="10" xfId="0" applyFont="1" applyBorder="1" applyAlignment="1">
      <alignment horizontal="center" vertical="center" wrapText="1"/>
    </xf>
    <xf numFmtId="0" fontId="39" fillId="0" borderId="22" xfId="0" applyFont="1" applyBorder="1" applyAlignment="1">
      <alignment horizontal="center" vertical="center"/>
    </xf>
    <xf numFmtId="0" fontId="39" fillId="0" borderId="0" xfId="0" applyFont="1" applyAlignment="1">
      <alignment horizontal="center" vertical="center"/>
    </xf>
    <xf numFmtId="0" fontId="39" fillId="0" borderId="73" xfId="0" applyFont="1" applyBorder="1" applyAlignment="1">
      <alignment horizontal="center" vertical="center"/>
    </xf>
    <xf numFmtId="0" fontId="49" fillId="0" borderId="84" xfId="0" applyFont="1" applyBorder="1" applyAlignment="1">
      <alignment horizontal="center" vertical="center"/>
    </xf>
    <xf numFmtId="0" fontId="39" fillId="78" borderId="107" xfId="0" applyFont="1" applyFill="1" applyBorder="1" applyAlignment="1">
      <alignment horizontal="left" wrapText="1"/>
    </xf>
    <xf numFmtId="0" fontId="39" fillId="78" borderId="103" xfId="0" applyFont="1" applyFill="1" applyBorder="1" applyAlignment="1">
      <alignment horizontal="left" wrapText="1"/>
    </xf>
    <xf numFmtId="0" fontId="0" fillId="78" borderId="79" xfId="0" applyFont="1" applyFill="1" applyBorder="1" applyAlignment="1">
      <alignment horizontal="center"/>
    </xf>
    <xf numFmtId="0" fontId="0" fillId="78" borderId="80" xfId="0" applyFont="1" applyFill="1" applyBorder="1" applyAlignment="1">
      <alignment horizontal="center"/>
    </xf>
    <xf numFmtId="0" fontId="49" fillId="73" borderId="10" xfId="0" applyFont="1" applyFill="1" applyBorder="1" applyAlignment="1">
      <alignment horizontal="center" vertical="center" wrapText="1"/>
    </xf>
    <xf numFmtId="0" fontId="46" fillId="73" borderId="10" xfId="0" applyFont="1" applyFill="1" applyBorder="1" applyAlignment="1">
      <alignment horizontal="center" vertical="center" wrapText="1"/>
    </xf>
    <xf numFmtId="0" fontId="46" fillId="73" borderId="84" xfId="0" applyFont="1" applyFill="1" applyBorder="1" applyAlignment="1">
      <alignment horizontal="center" vertical="center" wrapText="1"/>
    </xf>
    <xf numFmtId="0" fontId="0" fillId="73" borderId="10" xfId="0" applyFont="1" applyFill="1" applyBorder="1" applyAlignment="1">
      <alignment horizontal="center" vertical="center"/>
    </xf>
    <xf numFmtId="0" fontId="161" fillId="73" borderId="74" xfId="0" applyFont="1" applyFill="1" applyBorder="1" applyAlignment="1">
      <alignment horizontal="center" vertical="center" wrapText="1"/>
    </xf>
    <xf numFmtId="0" fontId="161" fillId="73" borderId="0" xfId="0" applyFont="1" applyFill="1" applyBorder="1" applyAlignment="1">
      <alignment horizontal="center" vertical="center" wrapText="1"/>
    </xf>
    <xf numFmtId="0" fontId="162" fillId="73" borderId="108" xfId="0" applyFont="1" applyFill="1" applyBorder="1" applyAlignment="1">
      <alignment horizontal="center" vertical="center" wrapText="1"/>
    </xf>
    <xf numFmtId="0" fontId="162" fillId="73" borderId="109" xfId="0" applyFont="1" applyFill="1" applyBorder="1" applyAlignment="1">
      <alignment horizontal="center" vertical="center" wrapText="1"/>
    </xf>
    <xf numFmtId="0" fontId="53" fillId="0" borderId="0" xfId="682" applyFont="1" applyAlignment="1">
      <alignment horizontal="left" wrapText="1"/>
    </xf>
    <xf numFmtId="0" fontId="170" fillId="27" borderId="0" xfId="682" applyFont="1" applyFill="1" applyAlignment="1">
      <alignment horizontal="left" vertical="center" wrapText="1"/>
    </xf>
    <xf numFmtId="0" fontId="167" fillId="0" borderId="0" xfId="682" applyFont="1" applyAlignment="1">
      <alignment horizontal="center" vertical="center"/>
    </xf>
    <xf numFmtId="0" fontId="39" fillId="27" borderId="0" xfId="682" applyFont="1" applyFill="1" applyAlignment="1">
      <alignment horizontal="left" wrapText="1"/>
    </xf>
    <xf numFmtId="0" fontId="45" fillId="0" borderId="0" xfId="30099" applyFont="1" applyAlignment="1">
      <alignment horizontal="left" vertical="top" wrapText="1" indent="4"/>
    </xf>
    <xf numFmtId="0" fontId="45" fillId="0" borderId="0" xfId="30099" applyFont="1" applyAlignment="1">
      <alignment horizontal="center" vertical="top" wrapText="1"/>
    </xf>
    <xf numFmtId="0" fontId="45" fillId="0" borderId="0" xfId="30099" applyFont="1" applyAlignment="1">
      <alignment horizontal="left" vertical="top" wrapText="1" indent="8"/>
    </xf>
    <xf numFmtId="0" fontId="45" fillId="0" borderId="0" xfId="30099" applyFont="1" applyAlignment="1">
      <alignment horizontal="left" vertical="center" wrapText="1" indent="1"/>
    </xf>
    <xf numFmtId="0" fontId="45" fillId="0" borderId="0" xfId="30099" applyFont="1" applyAlignment="1">
      <alignment horizontal="left" vertical="top" wrapText="1" indent="1"/>
    </xf>
    <xf numFmtId="0" fontId="45" fillId="0" borderId="0" xfId="30099" applyFont="1" applyAlignment="1">
      <alignment horizontal="left" vertical="top" wrapText="1" indent="5"/>
    </xf>
    <xf numFmtId="0" fontId="45" fillId="0" borderId="37" xfId="26000" applyFont="1" applyBorder="1" applyAlignment="1" applyProtection="1">
      <alignment horizontal="left" vertical="top" wrapText="1"/>
    </xf>
    <xf numFmtId="0" fontId="45" fillId="0" borderId="38" xfId="26000" applyFont="1" applyBorder="1" applyAlignment="1" applyProtection="1">
      <alignment horizontal="left" vertical="top" wrapText="1"/>
    </xf>
    <xf numFmtId="0" fontId="45" fillId="0" borderId="39" xfId="26000" applyFont="1" applyBorder="1" applyAlignment="1" applyProtection="1">
      <alignment horizontal="left" vertical="top" wrapText="1"/>
    </xf>
    <xf numFmtId="0" fontId="45" fillId="0" borderId="15" xfId="26000" applyFont="1" applyBorder="1" applyAlignment="1" applyProtection="1">
      <alignment horizontal="left" vertical="top" wrapText="1"/>
    </xf>
    <xf numFmtId="0" fontId="45" fillId="0" borderId="0" xfId="26000" applyFont="1" applyAlignment="1" applyProtection="1">
      <alignment horizontal="left" vertical="top" wrapText="1"/>
    </xf>
    <xf numFmtId="0" fontId="45" fillId="0" borderId="60" xfId="26000" applyFont="1" applyBorder="1" applyAlignment="1" applyProtection="1">
      <alignment horizontal="left" vertical="top" wrapText="1"/>
    </xf>
    <xf numFmtId="0" fontId="45" fillId="0" borderId="40" xfId="26000" applyFont="1" applyBorder="1" applyAlignment="1" applyProtection="1">
      <alignment horizontal="left" vertical="top" wrapText="1"/>
    </xf>
    <xf numFmtId="0" fontId="45" fillId="0" borderId="41" xfId="26000" applyFont="1" applyBorder="1" applyAlignment="1" applyProtection="1">
      <alignment horizontal="left" vertical="top" wrapText="1"/>
    </xf>
    <xf numFmtId="0" fontId="45" fillId="0" borderId="42" xfId="26000" applyFont="1" applyBorder="1" applyAlignment="1" applyProtection="1">
      <alignment horizontal="left" vertical="top" wrapText="1"/>
    </xf>
    <xf numFmtId="0" fontId="59" fillId="0" borderId="0" xfId="26000" applyFont="1" applyAlignment="1" applyProtection="1">
      <alignment horizontal="center" vertical="top"/>
    </xf>
    <xf numFmtId="0" fontId="59" fillId="0" borderId="0" xfId="26000" applyFont="1" applyAlignment="1" applyProtection="1">
      <alignment horizontal="center" vertical="top" wrapText="1"/>
    </xf>
    <xf numFmtId="0" fontId="164" fillId="0" borderId="73" xfId="26000" applyFont="1" applyBorder="1" applyAlignment="1" applyProtection="1">
      <alignment horizontal="left" vertical="top" wrapText="1"/>
    </xf>
    <xf numFmtId="0" fontId="164" fillId="0" borderId="74" xfId="26000" applyFont="1" applyBorder="1" applyAlignment="1" applyProtection="1">
      <alignment horizontal="left" vertical="top" wrapText="1"/>
    </xf>
    <xf numFmtId="0" fontId="164" fillId="0" borderId="75" xfId="26000" applyFont="1" applyBorder="1" applyAlignment="1" applyProtection="1">
      <alignment horizontal="left" vertical="top" wrapText="1"/>
    </xf>
    <xf numFmtId="0" fontId="164" fillId="0" borderId="22" xfId="26000" applyFont="1" applyBorder="1" applyAlignment="1" applyProtection="1">
      <alignment horizontal="left" vertical="top" wrapText="1"/>
    </xf>
    <xf numFmtId="0" fontId="164" fillId="0" borderId="0" xfId="26000" applyFont="1" applyAlignment="1" applyProtection="1">
      <alignment horizontal="left" vertical="top" wrapText="1"/>
    </xf>
    <xf numFmtId="0" fontId="164" fillId="0" borderId="56" xfId="26000" applyFont="1" applyBorder="1" applyAlignment="1" applyProtection="1">
      <alignment horizontal="left" vertical="top" wrapText="1"/>
    </xf>
    <xf numFmtId="0" fontId="164" fillId="0" borderId="76" xfId="26000" applyFont="1" applyBorder="1" applyAlignment="1" applyProtection="1">
      <alignment horizontal="left" vertical="top" wrapText="1"/>
    </xf>
    <xf numFmtId="0" fontId="164" fillId="0" borderId="17" xfId="26000" applyFont="1" applyBorder="1" applyAlignment="1" applyProtection="1">
      <alignment horizontal="left" vertical="top" wrapText="1"/>
    </xf>
    <xf numFmtId="0" fontId="164" fillId="0" borderId="77" xfId="26000" applyFont="1" applyBorder="1" applyAlignment="1" applyProtection="1">
      <alignment horizontal="left" vertical="top" wrapText="1"/>
    </xf>
    <xf numFmtId="0" fontId="59" fillId="0" borderId="41" xfId="26000" applyFont="1" applyBorder="1" applyAlignment="1" applyProtection="1">
      <alignment horizontal="left"/>
    </xf>
  </cellXfs>
  <cellStyles count="32162">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3 2" xfId="32086" xr:uid="{4F8B3C79-A8FD-4128-BCF9-C6C708106B35}"/>
    <cellStyle name="Comma 10 4 3 3" xfId="31813" xr:uid="{6CCBE5C8-FCE7-4DA1-B90B-1D85CA01A061}"/>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2 3" xfId="32087" xr:uid="{7745A624-156A-4C0D-99C0-B5D63A1469F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2" xfId="445" xr:uid="{00000000-0005-0000-0000-0000C6010000}"/>
    <cellStyle name="Comma 2 2" xfId="446" xr:uid="{00000000-0005-0000-0000-0000C7010000}"/>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3 7" xfId="31866" xr:uid="{8B7D4AC9-EAFA-4821-999C-45D4FEBF61B3}"/>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2 3" xfId="32088" xr:uid="{1C1921D2-FDBC-49DC-9E81-61591228223E}"/>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4 5" xfId="31835" xr:uid="{610725FB-8A21-4BE3-898B-51D57F7E1898}"/>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3 2" xfId="32050" xr:uid="{C806C1E4-C76F-4B67-AAAF-460C2B85C508}"/>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2 3" xfId="32089" xr:uid="{CBDC53D0-D173-43C3-B574-26A60F6E0A76}"/>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4 2" xfId="32090" xr:uid="{C83AAEBC-D9E6-427C-8704-F69EF422E473}"/>
    <cellStyle name="Comma 5 12 4 3" xfId="31815" xr:uid="{49C01A2E-1C63-4036-BB55-71212B68FBE4}"/>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3 2" xfId="32091" xr:uid="{23635C73-420F-426A-94ED-0A8B994F7007}"/>
    <cellStyle name="Comma 5 13 3 3" xfId="31814" xr:uid="{AC0E03A0-EE53-48F9-9E9F-17125749E95B}"/>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3 7" xfId="31847" xr:uid="{79D50C6A-FA6B-4975-A969-001722B9115C}"/>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3 2" xfId="31952" xr:uid="{EB10D897-B43D-44CA-B38E-FF01B7B1D864}"/>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12" xfId="31821" xr:uid="{395A3A02-3FE5-492F-997E-5901E440E56E}"/>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2 3" xfId="31917" xr:uid="{B8AF4891-E6BD-4278-9FD1-91CF53BFCF6F}"/>
    <cellStyle name="Comma 5 2 2 2 3" xfId="30562" xr:uid="{FE94402B-6C78-43D2-9887-F6959E6CC981}"/>
    <cellStyle name="Comma 5 2 2 2 4" xfId="30927" xr:uid="{3089C8D7-EDC7-49C2-98BE-A8D0DB944D04}"/>
    <cellStyle name="Comma 5 2 2 2 5" xfId="31848" xr:uid="{BE31A8D0-42B3-4B50-90E2-E7E46596D9C6}"/>
    <cellStyle name="Comma 5 2 2 3" xfId="1595" xr:uid="{00000000-0005-0000-0000-0000EE010000}"/>
    <cellStyle name="Comma 5 2 2 3 2" xfId="30614" xr:uid="{8A82B498-C017-42E6-9D27-435A4DAFCF79}"/>
    <cellStyle name="Comma 5 2 2 3 2 2" xfId="30659" xr:uid="{84E2DE58-A4C0-4259-9280-0F10CD7AD0EB}"/>
    <cellStyle name="Comma 5 2 2 3 2 3" xfId="32040" xr:uid="{9A809329-9BC7-442B-9223-E0D66EA92DDC}"/>
    <cellStyle name="Comma 5 2 2 3 3" xfId="30575" xr:uid="{08126CC7-7B32-4987-B56B-3E8A92004100}"/>
    <cellStyle name="Comma 5 2 2 3 4" xfId="30941" xr:uid="{85BC386F-6704-42BC-B35B-A909453864AD}"/>
    <cellStyle name="Comma 5 2 2 3 5" xfId="31894" xr:uid="{911398EF-27F5-474D-91D0-122C8C4460C6}"/>
    <cellStyle name="Comma 5 2 2 4" xfId="1593" xr:uid="{00000000-0005-0000-0000-0000EF010000}"/>
    <cellStyle name="Comma 5 2 2 4 2" xfId="30550" xr:uid="{2B6B9656-2890-4C76-9E86-2F9A400B5207}"/>
    <cellStyle name="Comma 5 2 2 4 2 2" xfId="30660" xr:uid="{ABCDE278-9ADF-4B7C-B51D-6A70B9BEFAB0}"/>
    <cellStyle name="Comma 5 2 2 4 3" xfId="31836" xr:uid="{79F59D53-D5B4-40E9-9610-CCA65C188598}"/>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5 3 2" xfId="31898" xr:uid="{75DE2DC0-33FC-43A6-B47C-96F261118E8B}"/>
    <cellStyle name="Comma 5 2 2 6" xfId="9432" xr:uid="{FAAC16A9-4153-4AFD-B1F8-20E8F3A87C8C}"/>
    <cellStyle name="Comma 5 2 2 6 2" xfId="19812" xr:uid="{145F7030-0050-4EBD-8D41-3709A9B0904C}"/>
    <cellStyle name="Comma 5 2 2 6 3" xfId="32051" xr:uid="{27A53D8F-1842-4E5E-A2E5-35D1185B0A24}"/>
    <cellStyle name="Comma 5 2 2 7" xfId="25027" xr:uid="{DE75B844-EBEC-4A64-A7E9-57FF65839502}"/>
    <cellStyle name="Comma 5 2 2 8" xfId="14146" xr:uid="{58BAEC72-D61F-4682-9993-3944940B8945}"/>
    <cellStyle name="Comma 5 2 2 9" xfId="29549" xr:uid="{D4CDF6AA-3C1C-45DB-BF23-683A3F5A2E8F}"/>
    <cellStyle name="Comma 5 2 2 9 2" xfId="31826" xr:uid="{ECF38114-68B5-4110-8EA0-BD2AC030ABF0}"/>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2 3" xfId="31918" xr:uid="{43E0F026-8416-47B0-AAC3-893C227306C3}"/>
    <cellStyle name="Comma 5 2 4 2 3" xfId="30563" xr:uid="{92CD2FD6-65B4-444B-9BD4-8BD03B652048}"/>
    <cellStyle name="Comma 5 2 4 2 4" xfId="30928" xr:uid="{9F33CA11-07C6-481C-A78E-213CF504BA88}"/>
    <cellStyle name="Comma 5 2 4 2 5" xfId="31849" xr:uid="{1C86BCC5-0851-4A00-9816-A304E6E0E160}"/>
    <cellStyle name="Comma 5 2 4 3" xfId="30551" xr:uid="{0F4C2308-2688-446C-A27E-BFCE11140C68}"/>
    <cellStyle name="Comma 5 2 4 3 2" xfId="30633" xr:uid="{CFB4CA51-42B2-4BF5-9AF9-673F00BD5CFD}"/>
    <cellStyle name="Comma 5 2 4 3 2 2" xfId="32052" xr:uid="{06F0F8AE-BBCB-4D78-B0AB-B1216C828D76}"/>
    <cellStyle name="Comma 5 2 4 3 3" xfId="30943" xr:uid="{35CEEE63-7BB2-4EEA-83CF-5333A9F63EF4}"/>
    <cellStyle name="Comma 5 2 4 3 4" xfId="31837" xr:uid="{EDF9873F-33B8-4FD7-923E-E691CE8EBD1B}"/>
    <cellStyle name="Comma 5 2 4 4" xfId="30581" xr:uid="{79C2FE9C-BC47-45D3-81C7-55923423D801}"/>
    <cellStyle name="Comma 5 2 4 4 2" xfId="31899" xr:uid="{6A0574F0-E535-4DA4-AFE4-CECA12F6D802}"/>
    <cellStyle name="Comma 5 2 4 5" xfId="30622" xr:uid="{2D2FE097-3E58-4E43-B405-32F2F658B65A}"/>
    <cellStyle name="Comma 5 2 4 6" xfId="30920" xr:uid="{FFFC894D-F0FF-4CEA-9DAF-F49F3E52EACB}"/>
    <cellStyle name="Comma 5 2 4 7" xfId="31242" xr:uid="{2E5D930F-8B70-4941-B7AD-A1A539EE389A}"/>
    <cellStyle name="Comma 5 2 4 7 2" xfId="31830" xr:uid="{D4DDE0D0-EFFA-48FF-B7EA-8D5430475D74}"/>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2 3" xfId="31919" xr:uid="{A028D578-041B-426B-BE48-D5D0EFB010F4}"/>
    <cellStyle name="Comma 5 2 5 2 3" xfId="30564" xr:uid="{EB087388-5735-47DA-A778-C37D3BA09F7B}"/>
    <cellStyle name="Comma 5 2 5 2 4" xfId="30929" xr:uid="{9C5FD4B9-51E1-40C8-A1C0-B9DA63A12820}"/>
    <cellStyle name="Comma 5 2 5 2 5" xfId="31850" xr:uid="{0A2541C1-2679-4927-8CD8-FF5D655E1475}"/>
    <cellStyle name="Comma 5 2 5 3" xfId="30582" xr:uid="{594004CE-4C85-49C3-98D5-50D24316BFB4}"/>
    <cellStyle name="Comma 5 2 5 3 2" xfId="30634" xr:uid="{5DF27414-0425-4CEA-9FF2-B029A5DDBF7D}"/>
    <cellStyle name="Comma 5 2 5 3 2 2" xfId="32053" xr:uid="{8F89AAB0-3EA9-410A-9480-B287DFACD934}"/>
    <cellStyle name="Comma 5 2 5 3 3" xfId="30944" xr:uid="{7FF4A0CA-6FEC-4011-9105-1F245F102EA7}"/>
    <cellStyle name="Comma 5 2 5 3 4" xfId="31900" xr:uid="{021F3435-3B42-46FF-B72E-B3A4CD178AEF}"/>
    <cellStyle name="Comma 5 2 5 4" xfId="30623" xr:uid="{8D5CFC01-28FD-48B9-B5AE-BF61C0025B69}"/>
    <cellStyle name="Comma 5 2 5 4 2" xfId="32044" xr:uid="{A9DCB03E-9207-40E6-8533-068E7FBEF310}"/>
    <cellStyle name="Comma 5 2 5 5" xfId="30921" xr:uid="{8B4C09D8-9DF0-4BAC-A0B6-095950680402}"/>
    <cellStyle name="Comma 5 2 5 6" xfId="31838" xr:uid="{AE89DA92-B122-46B4-A241-75BC8622320D}"/>
    <cellStyle name="Comma 5 2 6" xfId="30549" xr:uid="{5C64EDE1-D10D-405A-BEBE-498A5BCE0F98}"/>
    <cellStyle name="Comma 5 2 7" xfId="30572" xr:uid="{02BF2878-498D-48D7-8F68-577919C83D6F}"/>
    <cellStyle name="Comma 5 2 7 2" xfId="30611" xr:uid="{C0CD91E5-D6C5-434A-96EB-1B3A036C6BBA}"/>
    <cellStyle name="Comma 5 2 7 2 2" xfId="31959" xr:uid="{7F33BBFD-35CC-422F-A628-4C871191ECEE}"/>
    <cellStyle name="Comma 5 2 7 3" xfId="30630" xr:uid="{F8EDEA31-A8F6-431F-BA36-CFAAABCD185E}"/>
    <cellStyle name="Comma 5 2 7 4" xfId="30937" xr:uid="{47F7B796-4D4E-4909-966E-3439D41D5605}"/>
    <cellStyle name="Comma 5 2 7 5" xfId="31864" xr:uid="{B39A4C00-E2FA-4A4A-A86B-E752CBD75620}"/>
    <cellStyle name="Comma 5 2 8" xfId="30547" xr:uid="{B1DF5FDB-1841-4554-815D-7CDC6C437CC6}"/>
    <cellStyle name="Comma 5 2 8 2" xfId="31820" xr:uid="{76C7F0C6-9F72-4035-907C-E4CB10657D16}"/>
    <cellStyle name="Comma 5 2 8 3" xfId="31832" xr:uid="{B9CFB510-D3ED-42C8-954E-608E6E797590}"/>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2 3" xfId="32093" xr:uid="{DF6B5A07-BCB6-4122-B08B-FF727BE32A31}"/>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6 7" xfId="31891" xr:uid="{C8CD9A60-0BD4-4740-806B-50ABE2AC2029}"/>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2 3" xfId="32094" xr:uid="{8F099752-A5DB-4BB4-954A-B4F8F3076E2F}"/>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2 3" xfId="32092" xr:uid="{6075B1F7-3D8C-4A62-AD2B-56A3C4023580}"/>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6 7" xfId="31885" xr:uid="{5C4BDE56-2F21-428F-8035-1503C641A184}"/>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2 3" xfId="32096" xr:uid="{ABF9688C-46B4-4154-8BA5-36A36A351744}"/>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2 3" xfId="32095" xr:uid="{4C058D7B-2F5A-4CBD-8E79-9A93D07AFAAA}"/>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5 7" xfId="31882" xr:uid="{E1C2DA7C-FCE3-4AA5-8C21-90CF28784764}"/>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2 3" xfId="32098" xr:uid="{EEEEFB68-F7D0-4BEA-BBAF-F13903F32C5A}"/>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7 5" xfId="31901" xr:uid="{3BF60C74-5475-4823-A423-AF0E80A2C24A}"/>
    <cellStyle name="Comma 5 5 8" xfId="3862" xr:uid="{BB40D789-347F-4EEE-90F2-9CD69067EE82}"/>
    <cellStyle name="Comma 5 5 8 2" xfId="8694" xr:uid="{9AC2FF51-5884-4416-8AA7-99DEB4C93414}"/>
    <cellStyle name="Comma 5 5 8 2 2" xfId="19074" xr:uid="{D9087CDC-1BF9-44A7-942A-4E4300147E7C}"/>
    <cellStyle name="Comma 5 5 8 2 3" xfId="32097" xr:uid="{613ACDA4-8776-48BC-AAF5-E4B31C86CD99}"/>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5 7" xfId="31881" xr:uid="{05BB8264-A47E-4AC3-9E51-D076D0E87FF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2 3" xfId="32100" xr:uid="{75DE9622-45BE-4D0E-B6AD-74F2CD9E5252}"/>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7 5" xfId="31902" xr:uid="{A05AA58B-7125-47F7-B0A4-AFD6135DFB21}"/>
    <cellStyle name="Comma 5 6 8" xfId="3863" xr:uid="{75645FB4-205D-4E97-ABC5-C721ABB9F46B}"/>
    <cellStyle name="Comma 5 6 8 2" xfId="8695" xr:uid="{9C4DAFBF-0377-441E-B8E5-C883A9095C2E}"/>
    <cellStyle name="Comma 5 6 8 2 2" xfId="19075" xr:uid="{B509ABE0-D8C4-4066-83AA-AE80A9FA47F9}"/>
    <cellStyle name="Comma 5 6 8 2 3" xfId="32099" xr:uid="{3E93E773-B50D-4810-8E2C-B7D48CA114E0}"/>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2 3" xfId="32101" xr:uid="{02C28028-5B74-4186-96E6-E0A8B3859D61}"/>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2 3" xfId="32102" xr:uid="{15483613-E132-4B37-960E-775D9F55975A}"/>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2 7" xfId="31851" xr:uid="{378FD9BD-E839-4EED-81CD-E880DE469956}"/>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4 7" xfId="31878" xr:uid="{E158C8FA-A4C8-425D-A357-F163291A5477}"/>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2 3" xfId="32103" xr:uid="{6625B612-9393-4C65-A78D-1EE4430F71E2}"/>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2 7" xfId="31852" xr:uid="{7D922D18-CD78-49E3-90CA-B106C65D56B0}"/>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2 3 2" xfId="31920" xr:uid="{9148C28C-95CD-4BA9-AF83-9FC9A93B1E59}"/>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4 7" xfId="31875" xr:uid="{4D0B5869-605D-4EA5-BCEE-8A80800BD07E}"/>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6 7" xfId="31886" xr:uid="{5D4CCA16-812A-4EA0-A8AA-20D0CC772D0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2 3" xfId="32105" xr:uid="{194858C3-3226-43C3-A9C9-72AFC8339E16}"/>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2 3" xfId="32104" xr:uid="{B45770FA-B161-4A52-A2E2-1121E9775B37}"/>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2 7" xfId="31868" xr:uid="{C71DB7ED-1481-494F-9E77-C35919C022DB}"/>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2 3" xfId="32107" xr:uid="{5086AB76-04CD-423E-93E7-EEFC04461DF1}"/>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2 3" xfId="32106" xr:uid="{304BC386-1A81-4E81-96DF-2ECBBE763626}"/>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5 7" xfId="31892" xr:uid="{D94B6913-136E-44B0-A9E0-B37B2B874271}"/>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2 3" xfId="32110" xr:uid="{941EBB5B-274A-409B-8AAE-1B9EC51B6777}"/>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2 3" xfId="32109" xr:uid="{F21AE17C-1E72-42E2-94CF-2E479AB97E12}"/>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6 7" xfId="31873" xr:uid="{4D9EBF94-A660-47CF-B6A6-3895266AD5A0}"/>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2 3" xfId="32111" xr:uid="{0F0C2CEA-B3E1-47FF-8CB5-7BCCA934308E}"/>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8 5" xfId="31903" xr:uid="{686D687C-6A6C-4F6E-90F4-525C1864C41B}"/>
    <cellStyle name="Comma 7 2 9" xfId="3869" xr:uid="{F4D1E9BD-A0FA-4A8D-8E31-D876682FFE4B}"/>
    <cellStyle name="Comma 7 2 9 2" xfId="8701" xr:uid="{8CB8DB38-03CC-41A3-8E7D-CCE0456C8EA4}"/>
    <cellStyle name="Comma 7 2 9 2 2" xfId="19081" xr:uid="{FB4C8D6A-90A4-4CDA-9E2E-5225EC1652DC}"/>
    <cellStyle name="Comma 7 2 9 2 3" xfId="32108" xr:uid="{7376F4D1-96F7-4A27-BB1D-6CD100E91C45}"/>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6 7" xfId="31887" xr:uid="{64DFFBD4-3721-4C4A-8C67-681E2CF1F98A}"/>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2 3" xfId="32113" xr:uid="{3C015165-B3BF-48E4-A76F-C72BAFCB70C0}"/>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2 3" xfId="32112" xr:uid="{34D1590B-69FD-4102-9FC7-65AD15BA19F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5 7" xfId="31883" xr:uid="{7400D995-1DA1-485D-821B-556B0C55BA41}"/>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2 3" xfId="32115" xr:uid="{1694AA5C-306A-4895-8E7D-5D2CA4E46CA1}"/>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7 5" xfId="31904" xr:uid="{41CE6E30-F59F-49D8-BC8B-23BC26569988}"/>
    <cellStyle name="Comma 7 4 8" xfId="3872" xr:uid="{6D2C64E3-2EB5-4B5F-AB7C-2CFD353A925B}"/>
    <cellStyle name="Comma 7 4 8 2" xfId="8704" xr:uid="{418BB3BF-3B1D-4B63-9BA4-95B5E7B8F262}"/>
    <cellStyle name="Comma 7 4 8 2 2" xfId="19084" xr:uid="{6EB814DC-1EEE-4F0F-9A34-5AF4EF51B40F}"/>
    <cellStyle name="Comma 7 4 8 2 3" xfId="32114" xr:uid="{719D156A-E80C-4AAA-9AFE-194148FC5FEE}"/>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2 3" xfId="32116" xr:uid="{9B3C0B47-AA44-4DCC-9C59-F24B71A6CF98}"/>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2 3" xfId="32117" xr:uid="{75BD241D-1500-446D-8C43-34D8A9FFE52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2 3" xfId="32118" xr:uid="{BC92EE34-3E73-48C2-8245-3C566C8AA21B}"/>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2 3" xfId="32119" xr:uid="{70BE5F76-DCB3-490C-BF8A-0B7D7E80E6C5}"/>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2 7" xfId="31853" xr:uid="{F41D6FCE-7705-40C8-A1FF-CB8225BCE816}"/>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2 3 2" xfId="31921" xr:uid="{C1335975-3EE1-4D33-9DF3-C5CA13B69340}"/>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4 7" xfId="31879" xr:uid="{59AD59B2-D712-4584-BBCD-530D1C231DB6}"/>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2 7" xfId="31854" xr:uid="{9761948F-5BB4-4911-8805-9DC1C4EF7FE3}"/>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2 3 2" xfId="31922" xr:uid="{31AFF5D3-68D0-4D4C-B247-A44AC98CB6B3}"/>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4 7" xfId="31876" xr:uid="{23F21FAA-73F2-483D-9A07-44AF7CCCB138}"/>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2 3" xfId="32120" xr:uid="{874BDF6B-1F8D-482B-82C7-8A2A4DC3C85E}"/>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4 5" xfId="31905" xr:uid="{E4EB1718-F96F-4710-8269-ED29EE280B79}"/>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5 7" xfId="31889" xr:uid="{5AD71B65-510B-489E-A653-58C1930D1C74}"/>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2 3" xfId="32123" xr:uid="{50259F29-D745-483D-921E-D807E288E793}"/>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2 3" xfId="32122" xr:uid="{93161F94-3BFB-4F93-9B70-930F66D192D2}"/>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6 7" xfId="31871" xr:uid="{8C99AD04-5DE9-48E7-A2EA-6264D3D7E2FE}"/>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2 3" xfId="32124" xr:uid="{EDFFF153-A695-4996-BF02-C5E2F69F6BC3}"/>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8 5" xfId="31906" xr:uid="{4822B129-2FFB-4F87-A3DE-D53E0E4FA9A5}"/>
    <cellStyle name="Comma 9 9" xfId="3877" xr:uid="{843F6AD1-FCB4-445A-AA8D-FE1C9F50769F}"/>
    <cellStyle name="Comma 9 9 2" xfId="8709" xr:uid="{95A34064-24CD-4754-9807-8A57438B2F68}"/>
    <cellStyle name="Comma 9 9 2 2" xfId="19089" xr:uid="{7555BDD1-0452-4A18-A1C8-2D9D28563F51}"/>
    <cellStyle name="Comma 9 9 2 3" xfId="32121" xr:uid="{EF859B15-FEF9-47C3-B9C5-B5EADD5BFEFA}"/>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3" xfId="551" xr:uid="{00000000-0005-0000-0000-000048030000}"/>
    <cellStyle name="Currency 3 10" xfId="30620" xr:uid="{CC98C09A-FB90-4F09-8713-CE67BE1C4FA6}"/>
    <cellStyle name="Currency 3 10 2" xfId="32042" xr:uid="{D17B859F-DF0F-4267-8656-AAAA5D6BD8F1}"/>
    <cellStyle name="Currency 3 11" xfId="30918" xr:uid="{AC79C766-96F4-4BB0-9D53-CAD075CD5FB9}"/>
    <cellStyle name="Currency 3 12" xfId="31822" xr:uid="{98120EB1-7647-41F7-BBFD-A4A4B9EB6DBA}"/>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2 3" xfId="31924" xr:uid="{BAE2C14E-4A7A-4628-AFE4-1585817F4E62}"/>
    <cellStyle name="Currency 3 2 2 3" xfId="30565" xr:uid="{1EE52B54-EC85-4641-BC5E-D5D513A14121}"/>
    <cellStyle name="Currency 3 2 2 4" xfId="30931" xr:uid="{9104C6C5-305B-4CE0-B9BE-66CC40287E6D}"/>
    <cellStyle name="Currency 3 2 2 5" xfId="31856" xr:uid="{5EB894A8-941D-4CF7-B233-ABAFABA5ADF7}"/>
    <cellStyle name="Currency 3 2 3" xfId="1852" xr:uid="{00000000-0005-0000-0000-00004B030000}"/>
    <cellStyle name="Currency 3 2 3 2" xfId="30615" xr:uid="{2D020D6F-B1E2-42BA-9525-8CD612C11686}"/>
    <cellStyle name="Currency 3 2 3 2 2" xfId="30821" xr:uid="{793F920B-E972-4134-AAFB-C8B0826B0E0C}"/>
    <cellStyle name="Currency 3 2 3 2 3" xfId="32041" xr:uid="{4A5D9B89-7FFD-4A41-8468-1CB739D7E422}"/>
    <cellStyle name="Currency 3 2 3 3" xfId="30576" xr:uid="{B4E6E47A-8B2C-4E61-BB8D-30D9C4F7C82A}"/>
    <cellStyle name="Currency 3 2 3 4" xfId="30942" xr:uid="{F852420D-7AB5-4DD1-92DF-D97324C12DE3}"/>
    <cellStyle name="Currency 3 2 3 5" xfId="31895" xr:uid="{4000D289-5F01-4F3B-911C-945EC620B634}"/>
    <cellStyle name="Currency 3 2 4" xfId="1850" xr:uid="{00000000-0005-0000-0000-00004C030000}"/>
    <cellStyle name="Currency 3 2 4 2" xfId="30557" xr:uid="{143D821B-A1E5-45AA-8D28-FA09A9A6E54E}"/>
    <cellStyle name="Currency 3 2 4 2 2" xfId="30822" xr:uid="{5A603EFF-9CB2-4DC6-9418-67911C9EF2AE}"/>
    <cellStyle name="Currency 3 2 4 3" xfId="31839" xr:uid="{0A041585-9CA6-44D3-B9D1-4FCECFE3E4F7}"/>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5 3 2" xfId="31907" xr:uid="{AC58BF11-0A9B-43AA-BA28-183E2F414E3F}"/>
    <cellStyle name="Currency 3 2 6" xfId="9516" xr:uid="{A25B73E7-4A18-4EDD-982A-FC35F1B762F1}"/>
    <cellStyle name="Currency 3 2 6 2" xfId="19896" xr:uid="{FCE94371-A497-4F1A-B43C-D5DF03027CDF}"/>
    <cellStyle name="Currency 3 2 6 3" xfId="32054" xr:uid="{A7C6B78F-DDC9-42CA-BAA2-6F0C966BB5CD}"/>
    <cellStyle name="Currency 3 2 7" xfId="25617" xr:uid="{E1682AC9-7E11-46F4-8DF3-337BFBCF6CAC}"/>
    <cellStyle name="Currency 3 2 8" xfId="14230" xr:uid="{ADDB2CFA-D549-4A22-A71D-B2AEB10EA70D}"/>
    <cellStyle name="Currency 3 2 9" xfId="31827" xr:uid="{52C7FB8A-1DDB-4A77-B5A6-63492892AAA5}"/>
    <cellStyle name="Currency 3 3" xfId="30413" xr:uid="{D9261D7C-4BB0-4F23-8A7D-89513C8C9F65}"/>
    <cellStyle name="Currency 3 3 2" xfId="31735" xr:uid="{9F28017B-09FD-4116-95EA-3C6191C16857}"/>
    <cellStyle name="Currency 3 3 2 2" xfId="31816" xr:uid="{3E659D78-DB93-45BB-8A82-9F613B244B5E}"/>
    <cellStyle name="Currency 3 3 3" xfId="31734" xr:uid="{2E19853A-BD9B-49B2-BD11-BAA078192F75}"/>
    <cellStyle name="Currency 3 3 4" xfId="31732" xr:uid="{28236B07-0D25-4CEF-8149-7AE901FE2386}"/>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2 3" xfId="31925" xr:uid="{1E670417-8F45-4F51-97F8-1E1A6B40993E}"/>
    <cellStyle name="Currency 3 4 2 3" xfId="30566" xr:uid="{CF89AC64-B129-47C4-9033-859EF82BC59F}"/>
    <cellStyle name="Currency 3 4 2 4" xfId="30932" xr:uid="{BFD1A78F-8924-435D-8C6C-0D4901C78012}"/>
    <cellStyle name="Currency 3 4 2 5" xfId="31857" xr:uid="{F8A31AC0-E427-43BB-B0C1-906E09C144B0}"/>
    <cellStyle name="Currency 3 4 3" xfId="30558" xr:uid="{20CD84F8-EDE8-4AF4-B532-A3E1B5109EF4}"/>
    <cellStyle name="Currency 3 4 3 2" xfId="30635" xr:uid="{DF88B98C-68E1-47F3-A338-2C5D7520D934}"/>
    <cellStyle name="Currency 3 4 3 2 2" xfId="32055" xr:uid="{ED943B0D-492A-4521-B27A-33CEAC0BD6DA}"/>
    <cellStyle name="Currency 3 4 3 3" xfId="30945" xr:uid="{45BC16B4-B7BF-4099-8716-EADE89E871F5}"/>
    <cellStyle name="Currency 3 4 3 4" xfId="31840" xr:uid="{E2598A25-9105-49BE-AC7F-838F798C8791}"/>
    <cellStyle name="Currency 3 4 4" xfId="30591" xr:uid="{68808DD4-EE59-4BA1-BF12-A45A21B1D415}"/>
    <cellStyle name="Currency 3 4 4 2" xfId="31908" xr:uid="{D9DE6A77-86AB-44DD-A406-4B3B341C8199}"/>
    <cellStyle name="Currency 3 4 5" xfId="30624" xr:uid="{D16E1CA0-3C3A-427D-9FC3-9BB85E6A1553}"/>
    <cellStyle name="Currency 3 4 5 2" xfId="32045" xr:uid="{D5589781-F993-4539-BA91-29CAC8DDA8BA}"/>
    <cellStyle name="Currency 3 4 6" xfId="30922" xr:uid="{FAD81B93-BBB8-43D5-BD80-94DF096C6A51}"/>
    <cellStyle name="Currency 3 4 7" xfId="31828" xr:uid="{5E608FF0-A36A-4EC0-B673-0455B374002C}"/>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2 3" xfId="31926" xr:uid="{8A948CDC-8D37-4E47-AAE4-A70DEB6F7B82}"/>
    <cellStyle name="Currency 3 5 2 3" xfId="30567" xr:uid="{DD97E0D8-3A98-41BE-B0BE-039F013CA0A8}"/>
    <cellStyle name="Currency 3 5 2 4" xfId="30933" xr:uid="{7558C0CC-CC3C-48DB-873C-E663906AD405}"/>
    <cellStyle name="Currency 3 5 2 5" xfId="31858" xr:uid="{446AD5F5-890B-4FE6-81A8-4265967BABA9}"/>
    <cellStyle name="Currency 3 5 3" xfId="30592" xr:uid="{06599778-836F-4CFE-92BA-FDF17CE2D98E}"/>
    <cellStyle name="Currency 3 5 3 2" xfId="30636" xr:uid="{2D11F2B4-9C32-4FD4-856C-702A205F961B}"/>
    <cellStyle name="Currency 3 5 3 2 2" xfId="32056" xr:uid="{BF770617-A9D6-4FA9-8662-6FB8221BE100}"/>
    <cellStyle name="Currency 3 5 3 3" xfId="30946" xr:uid="{DF42840B-E34C-485E-9570-C84EC1F5ECCC}"/>
    <cellStyle name="Currency 3 5 3 4" xfId="31909" xr:uid="{E9088C26-36C7-4F5F-92F9-F536C76797A2}"/>
    <cellStyle name="Currency 3 5 4" xfId="30625" xr:uid="{DFF81114-405C-4BD9-882E-3E6DCC627BBA}"/>
    <cellStyle name="Currency 3 5 4 2" xfId="32046" xr:uid="{CA9F28BF-B569-4D7A-85E6-9958985943F0}"/>
    <cellStyle name="Currency 3 5 5" xfId="30923" xr:uid="{889487E8-CDE1-4124-A152-07293079280A}"/>
    <cellStyle name="Currency 3 5 6" xfId="31841" xr:uid="{E192612E-6E5F-4B47-8C9E-47A51B4704E0}"/>
    <cellStyle name="Currency 3 6" xfId="30556" xr:uid="{E6F281E3-0276-4ECA-AC9C-37A1F772038D}"/>
    <cellStyle name="Currency 3 7" xfId="30573" xr:uid="{5086352A-41FE-4853-9FBE-0A6014B61D30}"/>
    <cellStyle name="Currency 3 7 2" xfId="30612" xr:uid="{7367140C-062D-4451-8ECD-8EE326D93E2A}"/>
    <cellStyle name="Currency 3 7 2 2" xfId="31960" xr:uid="{66EB5E57-DBC9-4E71-9305-0EC1D743F648}"/>
    <cellStyle name="Currency 3 7 3" xfId="30631" xr:uid="{EE3C1B3E-C238-41D4-83A6-0E95DA0C6E18}"/>
    <cellStyle name="Currency 3 7 4" xfId="30938" xr:uid="{95BC5195-8BFF-481F-A698-758C4BBDB773}"/>
    <cellStyle name="Currency 3 7 5" xfId="31865" xr:uid="{0BD315F1-800E-4811-8073-99B9563F8F6D}"/>
    <cellStyle name="Currency 3 8" xfId="30546" xr:uid="{0CD1A085-9703-4560-91E9-56A6256AB4B6}"/>
    <cellStyle name="Currency 3 8 2" xfId="31819" xr:uid="{F55BEE51-501D-4982-B825-BBA0BAB38156}"/>
    <cellStyle name="Currency 3 8 3" xfId="31831" xr:uid="{ED1D5C51-2569-47B3-801F-2B6962C178FC}"/>
    <cellStyle name="Currency 3 9" xfId="30577" xr:uid="{DB854ECE-A65B-4464-A0DC-C7561B51E415}"/>
    <cellStyle name="Currency 3 9 2" xfId="31896" xr:uid="{527D41E7-CA42-4429-97B6-227DDC2A0EFA}"/>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2 7" xfId="31869" xr:uid="{1710469A-131E-4F71-9BA6-C976F3556DB9}"/>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2 3" xfId="32126" xr:uid="{22C21047-2ACC-4C94-AAD1-1F68D7BA00B2}"/>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2 3" xfId="32125" xr:uid="{2C83FF74-5639-4371-8332-26D75BE26CF5}"/>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5 7" xfId="31893" xr:uid="{DF4487F2-5BD7-439E-B09A-A2F15F43FF74}"/>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2 3" xfId="32129" xr:uid="{2645F8F3-C2A1-4651-80CF-B01EE8314E10}"/>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2 3" xfId="32128" xr:uid="{D3DAE93C-D987-4FD5-A335-0382D1124F65}"/>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6 7" xfId="31874" xr:uid="{B047DAEE-6B2A-4B49-8612-4CA414C4BEBC}"/>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2 3" xfId="32130" xr:uid="{1FE35EC0-1DC0-45B3-AB09-4AED1C9AC1EB}"/>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8 5" xfId="31910" xr:uid="{FBD73BCD-156C-44C3-B7C2-B7CF00E78E51}"/>
    <cellStyle name="Currency 4 2 9" xfId="3882" xr:uid="{DC251A4F-5AD9-45C1-BD34-8461C5214166}"/>
    <cellStyle name="Currency 4 2 9 2" xfId="8714" xr:uid="{C1BC6D1A-7EE7-4C47-87C8-C0673B800AAC}"/>
    <cellStyle name="Currency 4 2 9 2 2" xfId="19094" xr:uid="{648BA1C2-C386-4F11-BB8B-8B4A1CC8CB92}"/>
    <cellStyle name="Currency 4 2 9 2 3" xfId="32127" xr:uid="{2957658D-9CCF-4697-BE9E-F90E96191038}"/>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6 7" xfId="31888" xr:uid="{91248BD6-B894-42CD-BDA3-6AF0CE3674B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2 3" xfId="32132" xr:uid="{424B50D6-C247-47DF-858B-7B496FACD76F}"/>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2 3" xfId="32131" xr:uid="{110AA42F-8E2E-4EB2-909F-07EFDA2E0D87}"/>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5 7" xfId="31884" xr:uid="{AF0D366C-DE78-4EC7-8DBA-456F1FE6011A}"/>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2 3" xfId="32134" xr:uid="{B1DA2A63-9049-4B80-8B71-196F9756A1F4}"/>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7 5" xfId="31911" xr:uid="{56702248-79D0-48D9-8F69-07EDA8538607}"/>
    <cellStyle name="Currency 4 4 8" xfId="3885" xr:uid="{8F492FEB-DD26-4D92-B639-56080C96DAD0}"/>
    <cellStyle name="Currency 4 4 8 2" xfId="8717" xr:uid="{DAD2360B-067F-4D07-A858-480B67333D2B}"/>
    <cellStyle name="Currency 4 4 8 2 2" xfId="19097" xr:uid="{C7898B95-E082-451B-B2EC-50C3150B9BA5}"/>
    <cellStyle name="Currency 4 4 8 2 3" xfId="32133" xr:uid="{7096FF04-5997-4D83-A1E1-EC5FFCFD6634}"/>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2 3" xfId="32135" xr:uid="{A0C95EA7-8F4D-449A-AA42-1AE06ACD9872}"/>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2 3" xfId="32136" xr:uid="{F7BFE668-7D1F-4A29-ADAD-0E6F871906E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2 3" xfId="32137" xr:uid="{93542330-A69D-4CFB-ABA2-A23D9ABCBC7D}"/>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2 3" xfId="32138" xr:uid="{4FFC4094-E14C-4CF6-BB31-A5FC4CE1B88D}"/>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2 7" xfId="31859" xr:uid="{E5E94E43-A787-4E5C-BF22-7A920E3BEDD9}"/>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2 3 2" xfId="31927" xr:uid="{2DC96381-5962-4553-BA85-4D8275D79925}"/>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4 7" xfId="31880" xr:uid="{D97E7425-7BFC-4DC7-BB15-DDF4E32F76C1}"/>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2 7" xfId="31860" xr:uid="{D598EDCA-5B56-4388-AF3B-0DA4751EAE67}"/>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2 3 2" xfId="31928" xr:uid="{7C83B399-B8F2-43D0-B8A4-3E46130CA8A3}"/>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4 7" xfId="31877" xr:uid="{D54AEEAE-F2A4-4721-9837-B76D628A86CE}"/>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2 3" xfId="32139" xr:uid="{672CFB64-21E0-4B4E-AF17-A86C361853EC}"/>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4 5" xfId="31912" xr:uid="{9F02ACE8-22C8-4B2F-B3A8-EDB5814E1B4C}"/>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5 7" xfId="31890" xr:uid="{501311EF-FCB0-4B84-81C4-AF9A73D59402}"/>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2 3" xfId="32142" xr:uid="{87A62E92-886E-407F-A36A-A95D459D0217}"/>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2 3" xfId="32141" xr:uid="{33CB68B5-DFEC-4C51-B4E2-CBF799C88F58}"/>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6 7" xfId="31872" xr:uid="{CDF23C35-61BD-46C5-A674-47EFC1A248B2}"/>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2 3" xfId="32143" xr:uid="{B50DB30A-B5E8-4AD3-AACA-FB7DC2A9764E}"/>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8 5" xfId="31913" xr:uid="{A8D5EDDF-8F77-44CC-B66A-B62FE327F46D}"/>
    <cellStyle name="Currency 5 9" xfId="3890" xr:uid="{089FD322-7546-4AC5-8174-2B983C2A3FFE}"/>
    <cellStyle name="Currency 5 9 2" xfId="8722" xr:uid="{46C8EBAA-AF0F-49E2-B11D-4F23B851DDE3}"/>
    <cellStyle name="Currency 5 9 2 2" xfId="19102" xr:uid="{3CB0A62C-3199-451E-93BA-2F628417CE2F}"/>
    <cellStyle name="Currency 5 9 2 3" xfId="32140" xr:uid="{D596C57B-E3A2-41DC-81A1-2772CA5A305B}"/>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2 2" xfId="31923" xr:uid="{0998D414-2D96-4C50-882D-EE5189C77E6C}"/>
    <cellStyle name="Currency 8 3" xfId="14227" xr:uid="{12253B7A-9A70-4C29-8C8E-F200B7DAA98B}"/>
    <cellStyle name="Currency 8 4" xfId="30930" xr:uid="{D45966F1-6C24-42C2-8D71-F9FB2965BA9E}"/>
    <cellStyle name="Currency 8 5" xfId="31855" xr:uid="{9904D3F9-F7E3-4597-B75E-BBC7C9F617EA}"/>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2 2" xfId="32144" xr:uid="{2076314F-0C2C-40FA-8063-DE6E8757118A}"/>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2 4" xfId="31979" xr:uid="{38D1A145-888E-419C-8F57-C69C78843014}"/>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2 4" xfId="32039" xr:uid="{C8FF90D1-C395-4B5F-8888-44CE9C4F3280}"/>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2 4" xfId="32027" xr:uid="{54010F1F-A974-4222-A2FC-166045176EC2}"/>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2 2" xfId="32057" xr:uid="{15FBA12F-95D2-4C63-A5B2-194A8AA2AA1B}"/>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2 4" xfId="32009" xr:uid="{CDDBC40C-804F-45DD-B7D4-EB8E7F64DFC9}"/>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2 2" xfId="32058" xr:uid="{7BD6922C-EDDA-4D9E-AF74-FBAF265F1F51}"/>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2 4" xfId="31994" xr:uid="{C12B04AA-304A-42B9-9ACD-D3BA382B9E87}"/>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2 2" xfId="32059" xr:uid="{D9ADB9B1-4712-46B8-A3C2-F73429E4E13A}"/>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2 4" xfId="32011" xr:uid="{3DBFDDD5-6B70-4F43-84DB-D9E54FC02B2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2 2" xfId="32060" xr:uid="{FB1E3D30-BC8D-4A15-AB1A-7D7BD602B8AA}"/>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2 4" xfId="32010" xr:uid="{56F60B5F-ADD6-4E56-AC32-E3944C8ED9DD}"/>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2 2" xfId="32061" xr:uid="{F5BDACB9-A2AD-4394-8395-EC57D9A02B9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2 4" xfId="32008" xr:uid="{030B6426-68B4-495A-A253-E6CD7C4A1E36}"/>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2 4" xfId="31993" xr:uid="{0D82AFC6-1CD4-4608-9D6D-AE1D9CD20E57}"/>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2 2" xfId="32145" xr:uid="{7A986269-059D-4A84-8AC2-A013073E44BC}"/>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2 4" xfId="31966" xr:uid="{B03ACD2D-B0AB-4050-B975-9CA8F62BC367}"/>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2 2" xfId="32146" xr:uid="{0B1676BD-B0A0-4142-9B33-74BC1192A253}"/>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2 4" xfId="31916" xr:uid="{4A31410A-E752-4775-9094-E614E37952AC}"/>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2 4" xfId="31995" xr:uid="{6CA2A1C6-27CD-403F-ACA8-C2A611C74B44}"/>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2 2" xfId="32062" xr:uid="{C14E34D2-DAD9-4BFA-92A2-A308EE79871D}"/>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2 4" xfId="31980" xr:uid="{1F8259BA-EDA3-47E5-95E0-F7E5E307A268}"/>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2 4" xfId="31967" xr:uid="{8C9D54E9-D9E3-4A2F-9ECA-DDF683FC195B}"/>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2 4" xfId="31929" xr:uid="{C2337410-3C33-4C89-9FBB-8CA9BBE27913}"/>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2 2" xfId="32063" xr:uid="{AFFCB178-8114-4660-B5E6-674FC534395A}"/>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2 2" xfId="32147" xr:uid="{C9EB7F82-20FC-4BDB-99D4-1187913CB4E7}"/>
    <cellStyle name="Normal 2 16 2 3" xfId="14356" xr:uid="{8F0649BB-FB29-4495-8867-9DADDE3172C1}"/>
    <cellStyle name="Normal 2 16 2 4" xfId="31953" xr:uid="{B01B254F-B571-4A0D-AA82-6B71673DB7C5}"/>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2 2" xfId="32160" xr:uid="{1764043C-B781-42D8-AFE2-9C4B95348CB7}"/>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2 4" xfId="31996" xr:uid="{F1FB0830-B439-479F-91B6-844FE5A4B06C}"/>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2 2" xfId="32064" xr:uid="{0E497CE4-903D-4333-B13A-D0FADA2C7363}"/>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2 4" xfId="31981" xr:uid="{3FE497FD-6B95-47A9-9A5C-61E87C703C89}"/>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2 4" xfId="31968" xr:uid="{9082F729-AC48-4F7A-8C02-A18E9A5403F3}"/>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2 4" xfId="31931" xr:uid="{4F5808B5-D516-494F-B920-99536D39003D}"/>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2 2" xfId="32148" xr:uid="{5BB95D60-D95B-40FD-AC24-F23A6AD06D52}"/>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2 2" xfId="32149" xr:uid="{BFEE2F9D-7BE6-41F0-BEBC-CBBCBC56D58B}"/>
    <cellStyle name="Normal 2 2 16 2 3" xfId="15102" xr:uid="{A6040207-EB44-4575-8EA9-C4CE90C60DC5}"/>
    <cellStyle name="Normal 2 2 16 2 4" xfId="31930" xr:uid="{1C3DE815-76D0-4A7B-BB6B-BB3C889E72BF}"/>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2 4" xfId="31954" xr:uid="{62216A0C-A3AC-4123-8C3A-BB6D64589EA1}"/>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2 4" xfId="31933" xr:uid="{38DE37DF-9E96-4FFC-8C0C-4AE3A956F0AC}"/>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2 4" xfId="31932" xr:uid="{14E6CACA-119B-499B-99F4-5FA6BE6070B8}"/>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2 4" xfId="31962" xr:uid="{0ABCB8EF-F768-4C6F-80CF-BD70A06934FA}"/>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2 4" xfId="32035" xr:uid="{956701D9-B351-4249-A733-896FACB3AD77}"/>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2 4" xfId="32021" xr:uid="{609B5B8D-3A25-4697-8FA5-5F08B118CA04}"/>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2 2" xfId="32065" xr:uid="{D654C5C1-5CFD-45F4-8EA8-5A4B725DFBCE}"/>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2 4" xfId="32002" xr:uid="{76866978-7BBB-49B7-9CA1-1A853ED37A4A}"/>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2 2" xfId="32066" xr:uid="{4163FB31-1B8A-4E97-AFB1-09EE512CA91C}"/>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2 4" xfId="31987" xr:uid="{C3062188-E588-418A-8552-09F6183CDD73}"/>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2 4" xfId="31974" xr:uid="{67E74D36-B447-4AD9-B73A-64D0FF4FF046}"/>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2 4" xfId="32029" xr:uid="{7CBA7F8E-AEF0-4188-80F8-98426BDC943A}"/>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2 4" xfId="32013" xr:uid="{A847CBFA-0268-4628-9D75-4E7D7FB0E31A}"/>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2 4" xfId="31935" xr:uid="{84BAE09F-C902-4802-AD16-7B7945A4EE4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2 4" xfId="31934" xr:uid="{731535C5-77A9-45AF-B2EA-1F9A6B98AAEF}"/>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2 4" xfId="31961" xr:uid="{69BFA508-90D8-4807-A665-EB7FC41D757E}"/>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2 4" xfId="32034" xr:uid="{0A4C15B0-FD0E-4428-9CA4-865154A2FDA3}"/>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2 4" xfId="32019" xr:uid="{C797CCB6-73D7-4D8F-A255-C3F4CAB87F1C}"/>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2 2" xfId="32067" xr:uid="{50D86148-671D-4B78-AC34-4CAC70D6F230}"/>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2 4" xfId="32001" xr:uid="{162BEBFF-71B2-4B32-B1F7-CFB72D660AC4}"/>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2 2" xfId="32068" xr:uid="{B65F8662-8FF8-45D9-BF7F-1A99ABC105C4}"/>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2 4" xfId="31986" xr:uid="{92E47C7F-6C71-4B92-B2A4-ADBEF869C61E}"/>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2 4" xfId="31973" xr:uid="{390896A4-7501-460F-B57E-11981CB4EDDB}"/>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2 4" xfId="32020" xr:uid="{10002C3B-A598-459B-BDD8-0DA2E5152D63}"/>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2 4" xfId="32028" xr:uid="{71417039-AA51-42D5-9E7B-1A0AA588AF6A}"/>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2 4" xfId="32012" xr:uid="{BA6F66C5-F1D6-4F36-BD15-D9D3B33207F6}"/>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3 3" xfId="31724" xr:uid="{D98DBDA1-DE35-44FC-A51F-0E68FED6456E}"/>
    <cellStyle name="Normal 25" xfId="30098" xr:uid="{07506169-A6FD-44A0-8C52-1A1EF451F172}"/>
    <cellStyle name="Normal 25 2" xfId="31723" xr:uid="{3E4F77F9-7215-4CE0-8C24-44A124B9C10D}"/>
    <cellStyle name="Normal 26" xfId="30103" xr:uid="{7027CCDA-B9FD-43DE-A40A-182DF76F28F4}"/>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7" xfId="30118" xr:uid="{3A8EA0EB-6553-4DE0-BA6D-E554B6EEBC52}"/>
    <cellStyle name="Normal 3 2 3 3 2 3 7 2" xfId="30479" xr:uid="{12261BA5-6EBE-49C8-858C-4433B97E2B8F}"/>
    <cellStyle name="Normal 3 2 3 3 2 3 8" xfId="31737" xr:uid="{46494BCD-83DB-4F70-97A7-4AF0AE70CC8A}"/>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4" xfId="30354" xr:uid="{93657840-58F4-4379-9A8A-0046F497FB51}"/>
    <cellStyle name="Normal 3 2 3 3 2 4 3 4 2" xfId="31696" xr:uid="{A40DE0E8-AD45-4E9B-94C0-51490D3093FE}"/>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7" xfId="30117" xr:uid="{019B4B8F-7996-40B8-8487-A11E7446390C}"/>
    <cellStyle name="Normal 3 2 3 3 2 7 2" xfId="30478" xr:uid="{A9A1F17C-F870-4AC2-99F8-4C92612CB29A}"/>
    <cellStyle name="Normal 3 2 3 3 2 8" xfId="31736" xr:uid="{229D353E-A30C-43F1-9996-80B4FC8A0EF2}"/>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5" xfId="25609" xr:uid="{AE0E7AAC-A35C-4739-83F7-24B2349D3A43}"/>
    <cellStyle name="Normal 3 2 3 3 4 2 3 6" xfId="30536" xr:uid="{5DF49D80-F591-4B6B-AC8D-0AA109DB5F47}"/>
    <cellStyle name="Normal 3 2 3 3 4 2 3 7" xfId="31739" xr:uid="{127ED3B2-D702-4FAE-9CC7-C0ADFA366200}"/>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7" xfId="30119" xr:uid="{21708935-4338-4B04-A5B4-2B12A5C766F5}"/>
    <cellStyle name="Normal 3 2 3 3 4 7 2" xfId="30480" xr:uid="{F378E57F-2EEC-4F55-AB97-A5FA15FB5A75}"/>
    <cellStyle name="Normal 3 2 3 3 4 8" xfId="31738" xr:uid="{F7C74FB9-95DE-4275-9584-1762CC085B5E}"/>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7" xfId="30121" xr:uid="{B13A17FC-0920-42D9-BFD0-704A408A0A4C}"/>
    <cellStyle name="Normal 3 2 3 4 3 7 2" xfId="30482" xr:uid="{10C38449-8AAA-4472-A41E-21A90DBA3EF1}"/>
    <cellStyle name="Normal 3 2 3 4 3 8" xfId="31741" xr:uid="{602E4FFC-94BB-4F61-90CF-688962F9178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7" xfId="30120" xr:uid="{2902EA16-525C-4490-96D7-08F0557F0425}"/>
    <cellStyle name="Normal 3 2 3 4 7 2" xfId="30481" xr:uid="{DF6E23B2-6945-41B0-8306-2F702DBA91A9}"/>
    <cellStyle name="Normal 3 2 3 4 8" xfId="31740" xr:uid="{AA8C00EF-A7BF-4FD4-BBBD-6C3D6D0694F5}"/>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5 5" xfId="31742" xr:uid="{61325C4C-941D-4494-987E-833BB4833871}"/>
    <cellStyle name="Normal 3 2 3 6" xfId="30112" xr:uid="{2DA27080-57C7-488E-9E66-228C66F3BB6F}"/>
    <cellStyle name="Normal 3 2 3 6 2" xfId="30471" xr:uid="{CBE48B84-9220-4165-B20B-487010328F48}"/>
    <cellStyle name="Normal 3 2 3 7" xfId="31725" xr:uid="{8C7E33EC-EAD4-4BAC-8F45-98F48E6C2362}"/>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7" xfId="30123" xr:uid="{2FC8C8CB-77C8-4CE3-9500-8BBF0E8D3D67}"/>
    <cellStyle name="Normal 3 2 4 3 7 2" xfId="30485" xr:uid="{FF9CD143-3DC5-4E78-9669-CDD5E69991DD}"/>
    <cellStyle name="Normal 3 2 4 3 8" xfId="31744" xr:uid="{96113754-C3FC-4438-9547-EA5AC917207F}"/>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4" xfId="30355" xr:uid="{C34059E2-DD63-4FD3-8EEB-54B190A38F45}"/>
    <cellStyle name="Normal 3 2 4 4 2 4 2" xfId="31697" xr:uid="{6DCD7FB8-B5FD-4C77-BBC6-EAED650E4CF3}"/>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7" xfId="30122" xr:uid="{2CF31ED3-BF8A-4420-A35A-63A9374EE9CB}"/>
    <cellStyle name="Normal 3 2 4 7 2" xfId="30484" xr:uid="{E8D1DD0B-859F-4702-9615-4F14D8E78C95}"/>
    <cellStyle name="Normal 3 2 4 8" xfId="31743" xr:uid="{D9F5864D-8A48-4CE2-BFC1-7A133942BAA4}"/>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5 6" xfId="31745" xr:uid="{54F08EBA-DD4A-4949-B4DD-99D1538EF5C0}"/>
    <cellStyle name="Normal 3 2 6" xfId="30109" xr:uid="{E75C1CB2-D09F-4E20-9707-91B0AD896C89}"/>
    <cellStyle name="Normal 3 2 6 2" xfId="31495" xr:uid="{75618FDA-0DC1-449E-A37B-B4C7EE151DBA}"/>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2 4" xfId="31997" xr:uid="{88CCFCFD-8E71-40E5-BC32-628160838B64}"/>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2 2" xfId="32069" xr:uid="{7C55F9FB-804C-499B-BB70-FF09FDE392D0}"/>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2 4" xfId="31982" xr:uid="{713D400F-EA9F-4C03-838D-44AD72F3D29F}"/>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2 4" xfId="31969" xr:uid="{0C4751D4-2040-4BA5-86A1-C9DE246C98C3}"/>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2 2" xfId="32150" xr:uid="{5AF9767F-3AFD-4813-9DB6-2E1E26FCC480}"/>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2 2" xfId="32151" xr:uid="{DB4975C2-F1BC-4CAC-8996-943D5D2583AF}"/>
    <cellStyle name="Normal 4 16 2 3" xfId="14505" xr:uid="{6F1450C7-6852-41A6-99A6-860D40DDC944}"/>
    <cellStyle name="Normal 4 16 2 4" xfId="31936" xr:uid="{6B3E511E-6C12-4682-A7E6-29E4F91C041C}"/>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2 4" xfId="31955" xr:uid="{241DC673-0F6E-447E-8E66-2EB58DACA0B0}"/>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2 2" xfId="32070" xr:uid="{E32EAD59-6873-4D0A-B8C6-315A47D2A0DC}"/>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2 4" xfId="31983" xr:uid="{9EC014A8-A12A-41BA-A778-16F2C526B7A3}"/>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2 4" xfId="31970" xr:uid="{D202CCE4-97FF-4434-8E0D-174B9AA8DA2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2 4" xfId="31938" xr:uid="{06240A12-0F3A-41B7-8FC1-B446473B4898}"/>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2 2" xfId="32152" xr:uid="{9FC9B965-C687-4334-8292-A2D8AAA05276}"/>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2 2" xfId="32153" xr:uid="{DE42C8E1-0B39-4CA5-9A61-DEB01B79F004}"/>
    <cellStyle name="Normal 4 2 14 2 3" xfId="15103" xr:uid="{C59EDB31-B160-4473-BBB4-631B98FC424F}"/>
    <cellStyle name="Normal 4 2 14 2 4" xfId="31937" xr:uid="{08655C9C-2F74-4AEA-ACD8-B374ABA86416}"/>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2 4" xfId="31956" xr:uid="{CB219200-89E8-4790-A3FC-9B8A41A2764C}"/>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2 4" xfId="31940" xr:uid="{BB269C37-6D96-4528-88EE-C46856E8129C}"/>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2 4" xfId="31939" xr:uid="{FF1B95E9-5ED3-470E-B360-0D3E57B96D14}"/>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2 4" xfId="31964" xr:uid="{3FFBAF45-76AA-4FDF-8847-53A44AACA6DB}"/>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2 4" xfId="32037" xr:uid="{F7CA60C8-CB44-41F0-99FC-C45A08673D66}"/>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2 4" xfId="32023" xr:uid="{BC7A2529-DFD1-4943-A21B-2CB865A20F74}"/>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2 2" xfId="32071" xr:uid="{39BF94E4-0A07-4676-B2B7-A48026D11513}"/>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2 4" xfId="32004" xr:uid="{BA4EAD2F-9AE5-4F61-B553-399EA1C823A7}"/>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2 2" xfId="32072" xr:uid="{124D46F3-AF48-46F7-A2ED-2FA1FAAD9A00}"/>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2 4" xfId="31989" xr:uid="{5867AAC5-0D3E-4929-8C6F-7E11032612E2}"/>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2 4" xfId="31976" xr:uid="{A095AF7E-7EBB-4AE2-A3EB-DDDC4650C6F7}"/>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2 4" xfId="32031" xr:uid="{8BAEEFA1-1A53-47FD-95F2-6BC404D75A74}"/>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2 4" xfId="32015" xr:uid="{230FA6B2-1AD3-4497-B36A-DB569AA37A1F}"/>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2 4" xfId="31998" xr:uid="{F61F584C-5C88-408E-B842-28D752FC46BD}"/>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2 4" xfId="31942" xr:uid="{93F76094-C5C4-4454-ADC1-E74020A5B71F}"/>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2 4" xfId="31941" xr:uid="{6410868E-EB19-4076-91DE-4A912CF44CB7}"/>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2 4" xfId="31963" xr:uid="{CE560E4E-3F43-406D-A7CA-DCA1CAE39233}"/>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2 4" xfId="32036" xr:uid="{698BA252-FFE7-443F-9419-5796E3567775}"/>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2 4" xfId="32022" xr:uid="{AE777995-DC1A-4CD8-991A-750B21B67704}"/>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2 2" xfId="32073" xr:uid="{001D9B03-6E7A-44E5-86BB-BCACE7FA2488}"/>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2 4" xfId="32003" xr:uid="{B567D51C-DC67-4E91-A963-232F97F5532D}"/>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2 2" xfId="32074" xr:uid="{86E7555B-DCD3-4BA4-AF20-03C7CD7DBB52}"/>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2 4" xfId="31988" xr:uid="{5D5CF704-E066-4C7C-89CC-C9F7AF6DF858}"/>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2 4" xfId="31975" xr:uid="{BF0F7817-BF27-4B77-9E12-2A3841749C1C}"/>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2 4" xfId="32030" xr:uid="{FC05D504-FE7D-4EE1-94C7-CA5280AC3EBF}"/>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2 4" xfId="32014" xr:uid="{651ACEF1-D363-47B3-848E-7154109DE783}"/>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7" xfId="30125" xr:uid="{DAC80EA3-45F7-49F1-A349-239CC3856162}"/>
    <cellStyle name="Normal 5 2 2 3 3 2 3 7 2" xfId="30487" xr:uid="{207BB286-D44A-4530-97B5-78C32E75393D}"/>
    <cellStyle name="Normal 5 2 2 3 3 2 3 8" xfId="31747" xr:uid="{8AB3063E-D6AB-41CB-8150-644DD52919DD}"/>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4" xfId="30357" xr:uid="{1C60EA9A-684E-4679-89C8-749CEAB253C5}"/>
    <cellStyle name="Normal 5 2 2 3 3 2 4 3 4 2" xfId="31699" xr:uid="{AD204089-4C71-4050-991D-38E2B324F7EB}"/>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7" xfId="30124" xr:uid="{16F6B502-50DE-40DF-90B1-0876CC1A1C94}"/>
    <cellStyle name="Normal 5 2 2 3 3 2 7 2" xfId="30486" xr:uid="{32F471BB-0723-4682-B1A0-F64159294218}"/>
    <cellStyle name="Normal 5 2 2 3 3 2 8" xfId="31746" xr:uid="{988513EB-16B3-4EF6-803E-0FC5911CDB12}"/>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5" xfId="25793" xr:uid="{BE81E2B3-54B5-44DA-A7B7-DF27FBF44B0E}"/>
    <cellStyle name="Normal 5 2 2 3 3 4 2 3 6" xfId="30537" xr:uid="{6AF04956-A4AA-40F2-9013-C6A327256590}"/>
    <cellStyle name="Normal 5 2 2 3 3 4 2 3 7" xfId="31749" xr:uid="{DD621665-4339-4DEC-B0A8-C806DDA3AA5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7" xfId="30126" xr:uid="{703E38E7-8BA4-47CE-A103-8E02D7643E7A}"/>
    <cellStyle name="Normal 5 2 2 3 3 4 7 2" xfId="30488" xr:uid="{2C6C969A-844E-4616-8573-0FAFBA4D69CF}"/>
    <cellStyle name="Normal 5 2 2 3 3 4 8" xfId="31748" xr:uid="{6CADE4E8-3919-44B2-8611-6240C4E040CB}"/>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7" xfId="30128" xr:uid="{902DB47F-C143-433C-8E02-ECCFBB8FA346}"/>
    <cellStyle name="Normal 5 2 2 3 4 3 7 2" xfId="30490" xr:uid="{56017849-602A-438E-96E0-4DE9B6F02764}"/>
    <cellStyle name="Normal 5 2 2 3 4 3 8" xfId="31751" xr:uid="{6C32F0FB-7106-4CBE-B225-E3ED820E450F}"/>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7" xfId="30127" xr:uid="{920D9317-59AD-4444-9F3B-B0AB3DA1419C}"/>
    <cellStyle name="Normal 5 2 2 3 4 7 2" xfId="30489" xr:uid="{2D2D5388-0491-48DD-9BA0-7F231209010E}"/>
    <cellStyle name="Normal 5 2 2 3 4 8" xfId="31750" xr:uid="{9E5DF9E5-0EF6-4D20-9CC7-9292C04CA04D}"/>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5 5" xfId="31752" xr:uid="{59D64594-A1D6-4930-8D7F-EC8FA9E9FC42}"/>
    <cellStyle name="Normal 5 2 2 3 6" xfId="30104" xr:uid="{93BD7124-346B-4FA7-9E75-822A18739E86}"/>
    <cellStyle name="Normal 5 2 2 3 6 2" xfId="30472" xr:uid="{B7FC6D84-3823-4E1F-9CD2-CD3763CCF30A}"/>
    <cellStyle name="Normal 5 2 2 3 7" xfId="31722" xr:uid="{2825A028-D935-4820-A754-15E49F9A2231}"/>
    <cellStyle name="Normal 5 2 2 3 8" xfId="31726" xr:uid="{3453A55E-33DA-4B2C-97B0-4FDE0BDB2D6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7" xfId="30130" xr:uid="{BDE27110-9B13-48B7-8653-B497F720F538}"/>
    <cellStyle name="Normal 5 2 2 4 3 7 2" xfId="30493" xr:uid="{FD9D9EF5-F197-45A3-BC3A-5650DE888412}"/>
    <cellStyle name="Normal 5 2 2 4 3 8" xfId="31754" xr:uid="{CD3829E3-AACD-4C87-8CC0-F80D1C71ED00}"/>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7" xfId="30129" xr:uid="{2236E3FF-3A86-4CD1-98F1-1886F111A065}"/>
    <cellStyle name="Normal 5 2 2 4 7 2" xfId="30492" xr:uid="{45FC10F0-4741-45B2-BDBE-913619A599F3}"/>
    <cellStyle name="Normal 5 2 2 4 8" xfId="31753" xr:uid="{243EC3BD-9FFD-40FC-BD99-BACDF662193D}"/>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5 4" xfId="31755" xr:uid="{7C72444D-F6C4-4E5C-B5FD-B04A8DCE055B}"/>
    <cellStyle name="Normal 5 2 2 6" xfId="31499"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7" xfId="30132" xr:uid="{83341974-E50B-44D0-9696-9A6A4FF79FC7}"/>
    <cellStyle name="Normal 5 2 4 3 2 3 7 2" xfId="30496" xr:uid="{62A7FCD7-3DD3-460C-A526-2E072EA83AC6}"/>
    <cellStyle name="Normal 5 2 4 3 2 3 8" xfId="31757" xr:uid="{B9273557-DDFF-49A0-BBE4-2DCBF288687A}"/>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4" xfId="30359" xr:uid="{BB7BBCD9-B969-4973-A8B6-6CB722F841E4}"/>
    <cellStyle name="Normal 5 2 4 3 2 4 3 4 2" xfId="31700" xr:uid="{F60ECDD6-7D39-47D2-80B0-FE4508F286D8}"/>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7" xfId="30131" xr:uid="{C81275DE-CA30-40D7-AD33-FAB62E0FACED}"/>
    <cellStyle name="Normal 5 2 4 3 2 7 2" xfId="30495" xr:uid="{8AAC8AE9-2926-47D6-87B5-9E837B1CDB4A}"/>
    <cellStyle name="Normal 5 2 4 3 2 8" xfId="31756" xr:uid="{9938D979-992C-45C9-A011-A32529FDA924}"/>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5" xfId="25282" xr:uid="{C7B4FAF3-1BA0-45BB-BA6F-44260C736B84}"/>
    <cellStyle name="Normal 5 2 4 3 4 2 3 6" xfId="30538" xr:uid="{63E07DC7-F18F-4505-A38A-112CFA74FEBB}"/>
    <cellStyle name="Normal 5 2 4 3 4 2 3 7" xfId="31759" xr:uid="{7516F35A-37B8-4EE6-A16C-04C72972839D}"/>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7" xfId="30133" xr:uid="{0FF9C2E0-D12A-4ABC-95BB-3755B3F83C84}"/>
    <cellStyle name="Normal 5 2 4 3 4 7 2" xfId="30497" xr:uid="{FC91A448-0B30-4A6D-BA82-B1E29BB27650}"/>
    <cellStyle name="Normal 5 2 4 3 4 8" xfId="31758" xr:uid="{A3D827CF-8C9C-4828-B121-38C619AFC470}"/>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7" xfId="30135" xr:uid="{043D8D7C-0FB5-4B99-8C37-48CD2D0D46E8}"/>
    <cellStyle name="Normal 5 2 4 4 3 7 2" xfId="30499" xr:uid="{530030F0-59D0-4660-8567-AD5B7CB24B9B}"/>
    <cellStyle name="Normal 5 2 4 4 3 8" xfId="31761" xr:uid="{9C3BCB0F-500F-496C-901A-31D6E827C562}"/>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8" xfId="30134" xr:uid="{2E70D3D9-38AE-4F46-AE0C-D4B00782AB6B}"/>
    <cellStyle name="Normal 5 2 4 4 8 2" xfId="30498" xr:uid="{FF04236F-3AE0-4DDD-A3DA-183F84BE2F5D}"/>
    <cellStyle name="Normal 5 2 4 4 9" xfId="31760" xr:uid="{D7619D68-9C99-49B4-94AA-97D134585AA2}"/>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4" xfId="30461" xr:uid="{15BA9B86-0397-4682-A1E5-049E65187509}"/>
    <cellStyle name="Normal 5 2 4 5 5" xfId="30500" xr:uid="{0311EE71-B5C4-4A8B-9CB9-F51438F5F7D7}"/>
    <cellStyle name="Normal 5 2 4 5 6" xfId="31762" xr:uid="{CE33E6AB-B745-478A-B2E4-1167E961244A}"/>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7" xfId="30113" xr:uid="{342BA205-8867-43D9-9B72-B399D3F5B164}"/>
    <cellStyle name="Normal 5 2 4 7 2" xfId="30473" xr:uid="{BD37669B-A0D9-4854-A41E-C8C8D8D8F3B6}"/>
    <cellStyle name="Normal 5 2 4 8" xfId="31727" xr:uid="{E97D3A17-C969-45F2-A60C-626E662AB834}"/>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7" xfId="30137" xr:uid="{42B1072C-8B2A-4FA2-81EC-269C4E84A3A5}"/>
    <cellStyle name="Normal 5 2 6 3 7 2" xfId="30502" xr:uid="{54FBF52F-2716-45C2-84B6-D21E6196F530}"/>
    <cellStyle name="Normal 5 2 6 3 8" xfId="31764" xr:uid="{755B1231-C5D3-4239-9CAF-5D01290B758B}"/>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4" xfId="30360" xr:uid="{704420A6-BB13-4C4A-98E2-F5E54ACD7C79}"/>
    <cellStyle name="Normal 5 2 6 4 2 4 2" xfId="31701" xr:uid="{BFDDA610-75E9-4FB0-AECA-C28A0E3EE21C}"/>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7" xfId="30136" xr:uid="{E209EADA-9019-48FA-A3B0-FD7DD812FC2D}"/>
    <cellStyle name="Normal 5 2 6 7 2" xfId="30501" xr:uid="{806443B8-0098-40D3-A0A9-566A12CC2022}"/>
    <cellStyle name="Normal 5 2 6 8" xfId="31763" xr:uid="{E12FE903-6EF2-4427-9A93-48757E18010E}"/>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6" xfId="30466" xr:uid="{B67CE484-5AAE-4B38-A64C-FCA93C257D22}"/>
    <cellStyle name="Normal 5 2 7 7" xfId="30503" xr:uid="{F7491843-7F9F-43C5-8AC2-233B453AC06B}"/>
    <cellStyle name="Normal 5 2 7 8" xfId="31765" xr:uid="{535D6C31-B109-42E8-B52B-B56E0EDACDD2}"/>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7" xfId="30139" xr:uid="{CEEC2368-E04C-4884-B7E9-1C0EF9192CCC}"/>
    <cellStyle name="Normal 5 3 3 2 3 7 2" xfId="30505" xr:uid="{40091B9F-9A6C-4CD3-B1C9-52952B51C499}"/>
    <cellStyle name="Normal 5 3 3 2 3 8" xfId="31767" xr:uid="{66731750-8B28-47F8-9528-F9CC8CEE5E91}"/>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7" xfId="30138" xr:uid="{D531B8A8-AA54-477A-BB5E-9C4205A9F66B}"/>
    <cellStyle name="Normal 5 3 3 2 7 2" xfId="30504" xr:uid="{F0BFF427-E566-43AB-88DF-26A10FC54877}"/>
    <cellStyle name="Normal 5 3 3 2 8" xfId="31766" xr:uid="{D66B8390-195E-4AE8-AA91-DCD331A94858}"/>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5" xfId="24944" xr:uid="{9F045087-C642-46A8-91FD-AAF692F573EC}"/>
    <cellStyle name="Normal 5 3 3 4 2 3 6" xfId="30539" xr:uid="{4F060E07-9DDD-4899-B86B-3CC298685E95}"/>
    <cellStyle name="Normal 5 3 3 4 2 3 7" xfId="31769" xr:uid="{797CBD22-768E-4409-84F7-91E3FE77EE61}"/>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7" xfId="30140" xr:uid="{347E797A-C3DA-48FE-923F-48D6C2483068}"/>
    <cellStyle name="Normal 5 3 3 4 7 2" xfId="30506" xr:uid="{2B8EC82B-053E-4181-83D9-DD6F2D19A0F7}"/>
    <cellStyle name="Normal 5 3 3 4 8" xfId="31768" xr:uid="{287F9BEF-6B08-43D0-8277-ECFD379DE4D6}"/>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7" xfId="30142" xr:uid="{8464588B-FBC9-4AEB-8137-4B7B64E1AFE0}"/>
    <cellStyle name="Normal 5 3 4 3 7 2" xfId="30508" xr:uid="{0455E1FF-3A8B-40C3-BF3A-C60A750C7BEF}"/>
    <cellStyle name="Normal 5 3 4 3 8" xfId="31771" xr:uid="{89ED430A-1BBE-4281-9BA3-34753052D94E}"/>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7" xfId="30141" xr:uid="{C5086DE0-3D25-4310-955C-9881B5375DBB}"/>
    <cellStyle name="Normal 5 3 4 7 2" xfId="30507" xr:uid="{0691E9B7-B979-49A9-82BB-8C389DE41776}"/>
    <cellStyle name="Normal 5 3 4 8" xfId="31770" xr:uid="{B39CC820-F5BA-4EFC-BC85-A7C5F17E9408}"/>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5 5" xfId="31772" xr:uid="{39145992-1685-4D5A-AA19-EAD0A54DCF56}"/>
    <cellStyle name="Normal 5 3 6" xfId="30114" xr:uid="{FF7EC34F-1D03-426F-944C-8DDEC9BD14BD}"/>
    <cellStyle name="Normal 5 3 6 2" xfId="30474" xr:uid="{C83318F6-E85A-4A71-88FC-A52912529995}"/>
    <cellStyle name="Normal 5 3 7" xfId="31728" xr:uid="{83D28A7D-FFF7-4293-953F-6D49041D5DDB}"/>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7" xfId="30144" xr:uid="{9EC4A54E-D459-477E-95C3-D8EED714DA54}"/>
    <cellStyle name="Normal 5 5 10 7 2" xfId="30510" xr:uid="{642D08F6-4146-4DCF-BE9E-E70107F064A1}"/>
    <cellStyle name="Normal 5 5 10 8" xfId="31774" xr:uid="{53FB72C6-DB85-4A31-B96A-3BEE2C49D614}"/>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10" xfId="31775" xr:uid="{DBE55362-03FD-482D-8E0B-10EFEAAC3D27}"/>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4" xfId="28548" xr:uid="{11F1C702-C94E-40E4-AA7E-C36BBAF97840}"/>
    <cellStyle name="Normal 5 5 14 4 2" xfId="32154" xr:uid="{40D97AFA-C0C2-44B2-A42A-7543A985C52C}"/>
    <cellStyle name="Normal 5 5 14 5" xfId="31773" xr:uid="{784A532B-36E0-4307-B668-B58D33A9A7D5}"/>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8 5" xfId="31824" xr:uid="{1287FAF3-28B5-44CE-A803-8F7BF1342FDF}"/>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10" xfId="31776" xr:uid="{2D77C20B-4AB7-4091-9237-EC04B3BCCF09}"/>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3 3" xfId="31817" xr:uid="{49B2EB3A-3C6E-4093-AB07-560AC40ECECF}"/>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2 9" xfId="31845" xr:uid="{11EF8C38-4821-46BE-A755-D7F107B4A5AA}"/>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7 2" xfId="31833" xr:uid="{71568014-5F4E-4180-B064-A874477E0FF4}"/>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2 4" xfId="31943" xr:uid="{CECED073-3412-4CAA-895E-54C524586605}"/>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2 4" xfId="32024" xr:uid="{9D930434-045F-4A2E-812E-8342BE6F4897}"/>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2 2" xfId="32075" xr:uid="{141A7E51-AB8F-474A-910D-8402E9985C56}"/>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2 4" xfId="32005" xr:uid="{AE998535-5B8D-48EB-8CD7-1CBC7CADCB61}"/>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2 2" xfId="32076" xr:uid="{73CCE473-41E3-47CF-90ED-EE6130CBB05F}"/>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2 4" xfId="31990" xr:uid="{B835734D-B401-4474-AE12-75FAA425F0CF}"/>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6 5" xfId="31777" xr:uid="{0B418BEE-38A9-435E-B7D3-F329A1FF0828}"/>
    <cellStyle name="Normal 5 7" xfId="30110" xr:uid="{B86EA2F7-3D8C-4453-9463-4535C564224A}"/>
    <cellStyle name="Normal 5 7 2" xfId="31496"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7" xfId="30146" xr:uid="{DC11676B-B130-4A24-B13D-A1AF24211213}"/>
    <cellStyle name="Normal 6 3 3 3 2 3 7 2" xfId="30513" xr:uid="{2A90FA8B-F176-40AB-B942-C645A0B2AC10}"/>
    <cellStyle name="Normal 6 3 3 3 2 3 8" xfId="31779" xr:uid="{D5E1CB91-DD58-4EDC-982A-7794BF336089}"/>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4" xfId="30363" xr:uid="{3A82768C-6B5D-4D32-86C4-08DE35B49E64}"/>
    <cellStyle name="Normal 6 3 3 3 2 4 3 4 2" xfId="31703" xr:uid="{7FCFC7B6-2244-4C07-99E2-5744C78CE1C6}"/>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7" xfId="30145" xr:uid="{80BE168A-ACEA-40EE-BC12-1FF256FF1F93}"/>
    <cellStyle name="Normal 6 3 3 3 2 7 2" xfId="30512" xr:uid="{1E65CB5E-5F31-4857-9CD1-EB4B121E79A0}"/>
    <cellStyle name="Normal 6 3 3 3 2 8" xfId="31778" xr:uid="{E0A761B5-72D5-45EC-80FA-1FD02B11854D}"/>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5" xfId="25802" xr:uid="{593CE574-319A-4AC6-9B5C-702D762FB4CA}"/>
    <cellStyle name="Normal 6 3 3 3 4 2 3 6" xfId="30541" xr:uid="{5EBC0163-4363-4F13-A5DD-AE3FCBD0410B}"/>
    <cellStyle name="Normal 6 3 3 3 4 2 3 7" xfId="31781" xr:uid="{F8329E11-349F-4BA4-A1DB-CCD078E66C11}"/>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7" xfId="30147" xr:uid="{C2411ACB-20F6-4EE0-8B84-B62097023916}"/>
    <cellStyle name="Normal 6 3 3 3 4 7 2" xfId="30514" xr:uid="{BAFE7101-FEEB-42B9-BA1E-81777797EAA5}"/>
    <cellStyle name="Normal 6 3 3 3 4 8" xfId="31780" xr:uid="{A1EBB40B-0B18-4F22-83EC-D3BC07F97D6E}"/>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7" xfId="30149" xr:uid="{5DD134DE-7771-4AC1-A6C7-CAB182204804}"/>
    <cellStyle name="Normal 6 3 3 4 3 7 2" xfId="30516" xr:uid="{F5396644-8DAF-4937-A4F1-2401EBC3517A}"/>
    <cellStyle name="Normal 6 3 3 4 3 8" xfId="31783" xr:uid="{084FC852-41A2-4923-957D-F4276F2E6835}"/>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7" xfId="30148" xr:uid="{838F89EF-1D7F-4065-8D4C-3A4DAF9BF3DA}"/>
    <cellStyle name="Normal 6 3 3 4 7 2" xfId="30515" xr:uid="{05F24ADF-AA50-4531-B604-5CFE29E6FEC6}"/>
    <cellStyle name="Normal 6 3 3 4 8" xfId="31782" xr:uid="{A7376019-6FB1-4919-A330-CE107AAF0E01}"/>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5 5" xfId="31784" xr:uid="{5E4CDEDE-1D90-4B2A-AB0C-B4C8B24C7B97}"/>
    <cellStyle name="Normal 6 3 3 6" xfId="30102" xr:uid="{39D311B1-3F99-4637-B6B6-3945F5B433CC}"/>
    <cellStyle name="Normal 6 3 3 6 2" xfId="30475" xr:uid="{F1B2B02C-F2EA-473E-AE49-8B217EFDE528}"/>
    <cellStyle name="Normal 6 3 3 7" xfId="31729" xr:uid="{416DC2D8-D7FF-44C1-AE0D-C5171B1CE03D}"/>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7" xfId="30151" xr:uid="{7EB70341-ADA0-4143-B80B-2417C60D5EFB}"/>
    <cellStyle name="Normal 6 3 4 3 7 2" xfId="30519" xr:uid="{35C90F93-35F2-4DF2-AF1A-E04B1075095B}"/>
    <cellStyle name="Normal 6 3 4 3 8" xfId="31786" xr:uid="{BF44585C-BE93-495C-9BE0-53FA8CDCA75D}"/>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4" xfId="30364" xr:uid="{ED8C1BC9-242E-4E34-A350-F2FCEF2ABD52}"/>
    <cellStyle name="Normal 6 3 4 4 2 4 2" xfId="31704" xr:uid="{1508FF5D-6EE9-4924-B426-3723E8CF7E8F}"/>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7" xfId="30150" xr:uid="{230E3327-1DCE-4021-B3F8-983D1A5A137A}"/>
    <cellStyle name="Normal 6 3 4 7 2" xfId="30518" xr:uid="{E88A4B4D-5E2F-4EF4-8F91-154A61DEACCE}"/>
    <cellStyle name="Normal 6 3 4 8" xfId="31785" xr:uid="{66509973-F006-4752-BEF2-6BD7784CB8F6}"/>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5 4" xfId="31787" xr:uid="{5C372F44-A556-446E-99C9-7F9AFE92D92F}"/>
    <cellStyle name="Normal 6 3 6" xfId="31500" xr:uid="{DD156CEF-7EAB-43B9-BB83-25E20C183EA0}"/>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7" xfId="30153" xr:uid="{49112585-27FD-43F2-BF44-AC831E47158C}"/>
    <cellStyle name="Normal 6 5 3 2 3 7 2" xfId="30522" xr:uid="{97E9803D-6432-444E-A890-68A0602A16F1}"/>
    <cellStyle name="Normal 6 5 3 2 3 8" xfId="31789" xr:uid="{528D3934-0454-4D80-AC58-7E6DC52CCCC6}"/>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4" xfId="30366" xr:uid="{ECE487CF-3F45-4A59-B530-7A43F95E48BF}"/>
    <cellStyle name="Normal 6 5 3 2 4 3 4 2" xfId="31705" xr:uid="{08509A36-70E6-4EBD-A46D-BFCD7652D951}"/>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7" xfId="30152" xr:uid="{940D94C0-6359-4490-BCCE-8FEBED747550}"/>
    <cellStyle name="Normal 6 5 3 2 7 2" xfId="30521" xr:uid="{AC08ED16-3FFE-4CEE-BEF0-0022C74CD6F4}"/>
    <cellStyle name="Normal 6 5 3 2 8" xfId="31788" xr:uid="{E2F1760D-EF6F-4C72-A15D-42F6D8676895}"/>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5" xfId="25819" xr:uid="{146A0A89-FA15-4673-83D1-1BD48BA23B4F}"/>
    <cellStyle name="Normal 6 5 3 4 2 3 6" xfId="30542" xr:uid="{1E4E56E2-FCF3-4C9E-A5C1-C675C3F1A005}"/>
    <cellStyle name="Normal 6 5 3 4 2 3 7" xfId="31791" xr:uid="{50CDF30B-996E-4E6A-AEF5-D894C3D919BC}"/>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7" xfId="30154" xr:uid="{B6B1B1A2-B731-440F-A283-79585C0A73B2}"/>
    <cellStyle name="Normal 6 5 3 4 7 2" xfId="30523" xr:uid="{8E1F6B5E-F917-4E06-A35E-B3F4B762C63D}"/>
    <cellStyle name="Normal 6 5 3 4 8" xfId="31790" xr:uid="{351FA894-D98E-4D7F-A208-983F58EEE176}"/>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7" xfId="30156" xr:uid="{E689BF94-8089-4EDB-8A90-EC9DD05FAEB6}"/>
    <cellStyle name="Normal 6 5 4 3 7 2" xfId="30525" xr:uid="{EFBA4820-C840-4148-BF88-6BDF2F0347D9}"/>
    <cellStyle name="Normal 6 5 4 3 8" xfId="31793" xr:uid="{FE93C9BE-5BCA-4103-8476-30D76DCC6B20}"/>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7" xfId="30155" xr:uid="{2552D7E3-E9B3-4241-AB50-FAF890DD8E42}"/>
    <cellStyle name="Normal 6 5 4 7 2" xfId="30524" xr:uid="{4C0D5AE6-EFC9-4BFA-B323-123CB782B2A7}"/>
    <cellStyle name="Normal 6 5 4 8" xfId="31792" xr:uid="{2783A8DE-F3BA-463E-A2CE-924C1833E035}"/>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5 5" xfId="31794" xr:uid="{9F84D3A8-81B8-48C3-8B07-AE42E5573CD0}"/>
    <cellStyle name="Normal 6 5 6" xfId="30115" xr:uid="{8D7A58C9-2680-41F9-B10A-5FB6EB00FD95}"/>
    <cellStyle name="Normal 6 5 6 2" xfId="30476" xr:uid="{6AC3E222-93E2-4ED5-A04F-8AD2183A95F8}"/>
    <cellStyle name="Normal 6 5 7" xfId="31730" xr:uid="{FA8F3D4C-C1B2-4169-8150-31E9F130B2B5}"/>
    <cellStyle name="Normal 6 6" xfId="1313" xr:uid="{00000000-0005-0000-0000-0000F2060000}"/>
    <cellStyle name="Normal 6 6 10" xfId="30157" xr:uid="{52A1F13F-0078-432B-BBAA-5F6768E9F38E}"/>
    <cellStyle name="Normal 6 6 10 2" xfId="31504"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5" xfId="30463" xr:uid="{904D57A7-5920-484C-BF65-E06F982671D6}"/>
    <cellStyle name="Normal 6 6 3 3 6" xfId="30543" xr:uid="{45581F97-261A-4B5F-B6BF-52BB811941F9}"/>
    <cellStyle name="Normal 6 6 3 3 7" xfId="31796" xr:uid="{F79D7C0F-2716-43D8-A417-547EEAD70FCC}"/>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7" xfId="30158" xr:uid="{5E7B4808-922D-4165-8936-0598A0A6DAFF}"/>
    <cellStyle name="Normal 6 6 4 7 2" xfId="30527" xr:uid="{D1390093-1061-4654-B29D-280509906CE5}"/>
    <cellStyle name="Normal 6 6 4 8" xfId="31797" xr:uid="{62882A74-2F82-41A4-B13D-380193B93050}"/>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6" xfId="25714" xr:uid="{CE44424C-FDE2-4274-9AAC-2B2782EEB566}"/>
    <cellStyle name="Normal 6 6 6 6 2" xfId="26403" xr:uid="{DEBDC983-AB32-4C69-A2AF-B29A4C97979C}"/>
    <cellStyle name="Normal 6 6 6 6 3" xfId="31163" xr:uid="{BD47C53A-D048-4DE0-B9CB-CDDE1C18DABC}"/>
    <cellStyle name="Normal 6 6 6 7" xfId="31798" xr:uid="{B72B210C-AC8E-4598-84AB-71CFCBC26D61}"/>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7 4" xfId="32155" xr:uid="{E43E3145-A664-4683-987E-99F37E7AB178}"/>
    <cellStyle name="Normal 6 6 7 5" xfId="31795" xr:uid="{00550B77-4B5F-4D08-8BDE-9EE02F4C84CD}"/>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7 6" xfId="31799" xr:uid="{AABAE0D8-FDE5-416F-BD9E-0E1ABED51CCD}"/>
    <cellStyle name="Normal 6 8" xfId="31497" xr:uid="{87BFBF72-39C8-449B-BCD7-58E40C532503}"/>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2 4" xfId="31999" xr:uid="{5D047133-AE1B-4538-A1D0-ED9DA1E7A4C1}"/>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2 2" xfId="32077" xr:uid="{9DE45A4F-5038-4DC0-9511-5DA7D9026B23}"/>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2 4" xfId="31984" xr:uid="{25B3C1AF-78F1-4BF3-BB00-15B2E5B9A3B6}"/>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2 7" xfId="31801" xr:uid="{7220C242-31D3-4FAE-B758-CF82166C9210}"/>
    <cellStyle name="Normal 7 14 3" xfId="5400" xr:uid="{FAC9975F-8F2F-4E63-A9C3-9F3C1010A589}"/>
    <cellStyle name="Normal 7 14 3 2" xfId="25774" xr:uid="{8D397C2B-E913-4504-B12F-1B0EE6347D16}"/>
    <cellStyle name="Normal 7 14 3 2 2" xfId="30609" xr:uid="{8CB35ADA-85AD-456B-A4A2-9E7935D7A153}"/>
    <cellStyle name="Normal 7 14 3 2 2 2" xfId="31944" xr:uid="{FF4E75B6-B0A1-4CE0-A971-BEB625AF8BEF}"/>
    <cellStyle name="Normal 7 14 3 2 3" xfId="30628" xr:uid="{844DF4E4-5553-4C45-8863-EB680F88D5AA}"/>
    <cellStyle name="Normal 7 14 3 2 4" xfId="30934" xr:uid="{01A695C0-06D1-4038-BF9D-2C5EAC4E3B89}"/>
    <cellStyle name="Normal 7 14 3 2 5" xfId="31861" xr:uid="{F542EA46-3862-44B3-A6B4-77C756F1F085}"/>
    <cellStyle name="Normal 7 14 3 3" xfId="27633" xr:uid="{07857877-B5B2-4CEB-A569-43A78CB1FF4C}"/>
    <cellStyle name="Normal 7 14 3 3 2" xfId="30637" xr:uid="{B264691C-E730-4EB5-8788-D14FC0F420C6}"/>
    <cellStyle name="Normal 7 14 3 3 2 2" xfId="32078" xr:uid="{AE1B2241-03DF-4A34-B248-9DE3A363DB80}"/>
    <cellStyle name="Normal 7 14 3 3 3" xfId="30947" xr:uid="{6CD0E69B-2973-47A6-BAED-35F716DDA0C5}"/>
    <cellStyle name="Normal 7 14 3 3 4" xfId="31914" xr:uid="{A3992825-91E5-499A-A7D4-2ED0FE74D1D6}"/>
    <cellStyle name="Normal 7 14 3 4" xfId="14697" xr:uid="{15E50FBB-3C72-4F94-9257-EF48A0129430}"/>
    <cellStyle name="Normal 7 14 3 4 2" xfId="32047" xr:uid="{262C9AF9-E3EF-43B3-9F57-63405A4B2A2A}"/>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6 5" xfId="31842" xr:uid="{47EA41D9-290B-49AA-ADB2-438889858692}"/>
    <cellStyle name="Normal 7 14 3 7" xfId="29635" xr:uid="{34C97F94-45C7-4B15-9ED5-2C3B425DF668}"/>
    <cellStyle name="Normal 7 14 3 8" xfId="30368" xr:uid="{41672123-6C8D-4359-9C8E-48BF387564A2}"/>
    <cellStyle name="Normal 7 14 3 8 2" xfId="31707" xr:uid="{E814CD8D-8D5B-49AD-88A8-8E69D7486D14}"/>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2 2" xfId="31971" xr:uid="{C7135201-DE28-4202-B3AF-1788876DB943}"/>
    <cellStyle name="Normal 7 14 5 3" xfId="20363" xr:uid="{9449C78C-D33B-459C-BBF9-694343407FAB}"/>
    <cellStyle name="Normal 7 14 5 4" xfId="30939" xr:uid="{E0BCDBFB-8F60-42E5-B625-B2599670E8F5}"/>
    <cellStyle name="Normal 7 14 5 5" xfId="31867" xr:uid="{24CCFB64-86D9-4A2B-A61B-F94FC0B0439F}"/>
    <cellStyle name="Normal 7 14 6" xfId="24136" xr:uid="{9092CC78-A25F-48A6-83D4-F44869564DEA}"/>
    <cellStyle name="Normal 7 14 6 2" xfId="31800" xr:uid="{D8CA01E5-8031-4162-9C58-49D53B4F7A88}"/>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2 2" xfId="31945" xr:uid="{D8DB7CAD-242E-4D80-9645-ECCD14516068}"/>
    <cellStyle name="Normal 7 15 2 3" xfId="15104" xr:uid="{17D943AA-C222-4B4C-A18F-6CCE6BA583AE}"/>
    <cellStyle name="Normal 7 15 2 4" xfId="30935" xr:uid="{33745800-52FB-4055-8019-A260A36BC408}"/>
    <cellStyle name="Normal 7 15 2 5" xfId="31862" xr:uid="{1AF205F0-8CBB-4FF5-8C88-746136FD4F9E}"/>
    <cellStyle name="Normal 7 15 3" xfId="7557" xr:uid="{F1E98D2C-5E23-44D7-A17A-E7E508629C08}"/>
    <cellStyle name="Normal 7 15 3 2" xfId="17937" xr:uid="{AE558860-C380-4D33-B8F4-BAFABF7E14FC}"/>
    <cellStyle name="Normal 7 15 3 2 2" xfId="32079" xr:uid="{1F7A4F33-0B46-4BD6-8751-E0AA826B4882}"/>
    <cellStyle name="Normal 7 15 3 3" xfId="30948" xr:uid="{0DCC9790-3146-4601-AB3F-28C8BDFFB878}"/>
    <cellStyle name="Normal 7 15 3 4" xfId="31843" xr:uid="{C77B5705-295B-4E70-9497-998BFE935DF3}"/>
    <cellStyle name="Normal 7 15 4" xfId="10390" xr:uid="{0365E554-FA94-4190-A1D6-9E0EE659857C}"/>
    <cellStyle name="Normal 7 15 4 2" xfId="20770" xr:uid="{2A88BA57-D2E1-463D-AEDB-D1CD92CC2019}"/>
    <cellStyle name="Normal 7 15 5" xfId="23728" xr:uid="{7232D1CA-690F-4D52-9D19-42CE68785447}"/>
    <cellStyle name="Normal 7 15 5 2" xfId="32048" xr:uid="{D0D31FFD-3887-47DB-8266-6DAF85A03CE9}"/>
    <cellStyle name="Normal 7 15 6" xfId="12819" xr:uid="{F5044BB9-43F3-49F3-B21A-9AD06E1D6815}"/>
    <cellStyle name="Normal 7 15 7" xfId="31829" xr:uid="{31CAD52B-2A65-4A1E-A696-EC7000575014}"/>
    <cellStyle name="Normal 7 16" xfId="2159" xr:uid="{00000000-0005-0000-0000-0000D6070000}"/>
    <cellStyle name="Normal 7 16 2" xfId="7286" xr:uid="{487A9249-76DA-44C0-9FB7-C1ECCC926A3F}"/>
    <cellStyle name="Normal 7 16 2 2" xfId="17666" xr:uid="{E8531131-82DE-4A9C-9E7C-B57E41F8A0D7}"/>
    <cellStyle name="Normal 7 16 2 2 2" xfId="32156" xr:uid="{43C2771A-7EDC-4DEF-B862-25B4166A92D3}"/>
    <cellStyle name="Normal 7 16 2 3" xfId="30950" xr:uid="{A45B824F-5108-4980-B469-78E9818C36B4}"/>
    <cellStyle name="Normal 7 16 2 4" xfId="31957" xr:uid="{08D4329C-2613-4C5A-BB94-50405509B242}"/>
    <cellStyle name="Normal 7 16 3" xfId="10119" xr:uid="{55FE5E11-08C7-4A4A-B6B1-9A55D8442D61}"/>
    <cellStyle name="Normal 7 16 3 2" xfId="20499" xr:uid="{5B263FD6-644E-4205-BA6A-B5FA3C82A433}"/>
    <cellStyle name="Normal 7 16 4" xfId="24615" xr:uid="{3531CAC4-9557-447A-A968-11C6FD1FBF49}"/>
    <cellStyle name="Normal 7 16 4 2" xfId="32161" xr:uid="{2C27B0DB-3CC3-434A-8A32-E50928862933}"/>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8 2" xfId="31897" xr:uid="{B21E7EA3-36B1-4AE7-9042-C8686D7F2CB3}"/>
    <cellStyle name="Normal 7 19" xfId="12391" xr:uid="{409BED8C-AD22-4BB5-AC49-DFFDB915DE9E}"/>
    <cellStyle name="Normal 7 19 2" xfId="32043" xr:uid="{22F63F9A-9145-43FD-A96B-42CBBD5BC64A}"/>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7" xfId="30160" xr:uid="{780A71C4-DEF8-4E6E-ACC0-3655804A98B1}"/>
    <cellStyle name="Normal 7 3 3 2 3 7 2" xfId="30530" xr:uid="{0EEE45BB-0632-4849-9B3D-03E60AC02070}"/>
    <cellStyle name="Normal 7 3 3 2 3 8" xfId="31803" xr:uid="{A1AC4EED-FFAD-4109-8FD7-C7B7A517F66F}"/>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4" xfId="30369" xr:uid="{51F68BB7-1CBC-471B-8C45-133EBC2770D2}"/>
    <cellStyle name="Normal 7 3 3 2 4 3 4 2" xfId="31708" xr:uid="{9A461396-9683-439E-A844-9F185B081F12}"/>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7" xfId="30159" xr:uid="{FA8D9B86-1118-4618-BB6D-43B775B037D2}"/>
    <cellStyle name="Normal 7 3 3 2 7 2" xfId="30529" xr:uid="{5EDFF2C5-0B36-4BC0-9185-4FF885E1700E}"/>
    <cellStyle name="Normal 7 3 3 2 8" xfId="31802" xr:uid="{0946404F-79DE-475A-BC5C-C768BF859493}"/>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5" xfId="24402" xr:uid="{AE0E1D6A-38CA-406E-AE73-788945631526}"/>
    <cellStyle name="Normal 7 3 3 4 2 3 6" xfId="30544" xr:uid="{AC01CEC4-5B95-4E42-8FF7-121F69B77E99}"/>
    <cellStyle name="Normal 7 3 3 4 2 3 7" xfId="31805" xr:uid="{3E290697-D204-4117-B93D-12D6E397E16E}"/>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7" xfId="30161" xr:uid="{52394549-E29E-4278-9C6A-6C4AFCC85D43}"/>
    <cellStyle name="Normal 7 3 3 4 7 2" xfId="30531" xr:uid="{79991904-AF5C-4236-8DCF-6C2BEDC43AA3}"/>
    <cellStyle name="Normal 7 3 3 4 8" xfId="31804" xr:uid="{B42D7ADA-7B55-42B6-9444-D37FE8C8641C}"/>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7" xfId="30163" xr:uid="{8FB8729F-E256-4613-98CA-4EC4024F1636}"/>
    <cellStyle name="Normal 7 3 4 3 7 2" xfId="30533" xr:uid="{D8F8BCBD-9FA9-4694-BE0E-FA68B6A82F77}"/>
    <cellStyle name="Normal 7 3 4 3 8" xfId="31807" xr:uid="{10AE5D7C-6D73-4619-8189-5CE345810C2D}"/>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7" xfId="30162" xr:uid="{547D83AB-00BA-499B-81A0-779EECACE4D6}"/>
    <cellStyle name="Normal 7 3 4 7 2" xfId="30532" xr:uid="{C34CEC2F-9910-42A5-A6D6-E9823FE39A10}"/>
    <cellStyle name="Normal 7 3 4 8" xfId="31806" xr:uid="{8E5CA4EF-618B-4E0F-AB42-ECF058D64986}"/>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5 5" xfId="31808" xr:uid="{E49B1467-8543-43E4-BDC8-887DA46AF674}"/>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3 8" xfId="31731" xr:uid="{4057B0DA-A8C9-442A-B9EC-44CC53623D05}"/>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2 2" xfId="32080" xr:uid="{3703601A-E1D5-4642-B404-7FE1FCD48366}"/>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2 4" xfId="31985" xr:uid="{39F8A4B4-31A7-455D-BCAA-32E60CA8419E}"/>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2 4" xfId="31972" xr:uid="{F847A27C-1E32-400F-97CB-FE8DAF72C739}"/>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2 4" xfId="31947" xr:uid="{ED055817-2322-4027-A98F-F1D5D21DBBC3}"/>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2 2" xfId="32157" xr:uid="{3C515496-BECB-4902-8FD6-D299D91D68CC}"/>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2 2" xfId="32158" xr:uid="{0CA39F9B-F55A-4665-A089-28287D2D53F2}"/>
    <cellStyle name="Normal 7 4 14 2 3" xfId="15105" xr:uid="{BFFD30BA-1915-43A2-B593-BE77E98D0E0F}"/>
    <cellStyle name="Normal 7 4 14 2 4" xfId="31946" xr:uid="{0A16B30C-2AF3-47BA-813A-0967919111D1}"/>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2 4" xfId="31958" xr:uid="{13329465-F455-477C-BA9C-578C97F3130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2 4" xfId="31949" xr:uid="{7D79BFE0-98EB-4BFE-90F3-89361F64A0D5}"/>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2 4" xfId="31948" xr:uid="{5F5A0CAA-78FE-418C-A629-7E26B42888F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2 4" xfId="31965" xr:uid="{496B54BC-A7DE-469C-A2BD-FEDBF1C17ED5}"/>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2 4" xfId="32038" xr:uid="{A4337680-B122-4821-8114-18B858A81044}"/>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2 4" xfId="32026" xr:uid="{10B26864-42E1-43E1-B74D-F68D354ABEC7}"/>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2 2" xfId="32081" xr:uid="{D3A06B98-DF6C-47DF-AC9A-7D6D3AC3821B}"/>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2 4" xfId="32007" xr:uid="{947490F1-766C-478C-BA12-E548083D2808}"/>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2 2" xfId="32082" xr:uid="{03702390-69DE-4357-A5F0-5A9E40EE0560}"/>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2 4" xfId="31992" xr:uid="{EB026E19-4D6B-4C13-A95F-37B3544D1261}"/>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2 4" xfId="31978" xr:uid="{43FE8E82-24AD-42D2-B2E4-5AB221275D4E}"/>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2 4" xfId="32033" xr:uid="{FE0D4C6F-1CD7-454B-8FC6-68D94EAE7089}"/>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2 4" xfId="32017" xr:uid="{AE0DBFF5-8CA7-4401-8519-158496DBE144}"/>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2 4" xfId="32000" xr:uid="{510D41C3-6F07-402C-B1AB-155D28A9642B}"/>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7" xfId="30165" xr:uid="{12C3815A-038F-484F-AD47-98D3CF0EAE5F}"/>
    <cellStyle name="Normal 7 6 10 7 2" xfId="30535" xr:uid="{0238211A-81EA-4FE4-8F6A-61EEA3D894FA}"/>
    <cellStyle name="Normal 7 6 10 8" xfId="31810" xr:uid="{973F93AE-7AEB-4B9D-8A56-E1BDC2497B25}"/>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7" xfId="25333" xr:uid="{F7D8B81A-047F-48C6-A186-A40F67FBBC1A}"/>
    <cellStyle name="Normal 7 6 12 7 2" xfId="26410" xr:uid="{92E5298E-5151-4BC5-8530-0F8A55FB4F6C}"/>
    <cellStyle name="Normal 7 6 12 7 3" xfId="31158" xr:uid="{2374E897-A2DD-4365-809D-E07045FA949F}"/>
    <cellStyle name="Normal 7 6 12 8" xfId="31811" xr:uid="{E4228E28-8104-46CF-97ED-384DA1DC185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4" xfId="28272" xr:uid="{76CFB33E-5912-4B74-BBBF-6DD865E37708}"/>
    <cellStyle name="Normal 7 6 14 4 2" xfId="32159" xr:uid="{9E52C155-281E-4946-BDF7-5274F122331F}"/>
    <cellStyle name="Normal 7 6 14 5" xfId="31809" xr:uid="{B8447099-92FA-46C4-9A4F-A3F11F880967}"/>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8 5" xfId="31823" xr:uid="{E1F98E72-8FF2-4FCE-AD45-575EB396F9A3}"/>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10" xfId="31812" xr:uid="{3B390A3C-31E7-45AB-8D9A-938B0BBE4B86}"/>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3 3" xfId="31818" xr:uid="{5CAB5E6C-B1BA-4CAB-9B33-220F7C25650F}"/>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2 9" xfId="31846" xr:uid="{6A293946-474D-4A27-B3A0-954C03B56F2F}"/>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7 2" xfId="31834" xr:uid="{A3A41309-B5A3-4E9D-AA2D-1CD19EA86CFB}"/>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2 4" xfId="31950" xr:uid="{1743AE7D-A960-4DF0-9287-C3DCE1A6FA1D}"/>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2 4" xfId="32025" xr:uid="{884B3440-F132-410F-917A-987AB4DF403E}"/>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2 2" xfId="32083" xr:uid="{605AD08E-0475-4DB8-978E-A619E7535314}"/>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2 4" xfId="32006" xr:uid="{7288D6BF-82B8-4EE1-A188-C2F9B4AED334}"/>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2 2" xfId="32084" xr:uid="{60083A24-2832-4E92-88F0-33047DAF05BF}"/>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2 4" xfId="31991" xr:uid="{63177662-9BD6-42A8-90CD-495920BA477F}"/>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2 2" xfId="31951" xr:uid="{DDBB54F9-173B-43DD-A300-BDD181C02AC2}"/>
    <cellStyle name="Normal 7 6 9 3 2 3" xfId="30629" xr:uid="{D926D891-B7C7-4693-8B9F-A282844D3DAF}"/>
    <cellStyle name="Normal 7 6 9 3 2 4" xfId="30936" xr:uid="{D974361E-AECE-4B32-BC25-92B53BFBEF24}"/>
    <cellStyle name="Normal 7 6 9 3 2 5" xfId="31863" xr:uid="{B4F21EB3-FDF1-4EF0-B96E-830878ED8109}"/>
    <cellStyle name="Normal 7 6 9 3 3" xfId="30597" xr:uid="{1CB22FE2-C93E-4B7A-9F83-F05BC42F8988}"/>
    <cellStyle name="Normal 7 6 9 3 3 2" xfId="30638" xr:uid="{0E85BEEA-8502-4FB9-9D7B-9B39FC6894C4}"/>
    <cellStyle name="Normal 7 6 9 3 3 2 2" xfId="32085" xr:uid="{775569B8-588C-4C15-8493-8AE00BF05036}"/>
    <cellStyle name="Normal 7 6 9 3 3 3" xfId="30949" xr:uid="{10A0B2B1-C014-460B-B97B-1F8715293478}"/>
    <cellStyle name="Normal 7 6 9 3 3 4" xfId="31915" xr:uid="{ECECBB2F-1F2C-489F-978F-C31DE3EAE5F9}"/>
    <cellStyle name="Normal 7 6 9 3 4" xfId="30626" xr:uid="{D5B2EEA1-BA41-4ECF-8645-DC7FCB362E6F}"/>
    <cellStyle name="Normal 7 6 9 3 4 2" xfId="32049" xr:uid="{B1B5A116-32F2-44FB-BA48-7EAD8061D1D0}"/>
    <cellStyle name="Normal 7 6 9 3 5" xfId="30924" xr:uid="{59272B79-6782-498A-A565-B27F383EE7E8}"/>
    <cellStyle name="Normal 7 6 9 3 6" xfId="31844" xr:uid="{0CF1B326-0EC1-4D13-897D-8BDF8C351DB4}"/>
    <cellStyle name="Normal 7 6 9 4" xfId="30574" xr:uid="{AF443EFD-BF75-488F-8C96-3A07A286175C}"/>
    <cellStyle name="Normal 7 6 9 4 2" xfId="30613" xr:uid="{93E0A71D-1FCA-4C1A-8893-2D82F9B7C858}"/>
    <cellStyle name="Normal 7 6 9 4 2 2" xfId="31977" xr:uid="{5B2C6136-1866-4BE0-A9E0-EECEC1204EE5}"/>
    <cellStyle name="Normal 7 6 9 4 3" xfId="30632" xr:uid="{32F1BC2F-10D3-4E71-AD07-986C280704B2}"/>
    <cellStyle name="Normal 7 6 9 4 4" xfId="30940" xr:uid="{D4C2894F-E69E-46C0-825F-9DFEC6921BF8}"/>
    <cellStyle name="Normal 7 6 9 4 5" xfId="31870" xr:uid="{2DE6FCB8-9464-466E-BFDA-EDFB12E34B04}"/>
    <cellStyle name="Normal 7 6 9 5" xfId="31825" xr:uid="{D0AB713F-D295-4E2E-A917-0788187BED6D}"/>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2 4" xfId="32032" xr:uid="{07707BDF-56AD-489F-B490-A8B959232E18}"/>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2 4" xfId="32016" xr:uid="{00A25BEE-541A-4EB8-A0D5-BBD2E1AC95A3}"/>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2 4" xfId="32018" xr:uid="{C17C450C-C760-40B7-B36B-0C663C04ACAB}"/>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5" xfId="29583" xr:uid="{24FEBD0B-5ABA-49D8-AC25-4DA966B23BF8}"/>
    <cellStyle name="Note 4 5 2" xfId="31248" xr:uid="{179223E0-4C3A-4691-A628-3421C1D9764F}"/>
    <cellStyle name="Note 4 5 3" xfId="30548" xr:uid="{6CEC5488-D223-4DCD-BE4A-44A97B40BB66}"/>
    <cellStyle name="Note 4 6" xfId="31733" xr:uid="{8094F678-E6FB-4AE9-AFE7-76B1FCB6C4E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3" xfId="29585" xr:uid="{8FB87725-886D-4A62-BBA8-4FA9FB880D61}"/>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1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rgb="FFFFC7CE"/>
        </patternFill>
      </fill>
    </dxf>
    <dxf>
      <font>
        <color rgb="FFC00000"/>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6" formatCode=";;;"/>
    </dxf>
    <dxf>
      <numFmt numFmtId="186" formatCode=";;;"/>
    </dxf>
    <dxf>
      <numFmt numFmtId="186" formatCode=";;;"/>
    </dxf>
    <dxf>
      <numFmt numFmtId="186" formatCode=";;;"/>
    </dxf>
    <dxf>
      <numFmt numFmtId="186"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39"/>
      <tableStyleElement type="headerRow" dxfId="138"/>
      <tableStyleElement type="firstRowStripe" dxfId="137"/>
    </tableStyle>
  </tableStyles>
  <colors>
    <mruColors>
      <color rgb="FFCCFFFF"/>
      <color rgb="FFFFFFCC"/>
      <color rgb="FFCCFF66"/>
      <color rgb="FFFFCC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0FB8-451E-A31F-8106E5059BFB}"/>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0FB8-451E-A31F-8106E5059BFB}"/>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0FB8-451E-A31F-8106E5059BFB}"/>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Ratio-Water and Sewer</a:t>
            </a:r>
          </a:p>
        </c:rich>
      </c:tx>
      <c:layout>
        <c:manualLayout>
          <c:xMode val="edge"/>
          <c:yMode val="edge"/>
          <c:x val="0.27314075943617855"/>
          <c:y val="8.035367889975679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'PI series #'!$B$11</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#'!$B$12</c:f>
              <c:numCache>
                <c:formatCode>0.00</c:formatCode>
                <c:ptCount val="1"/>
                <c:pt idx="0">
                  <c:v>#N/A</c:v>
                </c:pt>
              </c:numCache>
            </c:numRef>
          </c:val>
          <c:extLst>
            <c:ext xmlns:c16="http://schemas.microsoft.com/office/drawing/2014/chart" uri="{C3380CC4-5D6E-409C-BE32-E72D297353CC}">
              <c16:uniqueId val="{00000000-EC99-4B84-819B-5FA53B597976}"/>
            </c:ext>
          </c:extLst>
        </c:ser>
        <c:ser>
          <c:idx val="1"/>
          <c:order val="1"/>
          <c:tx>
            <c:strRef>
              <c:f>'PI series #'!$C$11</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#'!$C$12</c:f>
              <c:numCache>
                <c:formatCode>0.00</c:formatCode>
                <c:ptCount val="1"/>
                <c:pt idx="0">
                  <c:v>#N/A</c:v>
                </c:pt>
              </c:numCache>
            </c:numRef>
          </c:val>
          <c:extLst>
            <c:ext xmlns:c16="http://schemas.microsoft.com/office/drawing/2014/chart" uri="{C3380CC4-5D6E-409C-BE32-E72D297353CC}">
              <c16:uniqueId val="{00000001-EC99-4B84-819B-5FA53B597976}"/>
            </c:ext>
          </c:extLst>
        </c:ser>
        <c:ser>
          <c:idx val="2"/>
          <c:order val="2"/>
          <c:tx>
            <c:strRef>
              <c:f>'PI series #'!$D$11</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#'!$D$12</c:f>
              <c:numCache>
                <c:formatCode>0.00</c:formatCode>
                <c:ptCount val="1"/>
                <c:pt idx="0">
                  <c:v>#N/A</c:v>
                </c:pt>
              </c:numCache>
            </c:numRef>
          </c:val>
          <c:extLst>
            <c:ext xmlns:c16="http://schemas.microsoft.com/office/drawing/2014/chart" uri="{C3380CC4-5D6E-409C-BE32-E72D297353CC}">
              <c16:uniqueId val="{00000002-EC99-4B84-819B-5FA53B597976}"/>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layout>
        <c:manualLayout>
          <c:xMode val="edge"/>
          <c:yMode val="edge"/>
          <c:x val="0.37882602401356363"/>
          <c:y val="0.89314561268280834"/>
          <c:w val="0.24234779045462701"/>
          <c:h val="0.1014280294031689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Ratio-Electric</a:t>
            </a:r>
          </a:p>
        </c:rich>
      </c:tx>
      <c:layout>
        <c:manualLayout>
          <c:xMode val="edge"/>
          <c:yMode val="edge"/>
          <c:x val="0.38390997231415752"/>
          <c:y val="8.571773700680382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'PI series #'!$B$17</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#'!$B$18</c:f>
              <c:numCache>
                <c:formatCode>0.00</c:formatCode>
                <c:ptCount val="1"/>
                <c:pt idx="0">
                  <c:v>#N/A</c:v>
                </c:pt>
              </c:numCache>
            </c:numRef>
          </c:val>
          <c:extLst>
            <c:ext xmlns:c16="http://schemas.microsoft.com/office/drawing/2014/chart" uri="{C3380CC4-5D6E-409C-BE32-E72D297353CC}">
              <c16:uniqueId val="{00000000-A6EC-4DCA-A4FF-DAB01969D3CA}"/>
            </c:ext>
          </c:extLst>
        </c:ser>
        <c:ser>
          <c:idx val="1"/>
          <c:order val="1"/>
          <c:tx>
            <c:strRef>
              <c:f>'PI series #'!$C$17</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#'!$C$18</c:f>
              <c:numCache>
                <c:formatCode>0.00</c:formatCode>
                <c:ptCount val="1"/>
                <c:pt idx="0">
                  <c:v>#N/A</c:v>
                </c:pt>
              </c:numCache>
            </c:numRef>
          </c:val>
          <c:extLst>
            <c:ext xmlns:c16="http://schemas.microsoft.com/office/drawing/2014/chart" uri="{C3380CC4-5D6E-409C-BE32-E72D297353CC}">
              <c16:uniqueId val="{00000001-A6EC-4DCA-A4FF-DAB01969D3CA}"/>
            </c:ext>
          </c:extLst>
        </c:ser>
        <c:ser>
          <c:idx val="2"/>
          <c:order val="2"/>
          <c:tx>
            <c:strRef>
              <c:f>'PI series #'!$D$17</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#'!$D$18</c:f>
              <c:numCache>
                <c:formatCode>0.00</c:formatCode>
                <c:ptCount val="1"/>
                <c:pt idx="0">
                  <c:v>#N/A</c:v>
                </c:pt>
              </c:numCache>
            </c:numRef>
          </c:val>
          <c:extLst>
            <c:ext xmlns:c16="http://schemas.microsoft.com/office/drawing/2014/chart" uri="{C3380CC4-5D6E-409C-BE32-E72D297353CC}">
              <c16:uniqueId val="{00000002-A6EC-4DCA-A4FF-DAB01969D3CA}"/>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D9E9-4F09-B4AB-5AEBE682FC95}"/>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D9E9-4F09-B4AB-5AEBE682FC95}"/>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D9E9-4F09-B4AB-5AEBE682FC95}"/>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DCD8-4BD2-BB91-ABDB6BD1EDAF}"/>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DCD8-4BD2-BB91-ABDB6BD1EDAF}"/>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DCD8-4BD2-BB91-ABDB6BD1EDAF}"/>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5</xdr:col>
      <xdr:colOff>1904996</xdr:colOff>
      <xdr:row>46</xdr:row>
      <xdr:rowOff>266700</xdr:rowOff>
    </xdr:from>
    <xdr:to>
      <xdr:col>5</xdr:col>
      <xdr:colOff>3459476</xdr:colOff>
      <xdr:row>52</xdr:row>
      <xdr:rowOff>9525</xdr:rowOff>
    </xdr:to>
    <xdr:sp macro="" textlink="">
      <xdr:nvSpPr>
        <xdr:cNvPr id="2" name="Arrow: Right 1">
          <a:extLst>
            <a:ext uri="{FF2B5EF4-FFF2-40B4-BE49-F238E27FC236}">
              <a16:creationId xmlns:a16="http://schemas.microsoft.com/office/drawing/2014/main" id="{00000000-0008-0000-0200-000002000000}"/>
            </a:ext>
          </a:extLst>
        </xdr:cNvPr>
        <xdr:cNvSpPr/>
      </xdr:nvSpPr>
      <xdr:spPr>
        <a:xfrm>
          <a:off x="5800721" y="4791075"/>
          <a:ext cx="1554480" cy="1371600"/>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950" b="1" i="1" baseline="0">
              <a:solidFill>
                <a:schemeClr val="tx1"/>
              </a:solidFill>
              <a:effectLst/>
              <a:latin typeface="+mn-lt"/>
              <a:ea typeface="+mn-ea"/>
              <a:cs typeface="+mn-cs"/>
            </a:rPr>
            <a:t>Q 955 &amp; 957 Exclude Federal and State compliance findings from this number</a:t>
          </a:r>
          <a:endParaRPr lang="en-US" sz="950" b="1" i="1">
            <a:solidFill>
              <a:schemeClr val="tx1"/>
            </a:solidFill>
            <a:effectLst/>
          </a:endParaRPr>
        </a:p>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353784</xdr:colOff>
      <xdr:row>8</xdr:row>
      <xdr:rowOff>176893</xdr:rowOff>
    </xdr:from>
    <xdr:to>
      <xdr:col>3</xdr:col>
      <xdr:colOff>1170214</xdr:colOff>
      <xdr:row>8</xdr:row>
      <xdr:rowOff>2286000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340178</xdr:colOff>
      <xdr:row>13</xdr:row>
      <xdr:rowOff>68036</xdr:rowOff>
    </xdr:from>
    <xdr:to>
      <xdr:col>3</xdr:col>
      <xdr:colOff>1156608</xdr:colOff>
      <xdr:row>13</xdr:row>
      <xdr:rowOff>2408464</xdr:rowOff>
    </xdr:to>
    <xdr:graphicFrame macro="">
      <xdr:nvGraphicFramePr>
        <xdr:cNvPr id="3" name="Chart 1">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272144</xdr:colOff>
      <xdr:row>20</xdr:row>
      <xdr:rowOff>81643</xdr:rowOff>
    </xdr:from>
    <xdr:to>
      <xdr:col>3</xdr:col>
      <xdr:colOff>1088574</xdr:colOff>
      <xdr:row>20</xdr:row>
      <xdr:rowOff>2449286</xdr:rowOff>
    </xdr:to>
    <xdr:graphicFrame macro="">
      <xdr:nvGraphicFramePr>
        <xdr:cNvPr id="4" name="Chart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353784</xdr:colOff>
      <xdr:row>9</xdr:row>
      <xdr:rowOff>176893</xdr:rowOff>
    </xdr:from>
    <xdr:to>
      <xdr:col>3</xdr:col>
      <xdr:colOff>1170214</xdr:colOff>
      <xdr:row>9</xdr:row>
      <xdr:rowOff>2286000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353784</xdr:colOff>
      <xdr:row>10</xdr:row>
      <xdr:rowOff>176893</xdr:rowOff>
    </xdr:from>
    <xdr:to>
      <xdr:col>3</xdr:col>
      <xdr:colOff>1170214</xdr:colOff>
      <xdr:row>10</xdr:row>
      <xdr:rowOff>2286000</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ACBB7-1E59-4F70-A059-F1B18ACBDBB6}">
  <sheetPr codeName="Sheet1">
    <tabColor theme="4" tint="0.79998168889431442"/>
  </sheetPr>
  <dimension ref="B1:N58"/>
  <sheetViews>
    <sheetView tabSelected="1" zoomScaleNormal="100" workbookViewId="0">
      <selection activeCell="B2" sqref="B2"/>
    </sheetView>
  </sheetViews>
  <sheetFormatPr defaultColWidth="9.109375" defaultRowHeight="14.4" x14ac:dyDescent="0.3"/>
  <cols>
    <col min="1" max="1" width="1.6640625" style="1108" customWidth="1"/>
    <col min="2" max="2" width="187.109375" style="1108" customWidth="1"/>
    <col min="3" max="4" width="9.109375" style="1108" hidden="1" customWidth="1"/>
    <col min="5" max="5" width="2.33203125" style="1108" customWidth="1"/>
    <col min="6" max="6" width="8.109375" style="1108" customWidth="1"/>
    <col min="7" max="16384" width="9.109375" style="1108"/>
  </cols>
  <sheetData>
    <row r="1" spans="2:14" ht="9.6" customHeight="1" thickBot="1" x14ac:dyDescent="0.35">
      <c r="B1" s="177"/>
    </row>
    <row r="2" spans="2:14" ht="91.8" customHeight="1" thickBot="1" x14ac:dyDescent="0.35">
      <c r="B2" s="1251" t="s">
        <v>1532</v>
      </c>
    </row>
    <row r="3" spans="2:14" ht="61.2" customHeight="1" x14ac:dyDescent="0.3">
      <c r="B3" s="188" t="s">
        <v>1533</v>
      </c>
    </row>
    <row r="4" spans="2:14" ht="83.4" customHeight="1" x14ac:dyDescent="0.4">
      <c r="B4" s="188" t="s">
        <v>1555</v>
      </c>
      <c r="F4" s="1269"/>
      <c r="G4" s="1269"/>
      <c r="H4" s="1269"/>
      <c r="I4" s="1269"/>
      <c r="J4" s="1269"/>
      <c r="K4" s="1269"/>
      <c r="L4" s="1269"/>
      <c r="M4" s="1269"/>
      <c r="N4" s="1269"/>
    </row>
    <row r="5" spans="2:14" ht="58.2" customHeight="1" x14ac:dyDescent="0.3">
      <c r="B5" s="188" t="s">
        <v>1534</v>
      </c>
    </row>
    <row r="6" spans="2:14" ht="117.6" customHeight="1" x14ac:dyDescent="0.3">
      <c r="B6" s="178" t="s">
        <v>1535</v>
      </c>
    </row>
    <row r="7" spans="2:14" ht="25.95" customHeight="1" x14ac:dyDescent="0.3">
      <c r="B7" s="190" t="s">
        <v>578</v>
      </c>
    </row>
    <row r="8" spans="2:14" ht="49.2" customHeight="1" x14ac:dyDescent="0.3">
      <c r="B8" s="1252" t="s">
        <v>1536</v>
      </c>
    </row>
    <row r="9" spans="2:14" ht="42.6" customHeight="1" x14ac:dyDescent="0.3">
      <c r="B9" s="1252" t="s">
        <v>579</v>
      </c>
    </row>
    <row r="10" spans="2:14" s="1270" customFormat="1" ht="34.200000000000003" customHeight="1" x14ac:dyDescent="0.3">
      <c r="B10" s="1253" t="s">
        <v>580</v>
      </c>
    </row>
    <row r="11" spans="2:14" s="1270" customFormat="1" ht="55.8" customHeight="1" x14ac:dyDescent="0.3">
      <c r="B11" s="1254" t="s">
        <v>1537</v>
      </c>
    </row>
    <row r="12" spans="2:14" ht="36" customHeight="1" x14ac:dyDescent="0.3">
      <c r="B12" s="1254" t="s">
        <v>1538</v>
      </c>
    </row>
    <row r="13" spans="2:14" ht="39" customHeight="1" x14ac:dyDescent="0.3">
      <c r="B13" s="1255" t="s">
        <v>1539</v>
      </c>
    </row>
    <row r="14" spans="2:14" ht="25.95" customHeight="1" x14ac:dyDescent="0.3">
      <c r="B14" s="190" t="s">
        <v>581</v>
      </c>
    </row>
    <row r="15" spans="2:14" x14ac:dyDescent="0.3">
      <c r="B15" s="177"/>
    </row>
    <row r="16" spans="2:14" x14ac:dyDescent="0.3">
      <c r="B16" s="1256" t="s">
        <v>37</v>
      </c>
    </row>
    <row r="17" spans="2:2" ht="15.6" customHeight="1" x14ac:dyDescent="0.3">
      <c r="B17" s="1257" t="s">
        <v>1540</v>
      </c>
    </row>
    <row r="18" spans="2:2" x14ac:dyDescent="0.3">
      <c r="B18" s="1258"/>
    </row>
    <row r="19" spans="2:2" x14ac:dyDescent="0.3">
      <c r="B19" s="1256" t="s">
        <v>38</v>
      </c>
    </row>
    <row r="20" spans="2:2" ht="15.6" customHeight="1" x14ac:dyDescent="0.3">
      <c r="B20" s="1259" t="s">
        <v>399</v>
      </c>
    </row>
    <row r="21" spans="2:2" ht="13.2" customHeight="1" x14ac:dyDescent="0.3">
      <c r="B21" s="177"/>
    </row>
    <row r="22" spans="2:2" ht="25.95" customHeight="1" x14ac:dyDescent="0.3">
      <c r="B22" s="190" t="s">
        <v>582</v>
      </c>
    </row>
    <row r="23" spans="2:2" s="1270" customFormat="1" ht="72.599999999999994" customHeight="1" x14ac:dyDescent="0.3">
      <c r="B23" s="1252" t="s">
        <v>1541</v>
      </c>
    </row>
    <row r="24" spans="2:2" s="1270" customFormat="1" ht="84.6" customHeight="1" x14ac:dyDescent="0.3">
      <c r="B24" s="1252" t="s">
        <v>1542</v>
      </c>
    </row>
    <row r="25" spans="2:2" s="1270" customFormat="1" ht="78.599999999999994" customHeight="1" x14ac:dyDescent="0.3">
      <c r="B25" s="1252" t="s">
        <v>583</v>
      </c>
    </row>
    <row r="26" spans="2:2" ht="15" x14ac:dyDescent="0.3">
      <c r="B26" s="180" t="s">
        <v>1543</v>
      </c>
    </row>
    <row r="27" spans="2:2" ht="8.4" customHeight="1" x14ac:dyDescent="0.3">
      <c r="B27" s="179"/>
    </row>
    <row r="28" spans="2:2" ht="25.95" customHeight="1" x14ac:dyDescent="0.3">
      <c r="B28" s="190" t="s">
        <v>1544</v>
      </c>
    </row>
    <row r="29" spans="2:2" ht="28.8" customHeight="1" x14ac:dyDescent="0.3">
      <c r="B29" s="191" t="s">
        <v>1545</v>
      </c>
    </row>
    <row r="30" spans="2:2" ht="31.8" customHeight="1" x14ac:dyDescent="0.3">
      <c r="B30" s="191" t="s">
        <v>1546</v>
      </c>
    </row>
    <row r="31" spans="2:2" ht="30.6" customHeight="1" x14ac:dyDescent="0.3">
      <c r="B31" s="1260" t="s">
        <v>1547</v>
      </c>
    </row>
    <row r="32" spans="2:2" ht="25.2" customHeight="1" x14ac:dyDescent="0.3">
      <c r="B32" s="1260" t="s">
        <v>1548</v>
      </c>
    </row>
    <row r="33" spans="2:7" ht="27.6" customHeight="1" x14ac:dyDescent="0.3">
      <c r="B33" s="1261" t="s">
        <v>1549</v>
      </c>
    </row>
    <row r="34" spans="2:7" ht="31.8" customHeight="1" x14ac:dyDescent="0.3">
      <c r="B34" s="1262" t="s">
        <v>1550</v>
      </c>
    </row>
    <row r="35" spans="2:7" ht="60" customHeight="1" x14ac:dyDescent="0.3">
      <c r="B35" s="191" t="s">
        <v>1551</v>
      </c>
    </row>
    <row r="36" spans="2:7" ht="25.95" customHeight="1" x14ac:dyDescent="0.3">
      <c r="B36" s="191" t="s">
        <v>1552</v>
      </c>
    </row>
    <row r="37" spans="2:7" ht="12" customHeight="1" x14ac:dyDescent="0.3">
      <c r="B37" s="191"/>
    </row>
    <row r="38" spans="2:7" ht="25.95" customHeight="1" x14ac:dyDescent="0.3">
      <c r="B38" s="190" t="s">
        <v>841</v>
      </c>
    </row>
    <row r="39" spans="2:7" x14ac:dyDescent="0.3">
      <c r="B39" s="189"/>
      <c r="G39" s="1271"/>
    </row>
    <row r="40" spans="2:7" ht="43.2" customHeight="1" x14ac:dyDescent="0.3">
      <c r="B40" s="1263" t="s">
        <v>1553</v>
      </c>
    </row>
    <row r="41" spans="2:7" ht="19.95" customHeight="1" x14ac:dyDescent="0.3">
      <c r="B41" s="1264" t="s">
        <v>1539</v>
      </c>
    </row>
    <row r="42" spans="2:7" ht="11.4" customHeight="1" x14ac:dyDescent="0.3">
      <c r="B42" s="192"/>
    </row>
    <row r="43" spans="2:7" ht="15" x14ac:dyDescent="0.3">
      <c r="B43" s="193"/>
    </row>
    <row r="44" spans="2:7" ht="7.2" customHeight="1" x14ac:dyDescent="0.3">
      <c r="B44" s="191"/>
    </row>
    <row r="45" spans="2:7" ht="25.95" customHeight="1" x14ac:dyDescent="0.3">
      <c r="B45" s="190" t="s">
        <v>842</v>
      </c>
    </row>
    <row r="46" spans="2:7" ht="35.4" customHeight="1" x14ac:dyDescent="0.3">
      <c r="B46" s="1263" t="s">
        <v>1554</v>
      </c>
    </row>
    <row r="47" spans="2:7" ht="15" x14ac:dyDescent="0.3">
      <c r="B47" s="193"/>
    </row>
    <row r="58" ht="44.25" customHeight="1" x14ac:dyDescent="0.3"/>
  </sheetData>
  <sheetProtection algorithmName="SHA-512" hashValue="4gxsgqaHITaPCi/k7jkHIsjUF+RYGIbbcCY8dNE6xo4uLdxmB3n2TdqPsKr6XjfoIaq8wIqV8WpD1VarIZMi0A==" saltValue="hqMQxOo/LNR/sHnrnrlWwg==" spinCount="100000" sheet="1" formatCells="0" formatColumns="0" formatRows="0"/>
  <hyperlinks>
    <hyperlink ref="B17" r:id="rId1" xr:uid="{442EA7B8-8671-48B8-9832-A59EA493A048}"/>
    <hyperlink ref="B20" r:id="rId2" xr:uid="{8349C1A0-2399-4814-891C-B55441E45EB0}"/>
    <hyperlink ref="B41" r:id="rId3" xr:uid="{2B34EE1B-B326-46E7-AD71-2143ADA50151}"/>
    <hyperlink ref="B13" r:id="rId4" xr:uid="{8F07569A-78DA-42BA-A8CB-C208A6F82E5B}"/>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8B78-A2B6-4661-B34D-EE63136445DC}">
  <sheetPr codeName="Sheet11">
    <pageSetUpPr fitToPage="1"/>
  </sheetPr>
  <dimension ref="A1:CI943"/>
  <sheetViews>
    <sheetView zoomScaleNormal="100" workbookViewId="0"/>
  </sheetViews>
  <sheetFormatPr defaultColWidth="9.109375" defaultRowHeight="14.4" x14ac:dyDescent="0.3"/>
  <cols>
    <col min="1" max="1" width="17" style="99" bestFit="1" customWidth="1"/>
    <col min="2" max="2" width="11.88671875" style="311" customWidth="1"/>
    <col min="3" max="3" width="8.33203125" style="99" customWidth="1"/>
    <col min="4" max="4" width="31.109375" style="99" customWidth="1"/>
    <col min="5" max="5" width="14.44140625" style="99" bestFit="1" customWidth="1"/>
    <col min="6" max="13" width="19.6640625" style="99" bestFit="1" customWidth="1"/>
    <col min="14" max="14" width="20.5546875" style="99" bestFit="1" customWidth="1"/>
    <col min="15" max="44" width="19.6640625" style="99" bestFit="1" customWidth="1"/>
    <col min="45" max="45" width="20.5546875" style="99" bestFit="1" customWidth="1"/>
    <col min="46" max="50" width="19.6640625" style="99" bestFit="1" customWidth="1"/>
    <col min="51" max="51" width="23.6640625" style="99" bestFit="1" customWidth="1"/>
    <col min="52" max="57" width="19.6640625" style="99" bestFit="1" customWidth="1"/>
    <col min="58" max="58" width="21.5546875" style="99" bestFit="1" customWidth="1"/>
    <col min="59" max="62" width="19.6640625" style="99" bestFit="1" customWidth="1"/>
    <col min="63" max="63" width="9.88671875" style="99" bestFit="1" customWidth="1"/>
    <col min="64" max="65" width="15.5546875" style="99" bestFit="1" customWidth="1"/>
    <col min="66" max="66" width="13.44140625" style="99" bestFit="1" customWidth="1"/>
    <col min="67" max="67" width="15.5546875" style="99" bestFit="1" customWidth="1"/>
    <col min="68" max="68" width="15.44140625" style="99" bestFit="1" customWidth="1"/>
    <col min="69" max="69" width="14.88671875" style="99" bestFit="1" customWidth="1"/>
    <col min="70" max="70" width="16.33203125" style="99" bestFit="1" customWidth="1"/>
    <col min="71" max="71" width="14.88671875" style="99" bestFit="1" customWidth="1"/>
    <col min="72" max="72" width="17" style="99" bestFit="1" customWidth="1"/>
    <col min="73" max="73" width="14.6640625" style="99" bestFit="1" customWidth="1"/>
    <col min="74" max="74" width="15.5546875" style="99" bestFit="1" customWidth="1"/>
    <col min="75" max="75" width="14.44140625" style="99" bestFit="1" customWidth="1"/>
    <col min="76" max="76" width="15.5546875" style="99" bestFit="1" customWidth="1"/>
    <col min="77" max="78" width="13.44140625" style="99" bestFit="1" customWidth="1"/>
    <col min="79" max="79" width="15.5546875" style="99" bestFit="1" customWidth="1"/>
    <col min="80" max="80" width="13.44140625" style="99" bestFit="1" customWidth="1"/>
    <col min="81" max="16384" width="9.109375" style="99"/>
  </cols>
  <sheetData>
    <row r="1" spans="1:87" s="401" customFormat="1" ht="55.8" x14ac:dyDescent="0.3">
      <c r="A1" s="1154" t="s">
        <v>1515</v>
      </c>
      <c r="B1" s="1214" t="s">
        <v>1516</v>
      </c>
      <c r="C1" s="1168" t="s">
        <v>1401</v>
      </c>
      <c r="D1" s="1152"/>
      <c r="E1" s="1152"/>
      <c r="F1" s="1162" t="s">
        <v>1429</v>
      </c>
      <c r="G1" s="1162" t="s">
        <v>1430</v>
      </c>
      <c r="H1" s="1162" t="s">
        <v>1431</v>
      </c>
      <c r="I1" s="1162" t="s">
        <v>1432</v>
      </c>
      <c r="J1" s="1162" t="s">
        <v>1433</v>
      </c>
      <c r="K1" s="1162" t="s">
        <v>1434</v>
      </c>
      <c r="L1" s="1162" t="s">
        <v>1435</v>
      </c>
      <c r="M1" s="1162" t="s">
        <v>1436</v>
      </c>
      <c r="N1" s="1162" t="s">
        <v>1437</v>
      </c>
      <c r="O1" s="1162" t="s">
        <v>1438</v>
      </c>
      <c r="P1" s="1162" t="s">
        <v>1439</v>
      </c>
      <c r="Q1" s="1162" t="s">
        <v>1440</v>
      </c>
      <c r="R1" s="1162" t="s">
        <v>1441</v>
      </c>
      <c r="S1" s="1162" t="s">
        <v>1442</v>
      </c>
      <c r="T1" s="1162" t="s">
        <v>1443</v>
      </c>
      <c r="U1" s="1162" t="s">
        <v>1444</v>
      </c>
      <c r="V1" s="1162" t="s">
        <v>1445</v>
      </c>
      <c r="W1" s="1162" t="s">
        <v>1446</v>
      </c>
      <c r="X1" s="1162" t="s">
        <v>1447</v>
      </c>
      <c r="Y1" s="1162" t="s">
        <v>1448</v>
      </c>
      <c r="Z1" s="1162" t="s">
        <v>1449</v>
      </c>
      <c r="AA1" s="1162" t="s">
        <v>1450</v>
      </c>
      <c r="AB1" s="1162" t="s">
        <v>1451</v>
      </c>
      <c r="AC1" s="1162" t="s">
        <v>1452</v>
      </c>
      <c r="AD1" s="1162" t="s">
        <v>1453</v>
      </c>
      <c r="AE1" s="1162" t="s">
        <v>1454</v>
      </c>
      <c r="AF1" s="1162" t="s">
        <v>1455</v>
      </c>
      <c r="AG1" s="1162" t="s">
        <v>1456</v>
      </c>
      <c r="AH1" s="1162" t="s">
        <v>1457</v>
      </c>
      <c r="AI1" s="1162" t="s">
        <v>1458</v>
      </c>
      <c r="AJ1" s="1162" t="s">
        <v>1459</v>
      </c>
      <c r="AK1" s="1162" t="s">
        <v>1460</v>
      </c>
      <c r="AL1" s="1162" t="s">
        <v>1461</v>
      </c>
      <c r="AM1" s="1162" t="s">
        <v>1462</v>
      </c>
      <c r="AN1" s="1162" t="s">
        <v>1463</v>
      </c>
      <c r="AO1" s="1162" t="s">
        <v>1464</v>
      </c>
      <c r="AP1" s="1162" t="s">
        <v>1465</v>
      </c>
      <c r="AQ1" s="1162" t="s">
        <v>1466</v>
      </c>
      <c r="AR1" s="1162" t="s">
        <v>1467</v>
      </c>
      <c r="AS1" s="1162" t="s">
        <v>1468</v>
      </c>
      <c r="AT1" s="1162" t="s">
        <v>1469</v>
      </c>
      <c r="AU1" s="1162" t="s">
        <v>1470</v>
      </c>
      <c r="AV1" s="1162" t="s">
        <v>1471</v>
      </c>
      <c r="AW1" s="1162" t="s">
        <v>1472</v>
      </c>
      <c r="AX1" s="1162" t="s">
        <v>1473</v>
      </c>
      <c r="AY1" s="1162" t="s">
        <v>1474</v>
      </c>
      <c r="AZ1" s="1162" t="s">
        <v>1475</v>
      </c>
      <c r="BA1" s="1162" t="s">
        <v>1476</v>
      </c>
      <c r="BB1" s="1162" t="s">
        <v>1477</v>
      </c>
      <c r="BC1" s="1162" t="s">
        <v>1478</v>
      </c>
      <c r="BD1" s="1162" t="s">
        <v>1479</v>
      </c>
      <c r="BE1" s="1162" t="s">
        <v>1480</v>
      </c>
      <c r="BF1" s="1162" t="s">
        <v>1481</v>
      </c>
      <c r="BG1" s="1162" t="s">
        <v>1482</v>
      </c>
      <c r="BH1" s="1162" t="s">
        <v>1483</v>
      </c>
      <c r="BI1" s="1162" t="s">
        <v>1484</v>
      </c>
      <c r="BJ1" s="1162" t="s">
        <v>1485</v>
      </c>
      <c r="BK1" s="1152"/>
      <c r="BL1" s="1152"/>
      <c r="BM1" s="1152"/>
      <c r="BN1" s="1152"/>
      <c r="BO1" s="1152"/>
      <c r="BP1" s="1152"/>
      <c r="BQ1" s="1152"/>
      <c r="BR1" s="1152"/>
      <c r="BS1" s="1152"/>
      <c r="BT1" s="1152"/>
      <c r="BU1" s="1152"/>
      <c r="BV1" s="1152"/>
      <c r="BW1" s="1152"/>
      <c r="BX1" s="1152"/>
      <c r="BY1" s="1152"/>
      <c r="BZ1" s="1152"/>
      <c r="CA1" s="1152"/>
      <c r="CB1" s="1152"/>
      <c r="CC1" s="1152"/>
      <c r="CD1" s="1152"/>
      <c r="CE1" s="1152"/>
      <c r="CF1" s="1152"/>
      <c r="CG1" s="1152"/>
      <c r="CH1" s="1152"/>
      <c r="CI1" s="1152"/>
    </row>
    <row r="2" spans="1:87" s="401" customFormat="1" x14ac:dyDescent="0.3">
      <c r="A2" s="1202"/>
      <c r="B2" s="1152"/>
      <c r="C2" s="1202"/>
      <c r="D2" s="1202"/>
      <c r="E2" s="1202"/>
      <c r="F2" s="1201">
        <v>52821</v>
      </c>
      <c r="G2" s="1200">
        <v>52823</v>
      </c>
      <c r="H2" s="1200">
        <v>52824</v>
      </c>
      <c r="I2" s="1200">
        <v>52825</v>
      </c>
      <c r="J2" s="1200">
        <v>52826</v>
      </c>
      <c r="K2" s="1200">
        <v>52827</v>
      </c>
      <c r="L2" s="1201">
        <v>52828</v>
      </c>
      <c r="M2" s="1202">
        <v>52829</v>
      </c>
      <c r="N2" s="1199">
        <v>52830</v>
      </c>
      <c r="O2" s="1198">
        <v>52831</v>
      </c>
      <c r="P2" s="1199">
        <v>52832</v>
      </c>
      <c r="Q2" s="1199">
        <v>52833</v>
      </c>
      <c r="R2" s="1199">
        <v>52834</v>
      </c>
      <c r="S2" s="1199">
        <v>52835</v>
      </c>
      <c r="T2" s="1199">
        <v>524017</v>
      </c>
      <c r="U2" s="1199">
        <v>52994</v>
      </c>
      <c r="V2" s="1199">
        <v>52836</v>
      </c>
      <c r="W2" s="1199">
        <v>52837</v>
      </c>
      <c r="X2" s="1199">
        <v>52838</v>
      </c>
      <c r="Y2" s="1199">
        <v>52839</v>
      </c>
      <c r="Z2" s="1199">
        <v>52840</v>
      </c>
      <c r="AA2" s="1199">
        <v>52841</v>
      </c>
      <c r="AB2" s="1199">
        <v>52842</v>
      </c>
      <c r="AC2" s="1199">
        <v>52843</v>
      </c>
      <c r="AD2" s="1197">
        <v>52844</v>
      </c>
      <c r="AE2" s="1197">
        <v>52845</v>
      </c>
      <c r="AF2" s="1197">
        <v>52846</v>
      </c>
      <c r="AG2" s="1197">
        <v>52847</v>
      </c>
      <c r="AH2" s="1197">
        <v>52848</v>
      </c>
      <c r="AI2" s="1197">
        <v>52849</v>
      </c>
      <c r="AJ2" s="1197">
        <v>52850</v>
      </c>
      <c r="AK2" s="1197">
        <v>52851</v>
      </c>
      <c r="AL2" s="1197">
        <v>52995</v>
      </c>
      <c r="AM2" s="1197">
        <v>52852</v>
      </c>
      <c r="AN2" s="1197">
        <v>52853</v>
      </c>
      <c r="AO2" s="1197">
        <v>52854</v>
      </c>
      <c r="AP2" s="1197">
        <v>52856</v>
      </c>
      <c r="AQ2" s="1197">
        <v>52857</v>
      </c>
      <c r="AR2" s="1197">
        <v>52858</v>
      </c>
      <c r="AS2" s="1197">
        <v>52859</v>
      </c>
      <c r="AT2" s="1197">
        <v>52860</v>
      </c>
      <c r="AU2" s="1197">
        <v>52861</v>
      </c>
      <c r="AV2" s="1197">
        <v>52862</v>
      </c>
      <c r="AW2" s="1197">
        <v>52863</v>
      </c>
      <c r="AX2" s="1197">
        <v>52864</v>
      </c>
      <c r="AY2" s="1197">
        <v>52865</v>
      </c>
      <c r="AZ2" s="1197">
        <v>52866</v>
      </c>
      <c r="BA2" s="1197">
        <v>52867</v>
      </c>
      <c r="BB2" s="1197">
        <v>52868</v>
      </c>
      <c r="BC2" s="1197">
        <v>52869</v>
      </c>
      <c r="BD2" s="1197">
        <v>52870</v>
      </c>
      <c r="BE2" s="1197">
        <v>52871</v>
      </c>
      <c r="BF2" s="1197">
        <v>52872</v>
      </c>
      <c r="BG2" s="1197">
        <v>52873</v>
      </c>
      <c r="BH2" s="1197">
        <v>52996</v>
      </c>
      <c r="BI2" s="1197">
        <v>52874</v>
      </c>
      <c r="BJ2" s="1197">
        <v>52875</v>
      </c>
      <c r="BK2" s="1202"/>
      <c r="BL2" s="1202"/>
      <c r="BM2" s="1202"/>
      <c r="BN2" s="1202"/>
      <c r="BO2" s="1202"/>
      <c r="BP2" s="1202"/>
      <c r="BQ2" s="1202"/>
      <c r="BR2" s="1202"/>
      <c r="BS2" s="1202"/>
      <c r="BT2" s="1202"/>
      <c r="BU2" s="1202"/>
      <c r="BV2" s="1202"/>
      <c r="BW2" s="1202"/>
      <c r="BX2" s="1202"/>
      <c r="BY2" s="1202"/>
      <c r="BZ2" s="1202"/>
      <c r="CA2" s="1202"/>
      <c r="CB2" s="1202"/>
      <c r="CC2" s="1202"/>
      <c r="CD2" s="1202"/>
      <c r="CE2" s="1202"/>
      <c r="CF2" s="1202"/>
      <c r="CG2" s="1202"/>
      <c r="CH2" s="1202"/>
      <c r="CI2" s="1202"/>
    </row>
    <row r="3" spans="1:87" s="401" customFormat="1" x14ac:dyDescent="0.3">
      <c r="A3" s="1154">
        <v>4</v>
      </c>
      <c r="B3" s="1222">
        <v>4</v>
      </c>
      <c r="C3" s="1153">
        <v>4</v>
      </c>
      <c r="D3" s="1203" t="s">
        <v>373</v>
      </c>
      <c r="E3" s="1203"/>
      <c r="F3" s="1170">
        <v>161116</v>
      </c>
      <c r="G3" s="1171">
        <v>2044163</v>
      </c>
      <c r="H3" s="1171">
        <v>299179</v>
      </c>
      <c r="I3" s="1171">
        <v>190285</v>
      </c>
      <c r="J3" s="1171">
        <v>1793273</v>
      </c>
      <c r="K3" s="1171">
        <v>132963</v>
      </c>
      <c r="L3" s="1172">
        <v>188553</v>
      </c>
      <c r="M3" s="1173">
        <v>566475</v>
      </c>
      <c r="N3" s="1173">
        <v>303369</v>
      </c>
      <c r="O3" s="1174">
        <v>151221</v>
      </c>
      <c r="P3" s="1174">
        <v>123412</v>
      </c>
      <c r="Q3" s="1174">
        <v>1013858</v>
      </c>
      <c r="R3" s="1174">
        <v>238584</v>
      </c>
      <c r="S3" s="1174">
        <v>66054</v>
      </c>
      <c r="T3" s="1174">
        <v>0</v>
      </c>
      <c r="U3" s="1174">
        <v>3083485</v>
      </c>
      <c r="V3" s="1174">
        <v>8305801</v>
      </c>
      <c r="W3" s="1174">
        <v>298727</v>
      </c>
      <c r="X3" s="1174">
        <v>231303</v>
      </c>
      <c r="Y3" s="1174">
        <v>1137770</v>
      </c>
      <c r="Z3" s="1174">
        <v>1975217</v>
      </c>
      <c r="AA3" s="1174">
        <v>13529</v>
      </c>
      <c r="AB3" s="1174">
        <v>341536</v>
      </c>
      <c r="AC3" s="1174">
        <v>27607</v>
      </c>
      <c r="AD3" s="1173">
        <v>222972</v>
      </c>
      <c r="AE3" s="1173">
        <v>1041919</v>
      </c>
      <c r="AF3" s="1173">
        <v>160925</v>
      </c>
      <c r="AG3" s="1173">
        <v>640887</v>
      </c>
      <c r="AH3" s="1173">
        <v>535249</v>
      </c>
      <c r="AI3" s="1173">
        <v>145855</v>
      </c>
      <c r="AJ3" s="1173">
        <v>4593825</v>
      </c>
      <c r="AK3" s="1173">
        <v>2039662</v>
      </c>
      <c r="AL3" s="1173">
        <v>1766237</v>
      </c>
      <c r="AM3" s="1173">
        <v>1167295</v>
      </c>
      <c r="AN3" s="1173">
        <v>412764</v>
      </c>
      <c r="AO3" s="1173">
        <v>1837199</v>
      </c>
      <c r="AP3" s="1173">
        <v>226208</v>
      </c>
      <c r="AQ3" s="1173">
        <v>302854</v>
      </c>
      <c r="AR3" s="1173">
        <v>494430</v>
      </c>
      <c r="AS3" s="1173">
        <v>1903</v>
      </c>
      <c r="AT3" s="1173">
        <v>660840</v>
      </c>
      <c r="AU3" s="1173">
        <v>249956</v>
      </c>
      <c r="AV3" s="1173">
        <v>10882</v>
      </c>
      <c r="AW3" s="1173">
        <v>4400101</v>
      </c>
      <c r="AX3" s="1173">
        <v>253641</v>
      </c>
      <c r="AY3" s="1173">
        <v>20492017</v>
      </c>
      <c r="AZ3" s="1173">
        <v>94790</v>
      </c>
      <c r="BA3" s="1173">
        <v>36034</v>
      </c>
      <c r="BB3" s="1173">
        <v>446637</v>
      </c>
      <c r="BC3" s="1173">
        <v>6587775</v>
      </c>
      <c r="BD3" s="1173">
        <v>93993</v>
      </c>
      <c r="BE3" s="1173">
        <v>79664</v>
      </c>
      <c r="BF3" s="1173">
        <v>4873010</v>
      </c>
      <c r="BG3" s="1173">
        <v>826917</v>
      </c>
      <c r="BH3" s="1173">
        <v>5164661</v>
      </c>
      <c r="BI3" s="1173">
        <v>179756</v>
      </c>
      <c r="BJ3" s="1173">
        <v>256736</v>
      </c>
      <c r="BK3" s="1155"/>
      <c r="BL3" s="1155"/>
      <c r="BM3" s="1155"/>
      <c r="BN3" s="1155"/>
      <c r="BO3" s="1155"/>
      <c r="BP3" s="1155"/>
      <c r="BQ3" s="1155"/>
      <c r="BR3" s="1155"/>
      <c r="BS3" s="1155"/>
      <c r="BT3" s="1155"/>
      <c r="BU3" s="1155"/>
      <c r="BV3" s="1155"/>
      <c r="BW3" s="1155"/>
      <c r="BX3" s="1155"/>
      <c r="BY3" s="1155"/>
      <c r="BZ3" s="1155"/>
      <c r="CA3" s="1155"/>
      <c r="CB3" s="1155"/>
      <c r="CC3" s="1155"/>
      <c r="CD3" s="1155"/>
      <c r="CE3" s="1155"/>
      <c r="CF3" s="1155"/>
      <c r="CG3" s="1155"/>
      <c r="CH3" s="1155"/>
      <c r="CI3" s="1155"/>
    </row>
    <row r="4" spans="1:87" s="401" customFormat="1" ht="28.8" x14ac:dyDescent="0.3">
      <c r="A4" s="1154">
        <v>5</v>
      </c>
      <c r="B4" s="1222">
        <v>5</v>
      </c>
      <c r="C4" s="1153">
        <v>5</v>
      </c>
      <c r="D4" s="1203" t="s">
        <v>120</v>
      </c>
      <c r="E4" s="1203"/>
      <c r="F4" s="1170">
        <v>0</v>
      </c>
      <c r="G4" s="1171">
        <v>0</v>
      </c>
      <c r="H4" s="1171">
        <v>0</v>
      </c>
      <c r="I4" s="1171">
        <v>0</v>
      </c>
      <c r="J4" s="1171">
        <v>0</v>
      </c>
      <c r="K4" s="1171">
        <v>0</v>
      </c>
      <c r="L4" s="1172">
        <v>0</v>
      </c>
      <c r="M4" s="1173">
        <v>0</v>
      </c>
      <c r="N4" s="1173">
        <v>230595</v>
      </c>
      <c r="O4" s="1174">
        <v>0</v>
      </c>
      <c r="P4" s="1174">
        <v>0</v>
      </c>
      <c r="Q4" s="1174">
        <v>0</v>
      </c>
      <c r="R4" s="1174">
        <v>0</v>
      </c>
      <c r="S4" s="1174">
        <v>0</v>
      </c>
      <c r="T4" s="1174">
        <v>0</v>
      </c>
      <c r="U4" s="1174">
        <v>0</v>
      </c>
      <c r="V4" s="1174">
        <v>0</v>
      </c>
      <c r="W4" s="1174">
        <v>0</v>
      </c>
      <c r="X4" s="1174">
        <v>0</v>
      </c>
      <c r="Y4" s="1174">
        <v>0</v>
      </c>
      <c r="Z4" s="1174">
        <v>0</v>
      </c>
      <c r="AA4" s="1174">
        <v>0</v>
      </c>
      <c r="AB4" s="1174">
        <v>1532</v>
      </c>
      <c r="AC4" s="1174">
        <v>0</v>
      </c>
      <c r="AD4" s="1173">
        <v>0</v>
      </c>
      <c r="AE4" s="1173">
        <v>0</v>
      </c>
      <c r="AF4" s="1173">
        <v>0</v>
      </c>
      <c r="AG4" s="1173">
        <v>0</v>
      </c>
      <c r="AH4" s="1173">
        <v>0</v>
      </c>
      <c r="AI4" s="1173">
        <v>0</v>
      </c>
      <c r="AJ4" s="1173">
        <v>0</v>
      </c>
      <c r="AK4" s="1173">
        <v>0</v>
      </c>
      <c r="AL4" s="1173">
        <v>0</v>
      </c>
      <c r="AM4" s="1173">
        <v>0</v>
      </c>
      <c r="AN4" s="1173">
        <v>0</v>
      </c>
      <c r="AO4" s="1173">
        <v>0</v>
      </c>
      <c r="AP4" s="1173">
        <v>0</v>
      </c>
      <c r="AQ4" s="1173">
        <v>0</v>
      </c>
      <c r="AR4" s="1173">
        <v>0</v>
      </c>
      <c r="AS4" s="1173">
        <v>0</v>
      </c>
      <c r="AT4" s="1173">
        <v>0</v>
      </c>
      <c r="AU4" s="1173">
        <v>0</v>
      </c>
      <c r="AV4" s="1173">
        <v>0</v>
      </c>
      <c r="AW4" s="1173">
        <v>0</v>
      </c>
      <c r="AX4" s="1173">
        <v>0</v>
      </c>
      <c r="AY4" s="1173">
        <v>0</v>
      </c>
      <c r="AZ4" s="1173">
        <v>0</v>
      </c>
      <c r="BA4" s="1173">
        <v>0</v>
      </c>
      <c r="BB4" s="1173">
        <v>0</v>
      </c>
      <c r="BC4" s="1173">
        <v>0</v>
      </c>
      <c r="BD4" s="1173">
        <v>0</v>
      </c>
      <c r="BE4" s="1173">
        <v>0</v>
      </c>
      <c r="BF4" s="1173">
        <v>0</v>
      </c>
      <c r="BG4" s="1173">
        <v>0</v>
      </c>
      <c r="BH4" s="1173">
        <v>0</v>
      </c>
      <c r="BI4" s="1173">
        <v>0</v>
      </c>
      <c r="BJ4" s="1173">
        <v>0</v>
      </c>
      <c r="BK4" s="1155"/>
      <c r="BL4" s="1155"/>
      <c r="BM4" s="1155"/>
      <c r="BN4" s="1155"/>
      <c r="BO4" s="1155"/>
      <c r="BP4" s="1155"/>
      <c r="BQ4" s="1155"/>
      <c r="BR4" s="1155"/>
      <c r="BS4" s="1155"/>
      <c r="BT4" s="1155"/>
      <c r="BU4" s="1155"/>
      <c r="BV4" s="1155"/>
      <c r="BW4" s="1155"/>
      <c r="BX4" s="1155"/>
      <c r="BY4" s="1155"/>
      <c r="BZ4" s="1155"/>
      <c r="CA4" s="1155"/>
      <c r="CB4" s="1155"/>
      <c r="CC4" s="1155"/>
      <c r="CD4" s="1155"/>
      <c r="CE4" s="1155"/>
      <c r="CF4" s="1155"/>
      <c r="CG4" s="1155"/>
      <c r="CH4" s="1155"/>
      <c r="CI4" s="1155"/>
    </row>
    <row r="5" spans="1:87" s="401" customFormat="1" x14ac:dyDescent="0.3">
      <c r="A5" s="1154">
        <v>6</v>
      </c>
      <c r="B5" s="1222">
        <v>6</v>
      </c>
      <c r="C5" s="1153">
        <v>6</v>
      </c>
      <c r="D5" s="1203" t="s">
        <v>260</v>
      </c>
      <c r="E5" s="1203"/>
      <c r="F5" s="1170">
        <v>0</v>
      </c>
      <c r="G5" s="1171">
        <v>0</v>
      </c>
      <c r="H5" s="1171">
        <v>0</v>
      </c>
      <c r="I5" s="1171">
        <v>0</v>
      </c>
      <c r="J5" s="1171">
        <v>0</v>
      </c>
      <c r="K5" s="1171">
        <v>0</v>
      </c>
      <c r="L5" s="1172">
        <v>0</v>
      </c>
      <c r="M5" s="1173">
        <v>0</v>
      </c>
      <c r="N5" s="1173">
        <v>0</v>
      </c>
      <c r="O5" s="1174">
        <v>0</v>
      </c>
      <c r="P5" s="1174">
        <v>0</v>
      </c>
      <c r="Q5" s="1174">
        <v>0</v>
      </c>
      <c r="R5" s="1174">
        <v>0</v>
      </c>
      <c r="S5" s="1174">
        <v>0</v>
      </c>
      <c r="T5" s="1174">
        <v>0</v>
      </c>
      <c r="U5" s="1174">
        <v>0</v>
      </c>
      <c r="V5" s="1174">
        <v>12749505</v>
      </c>
      <c r="W5" s="1174">
        <v>0</v>
      </c>
      <c r="X5" s="1174">
        <v>0</v>
      </c>
      <c r="Y5" s="1174">
        <v>6582159</v>
      </c>
      <c r="Z5" s="1174">
        <v>0</v>
      </c>
      <c r="AA5" s="1174">
        <v>0</v>
      </c>
      <c r="AB5" s="1174">
        <v>0</v>
      </c>
      <c r="AC5" s="1174">
        <v>0</v>
      </c>
      <c r="AD5" s="1173">
        <v>0</v>
      </c>
      <c r="AE5" s="1173">
        <v>0</v>
      </c>
      <c r="AF5" s="1173">
        <v>0</v>
      </c>
      <c r="AG5" s="1173">
        <v>0</v>
      </c>
      <c r="AH5" s="1173">
        <v>0</v>
      </c>
      <c r="AI5" s="1173">
        <v>0</v>
      </c>
      <c r="AJ5" s="1173">
        <v>0</v>
      </c>
      <c r="AK5" s="1173">
        <v>0</v>
      </c>
      <c r="AL5" s="1173">
        <v>0</v>
      </c>
      <c r="AM5" s="1173">
        <v>0</v>
      </c>
      <c r="AN5" s="1173">
        <v>0</v>
      </c>
      <c r="AO5" s="1173">
        <v>0</v>
      </c>
      <c r="AP5" s="1173">
        <v>0</v>
      </c>
      <c r="AQ5" s="1173">
        <v>0</v>
      </c>
      <c r="AR5" s="1173">
        <v>0</v>
      </c>
      <c r="AS5" s="1173">
        <v>0</v>
      </c>
      <c r="AT5" s="1173">
        <v>0</v>
      </c>
      <c r="AU5" s="1173">
        <v>0</v>
      </c>
      <c r="AV5" s="1173">
        <v>0</v>
      </c>
      <c r="AW5" s="1173">
        <v>305963</v>
      </c>
      <c r="AX5" s="1173">
        <v>0</v>
      </c>
      <c r="AY5" s="1173">
        <v>2034083</v>
      </c>
      <c r="AZ5" s="1173">
        <v>0</v>
      </c>
      <c r="BA5" s="1173">
        <v>0</v>
      </c>
      <c r="BB5" s="1173">
        <v>0</v>
      </c>
      <c r="BC5" s="1173">
        <v>0</v>
      </c>
      <c r="BD5" s="1173">
        <v>0</v>
      </c>
      <c r="BE5" s="1173">
        <v>0</v>
      </c>
      <c r="BF5" s="1173">
        <v>0</v>
      </c>
      <c r="BG5" s="1173">
        <v>0</v>
      </c>
      <c r="BH5" s="1173">
        <v>793806</v>
      </c>
      <c r="BI5" s="1173">
        <v>0</v>
      </c>
      <c r="BJ5" s="1173">
        <v>0</v>
      </c>
      <c r="BK5" s="1155"/>
      <c r="BL5" s="1155"/>
      <c r="BM5" s="1155"/>
      <c r="BN5" s="1155"/>
      <c r="BO5" s="1155"/>
      <c r="BP5" s="1155"/>
      <c r="BQ5" s="1155"/>
      <c r="BR5" s="1155"/>
      <c r="BS5" s="1155"/>
      <c r="BT5" s="1155"/>
      <c r="BU5" s="1155"/>
      <c r="BV5" s="1155"/>
      <c r="BW5" s="1155"/>
      <c r="BX5" s="1155"/>
      <c r="BY5" s="1155"/>
      <c r="BZ5" s="1155"/>
      <c r="CA5" s="1155"/>
      <c r="CB5" s="1155"/>
      <c r="CC5" s="1155"/>
      <c r="CD5" s="1155"/>
      <c r="CE5" s="1155"/>
      <c r="CF5" s="1155"/>
      <c r="CG5" s="1155"/>
      <c r="CH5" s="1155"/>
      <c r="CI5" s="1155"/>
    </row>
    <row r="6" spans="1:87" s="401" customFormat="1" x14ac:dyDescent="0.3">
      <c r="A6" s="1154">
        <v>7</v>
      </c>
      <c r="B6" s="1222">
        <v>7</v>
      </c>
      <c r="C6" s="1153">
        <v>7</v>
      </c>
      <c r="D6" s="1203" t="s">
        <v>201</v>
      </c>
      <c r="E6" s="1203"/>
      <c r="F6" s="1170">
        <v>0</v>
      </c>
      <c r="G6" s="1171">
        <v>637006</v>
      </c>
      <c r="H6" s="1171">
        <v>641528</v>
      </c>
      <c r="I6" s="1171">
        <v>48381</v>
      </c>
      <c r="J6" s="1171">
        <v>0</v>
      </c>
      <c r="K6" s="1171">
        <v>0</v>
      </c>
      <c r="L6" s="1172">
        <v>408485</v>
      </c>
      <c r="M6" s="1173">
        <v>248069</v>
      </c>
      <c r="N6" s="1173">
        <v>0</v>
      </c>
      <c r="O6" s="1174">
        <v>0</v>
      </c>
      <c r="P6" s="1174">
        <v>113397</v>
      </c>
      <c r="Q6" s="1174">
        <v>174525</v>
      </c>
      <c r="R6" s="1174">
        <v>0</v>
      </c>
      <c r="S6" s="1174">
        <v>0</v>
      </c>
      <c r="T6" s="1174">
        <v>0</v>
      </c>
      <c r="U6" s="1174">
        <v>382480</v>
      </c>
      <c r="V6" s="1174">
        <v>2509326</v>
      </c>
      <c r="W6" s="1174">
        <v>0</v>
      </c>
      <c r="X6" s="1174">
        <v>59860</v>
      </c>
      <c r="Y6" s="1174">
        <v>894216</v>
      </c>
      <c r="Z6" s="1174">
        <v>0</v>
      </c>
      <c r="AA6" s="1174">
        <v>0</v>
      </c>
      <c r="AB6" s="1174">
        <v>0</v>
      </c>
      <c r="AC6" s="1174">
        <v>0</v>
      </c>
      <c r="AD6" s="1173">
        <v>0</v>
      </c>
      <c r="AE6" s="1173">
        <v>367832</v>
      </c>
      <c r="AF6" s="1173">
        <v>0</v>
      </c>
      <c r="AG6" s="1173">
        <v>2518024</v>
      </c>
      <c r="AH6" s="1173">
        <v>0</v>
      </c>
      <c r="AI6" s="1173">
        <v>0</v>
      </c>
      <c r="AJ6" s="1173">
        <v>873957</v>
      </c>
      <c r="AK6" s="1173">
        <v>0</v>
      </c>
      <c r="AL6" s="1173">
        <v>0</v>
      </c>
      <c r="AM6" s="1173">
        <v>0</v>
      </c>
      <c r="AN6" s="1173">
        <v>793155</v>
      </c>
      <c r="AO6" s="1173">
        <v>0</v>
      </c>
      <c r="AP6" s="1173">
        <v>0</v>
      </c>
      <c r="AQ6" s="1173">
        <v>0</v>
      </c>
      <c r="AR6" s="1173">
        <v>543873</v>
      </c>
      <c r="AS6" s="1173">
        <v>0</v>
      </c>
      <c r="AT6" s="1173">
        <v>13340</v>
      </c>
      <c r="AU6" s="1173">
        <v>0</v>
      </c>
      <c r="AV6" s="1173">
        <v>0</v>
      </c>
      <c r="AW6" s="1173">
        <v>0</v>
      </c>
      <c r="AX6" s="1173">
        <v>541377</v>
      </c>
      <c r="AY6" s="1173">
        <v>5905099</v>
      </c>
      <c r="AZ6" s="1173">
        <v>0</v>
      </c>
      <c r="BA6" s="1173">
        <v>174744</v>
      </c>
      <c r="BB6" s="1173">
        <v>268876</v>
      </c>
      <c r="BC6" s="1173">
        <v>678603</v>
      </c>
      <c r="BD6" s="1173">
        <v>0</v>
      </c>
      <c r="BE6" s="1173">
        <v>0</v>
      </c>
      <c r="BF6" s="1173">
        <v>235623</v>
      </c>
      <c r="BG6" s="1173">
        <v>1046841</v>
      </c>
      <c r="BH6" s="1173">
        <v>1247999</v>
      </c>
      <c r="BI6" s="1173">
        <v>0</v>
      </c>
      <c r="BJ6" s="1173">
        <v>95558</v>
      </c>
      <c r="BK6" s="1155"/>
      <c r="BL6" s="1155"/>
      <c r="BM6" s="1155"/>
      <c r="BN6" s="1155"/>
      <c r="BO6" s="1155"/>
      <c r="BP6" s="1155"/>
      <c r="BQ6" s="1155"/>
      <c r="BR6" s="1155"/>
      <c r="BS6" s="1155"/>
      <c r="BT6" s="1155"/>
      <c r="BU6" s="1155"/>
      <c r="BV6" s="1155"/>
      <c r="BW6" s="1155"/>
      <c r="BX6" s="1155"/>
      <c r="BY6" s="1155"/>
      <c r="BZ6" s="1155"/>
      <c r="CA6" s="1155"/>
      <c r="CB6" s="1155"/>
      <c r="CC6" s="1155"/>
      <c r="CD6" s="1155"/>
      <c r="CE6" s="1155"/>
      <c r="CF6" s="1155"/>
      <c r="CG6" s="1155"/>
      <c r="CH6" s="1155"/>
      <c r="CI6" s="1155"/>
    </row>
    <row r="7" spans="1:87" s="401" customFormat="1" ht="28.8" x14ac:dyDescent="0.3">
      <c r="A7" s="1154">
        <v>9</v>
      </c>
      <c r="B7" s="1222">
        <v>9</v>
      </c>
      <c r="C7" s="1153">
        <v>9</v>
      </c>
      <c r="D7" s="1203" t="s">
        <v>203</v>
      </c>
      <c r="E7" s="1203"/>
      <c r="F7" s="1170">
        <v>364830</v>
      </c>
      <c r="G7" s="1171">
        <v>2901734</v>
      </c>
      <c r="H7" s="1171">
        <v>3087314</v>
      </c>
      <c r="I7" s="1171">
        <v>1477588</v>
      </c>
      <c r="J7" s="1171">
        <v>1521177</v>
      </c>
      <c r="K7" s="1171">
        <v>1435615</v>
      </c>
      <c r="L7" s="1172">
        <v>704954</v>
      </c>
      <c r="M7" s="1173">
        <v>2684189</v>
      </c>
      <c r="N7" s="1173">
        <v>5846903</v>
      </c>
      <c r="O7" s="1174">
        <v>930186</v>
      </c>
      <c r="P7" s="1174">
        <v>3113362</v>
      </c>
      <c r="Q7" s="1174">
        <v>3486330</v>
      </c>
      <c r="R7" s="1174">
        <v>2431410</v>
      </c>
      <c r="S7" s="1174">
        <v>1442038</v>
      </c>
      <c r="T7" s="1174">
        <v>660294</v>
      </c>
      <c r="U7" s="1174">
        <v>4239889</v>
      </c>
      <c r="V7" s="1174">
        <v>27526680</v>
      </c>
      <c r="W7" s="1174">
        <v>2503381</v>
      </c>
      <c r="X7" s="1174">
        <v>836101</v>
      </c>
      <c r="Y7" s="1174">
        <v>18152468</v>
      </c>
      <c r="Z7" s="1174">
        <v>6123848</v>
      </c>
      <c r="AA7" s="1174">
        <v>466550</v>
      </c>
      <c r="AB7" s="1174">
        <v>4225245</v>
      </c>
      <c r="AC7" s="1174">
        <v>414689</v>
      </c>
      <c r="AD7" s="1173">
        <v>1629741</v>
      </c>
      <c r="AE7" s="1173">
        <v>9715276</v>
      </c>
      <c r="AF7" s="1173">
        <v>627031</v>
      </c>
      <c r="AG7" s="1173">
        <v>8169263</v>
      </c>
      <c r="AH7" s="1173">
        <v>3126480</v>
      </c>
      <c r="AI7" s="1173">
        <v>1527130</v>
      </c>
      <c r="AJ7" s="1173">
        <v>4434012</v>
      </c>
      <c r="AK7" s="1173">
        <v>15115232</v>
      </c>
      <c r="AL7" s="1173">
        <v>6348211</v>
      </c>
      <c r="AM7" s="1173">
        <v>3737487</v>
      </c>
      <c r="AN7" s="1173">
        <v>4951196</v>
      </c>
      <c r="AO7" s="1173">
        <v>1784661</v>
      </c>
      <c r="AP7" s="1173">
        <v>685083</v>
      </c>
      <c r="AQ7" s="1173">
        <v>992735</v>
      </c>
      <c r="AR7" s="1173">
        <v>3015728</v>
      </c>
      <c r="AS7" s="1173">
        <v>56500</v>
      </c>
      <c r="AT7" s="1173">
        <v>-474402</v>
      </c>
      <c r="AU7" s="1173">
        <v>1091547</v>
      </c>
      <c r="AV7" s="1173">
        <v>344106</v>
      </c>
      <c r="AW7" s="1173">
        <v>2033271</v>
      </c>
      <c r="AX7" s="1173">
        <v>1123668</v>
      </c>
      <c r="AY7" s="1173">
        <v>90888951</v>
      </c>
      <c r="AZ7" s="1173">
        <v>999089</v>
      </c>
      <c r="BA7" s="1173">
        <v>1037639</v>
      </c>
      <c r="BB7" s="1173">
        <v>4174862</v>
      </c>
      <c r="BC7" s="1173">
        <v>-5044004</v>
      </c>
      <c r="BD7" s="1173">
        <v>870287</v>
      </c>
      <c r="BE7" s="1173">
        <v>1495485</v>
      </c>
      <c r="BF7" s="1173">
        <v>5753811</v>
      </c>
      <c r="BG7" s="1173">
        <v>8095608</v>
      </c>
      <c r="BH7" s="1173">
        <v>9897854</v>
      </c>
      <c r="BI7" s="1173">
        <v>1615799</v>
      </c>
      <c r="BJ7" s="1173">
        <v>1192969</v>
      </c>
      <c r="BK7" s="1155"/>
      <c r="BL7" s="1155"/>
      <c r="BM7" s="1155"/>
      <c r="BN7" s="1155"/>
      <c r="BO7" s="1155"/>
      <c r="BP7" s="1155"/>
      <c r="BQ7" s="1155"/>
      <c r="BR7" s="1155"/>
      <c r="BS7" s="1155"/>
      <c r="BT7" s="1155"/>
      <c r="BU7" s="1155"/>
      <c r="BV7" s="1155"/>
      <c r="BW7" s="1155"/>
      <c r="BX7" s="1155"/>
      <c r="BY7" s="1155"/>
      <c r="BZ7" s="1155"/>
      <c r="CA7" s="1155"/>
      <c r="CB7" s="1155"/>
      <c r="CC7" s="1155"/>
      <c r="CD7" s="1155"/>
      <c r="CE7" s="1155"/>
      <c r="CF7" s="1155"/>
      <c r="CG7" s="1155"/>
      <c r="CH7" s="1155"/>
      <c r="CI7" s="1155"/>
    </row>
    <row r="8" spans="1:87" s="401" customFormat="1" x14ac:dyDescent="0.3">
      <c r="A8" s="1154">
        <v>11</v>
      </c>
      <c r="B8" s="1222"/>
      <c r="C8" s="1153">
        <v>11</v>
      </c>
      <c r="D8" s="1158" t="s">
        <v>202</v>
      </c>
      <c r="E8" s="1158"/>
      <c r="F8" s="1170"/>
      <c r="G8" s="1171"/>
      <c r="H8" s="1171"/>
      <c r="I8" s="1171"/>
      <c r="J8" s="1171"/>
      <c r="K8" s="1171"/>
      <c r="L8" s="1172"/>
      <c r="M8" s="1173"/>
      <c r="N8" s="1173"/>
      <c r="O8" s="1174"/>
      <c r="P8" s="1174"/>
      <c r="Q8" s="1174"/>
      <c r="R8" s="1174"/>
      <c r="S8" s="1174"/>
      <c r="T8" s="1174"/>
      <c r="U8" s="1174"/>
      <c r="V8" s="1174"/>
      <c r="W8" s="1174"/>
      <c r="X8" s="1174"/>
      <c r="Y8" s="1174"/>
      <c r="Z8" s="1174"/>
      <c r="AA8" s="1174"/>
      <c r="AB8" s="1174"/>
      <c r="AC8" s="1174"/>
      <c r="AD8" s="1173"/>
      <c r="AE8" s="1173"/>
      <c r="AF8" s="1173"/>
      <c r="AG8" s="1173"/>
      <c r="AH8" s="1173"/>
      <c r="AI8" s="1173"/>
      <c r="AJ8" s="1173"/>
      <c r="AK8" s="1173"/>
      <c r="AL8" s="1173"/>
      <c r="AM8" s="1173"/>
      <c r="AN8" s="1173"/>
      <c r="AO8" s="1173"/>
      <c r="AP8" s="1173"/>
      <c r="AQ8" s="1173"/>
      <c r="AR8" s="1173"/>
      <c r="AS8" s="1173"/>
      <c r="AT8" s="1173"/>
      <c r="AU8" s="1173"/>
      <c r="AV8" s="1173"/>
      <c r="AW8" s="1173"/>
      <c r="AX8" s="1173"/>
      <c r="AY8" s="1173"/>
      <c r="AZ8" s="1173"/>
      <c r="BA8" s="1173"/>
      <c r="BB8" s="1173"/>
      <c r="BC8" s="1173"/>
      <c r="BD8" s="1173"/>
      <c r="BE8" s="1173"/>
      <c r="BF8" s="1173"/>
      <c r="BG8" s="1173"/>
      <c r="BH8" s="1173"/>
      <c r="BI8" s="1173"/>
      <c r="BJ8" s="1173"/>
      <c r="BK8" s="1155"/>
      <c r="BL8" s="1155"/>
      <c r="BM8" s="1155"/>
      <c r="BN8" s="1155"/>
      <c r="BO8" s="1155"/>
      <c r="BP8" s="1155"/>
      <c r="BQ8" s="1155"/>
      <c r="BR8" s="1155"/>
      <c r="BS8" s="1155"/>
      <c r="BT8" s="1155"/>
      <c r="BU8" s="1155"/>
      <c r="BV8" s="1155"/>
      <c r="BW8" s="1155"/>
      <c r="BX8" s="1155"/>
      <c r="BY8" s="1155"/>
      <c r="BZ8" s="1155"/>
      <c r="CA8" s="1155"/>
      <c r="CB8" s="1155"/>
      <c r="CC8" s="1155"/>
      <c r="CD8" s="1155"/>
      <c r="CE8" s="1155"/>
      <c r="CF8" s="1155"/>
      <c r="CG8" s="1155"/>
      <c r="CH8" s="1155"/>
      <c r="CI8" s="1155"/>
    </row>
    <row r="9" spans="1:87" s="401" customFormat="1" ht="28.8" x14ac:dyDescent="0.3">
      <c r="A9" s="1154">
        <v>12</v>
      </c>
      <c r="B9" s="1222"/>
      <c r="C9" s="1153">
        <v>12</v>
      </c>
      <c r="D9" s="1203" t="s">
        <v>374</v>
      </c>
      <c r="E9" s="1203"/>
      <c r="F9" s="1170"/>
      <c r="G9" s="1171"/>
      <c r="H9" s="1171"/>
      <c r="I9" s="1171"/>
      <c r="J9" s="1171"/>
      <c r="K9" s="1171"/>
      <c r="L9" s="1172"/>
      <c r="M9" s="1173"/>
      <c r="N9" s="1173"/>
      <c r="O9" s="1174"/>
      <c r="P9" s="1174"/>
      <c r="Q9" s="1174"/>
      <c r="R9" s="1174"/>
      <c r="S9" s="1174"/>
      <c r="T9" s="1174"/>
      <c r="U9" s="1174"/>
      <c r="V9" s="1174"/>
      <c r="W9" s="1174"/>
      <c r="X9" s="1174"/>
      <c r="Y9" s="1174"/>
      <c r="Z9" s="1174"/>
      <c r="AA9" s="1174"/>
      <c r="AB9" s="1174"/>
      <c r="AC9" s="1174"/>
      <c r="AD9" s="1173"/>
      <c r="AE9" s="1173"/>
      <c r="AF9" s="1173"/>
      <c r="AG9" s="1173"/>
      <c r="AH9" s="1173"/>
      <c r="AI9" s="1173"/>
      <c r="AJ9" s="1173"/>
      <c r="AK9" s="1173"/>
      <c r="AL9" s="1173"/>
      <c r="AM9" s="1173"/>
      <c r="AN9" s="1173"/>
      <c r="AO9" s="1173"/>
      <c r="AP9" s="1173"/>
      <c r="AQ9" s="1173"/>
      <c r="AR9" s="1173"/>
      <c r="AS9" s="1173"/>
      <c r="AT9" s="1173"/>
      <c r="AU9" s="1173"/>
      <c r="AV9" s="1173"/>
      <c r="AW9" s="1173"/>
      <c r="AX9" s="1173"/>
      <c r="AY9" s="1173"/>
      <c r="AZ9" s="1173"/>
      <c r="BA9" s="1173"/>
      <c r="BB9" s="1173"/>
      <c r="BC9" s="1173"/>
      <c r="BD9" s="1173"/>
      <c r="BE9" s="1173"/>
      <c r="BF9" s="1173"/>
      <c r="BG9" s="1173"/>
      <c r="BH9" s="1173"/>
      <c r="BI9" s="1173"/>
      <c r="BJ9" s="1173"/>
      <c r="BK9" s="1152"/>
      <c r="BL9" s="1152"/>
      <c r="BM9" s="1152"/>
      <c r="BN9" s="1152"/>
      <c r="BO9" s="1152"/>
      <c r="BP9" s="1152"/>
      <c r="BQ9" s="1152"/>
      <c r="BR9" s="1152"/>
      <c r="BS9" s="1152"/>
      <c r="BT9" s="1152"/>
      <c r="BU9" s="1152"/>
      <c r="BV9" s="1152"/>
      <c r="BW9" s="1152"/>
      <c r="BX9" s="1152"/>
      <c r="BY9" s="1152"/>
      <c r="BZ9" s="1152"/>
      <c r="CA9" s="1152"/>
      <c r="CB9" s="1152"/>
      <c r="CC9" s="1152"/>
      <c r="CD9" s="1152"/>
      <c r="CE9" s="1152"/>
      <c r="CF9" s="1152"/>
      <c r="CG9" s="1152"/>
      <c r="CH9" s="1152"/>
      <c r="CI9" s="1152"/>
    </row>
    <row r="10" spans="1:87" s="401" customFormat="1" ht="43.2" x14ac:dyDescent="0.3">
      <c r="A10" s="1154">
        <v>13</v>
      </c>
      <c r="B10" s="1222"/>
      <c r="C10" s="1153">
        <v>13</v>
      </c>
      <c r="D10" s="1203" t="s">
        <v>1402</v>
      </c>
      <c r="E10" s="1203"/>
      <c r="F10" s="1170"/>
      <c r="G10" s="1171"/>
      <c r="H10" s="1171"/>
      <c r="I10" s="1171"/>
      <c r="J10" s="1171"/>
      <c r="K10" s="1171"/>
      <c r="L10" s="1172"/>
      <c r="M10" s="1173"/>
      <c r="N10" s="1173"/>
      <c r="O10" s="1174"/>
      <c r="P10" s="1174"/>
      <c r="Q10" s="1174"/>
      <c r="R10" s="1174"/>
      <c r="S10" s="1174"/>
      <c r="T10" s="1174"/>
      <c r="U10" s="1174"/>
      <c r="V10" s="1174"/>
      <c r="W10" s="1174"/>
      <c r="X10" s="1174"/>
      <c r="Y10" s="1174"/>
      <c r="Z10" s="1174"/>
      <c r="AA10" s="1174"/>
      <c r="AB10" s="1174"/>
      <c r="AC10" s="1174"/>
      <c r="AD10" s="1173"/>
      <c r="AE10" s="1173"/>
      <c r="AF10" s="1173"/>
      <c r="AG10" s="1173"/>
      <c r="AH10" s="1173"/>
      <c r="AI10" s="1173"/>
      <c r="AJ10" s="1173"/>
      <c r="AK10" s="1173"/>
      <c r="AL10" s="1173"/>
      <c r="AM10" s="1173"/>
      <c r="AN10" s="1173"/>
      <c r="AO10" s="1173"/>
      <c r="AP10" s="1173"/>
      <c r="AQ10" s="1173"/>
      <c r="AR10" s="1173"/>
      <c r="AS10" s="1173"/>
      <c r="AT10" s="1173"/>
      <c r="AU10" s="1173"/>
      <c r="AV10" s="1173"/>
      <c r="AW10" s="1173"/>
      <c r="AX10" s="1173"/>
      <c r="AY10" s="1173"/>
      <c r="AZ10" s="1173"/>
      <c r="BA10" s="1173"/>
      <c r="BB10" s="1173"/>
      <c r="BC10" s="1173"/>
      <c r="BD10" s="1173"/>
      <c r="BE10" s="1173"/>
      <c r="BF10" s="1173"/>
      <c r="BG10" s="1173"/>
      <c r="BH10" s="1173"/>
      <c r="BI10" s="1173"/>
      <c r="BJ10" s="1173"/>
      <c r="BK10" s="1152"/>
      <c r="BL10" s="1152"/>
      <c r="BM10" s="1152"/>
      <c r="BN10" s="1152"/>
      <c r="BO10" s="1152"/>
      <c r="BP10" s="1152"/>
      <c r="BQ10" s="1152"/>
      <c r="BR10" s="1152"/>
      <c r="BS10" s="1152"/>
      <c r="BT10" s="1152"/>
      <c r="BU10" s="1152"/>
      <c r="BV10" s="1152"/>
      <c r="BW10" s="1152"/>
      <c r="BX10" s="1152"/>
      <c r="BY10" s="1152"/>
      <c r="BZ10" s="1152"/>
      <c r="CA10" s="1152"/>
      <c r="CB10" s="1152"/>
      <c r="CC10" s="1152"/>
      <c r="CD10" s="1152"/>
      <c r="CE10" s="1152"/>
      <c r="CF10" s="1152"/>
      <c r="CG10" s="1152"/>
      <c r="CH10" s="1152"/>
      <c r="CI10" s="1152"/>
    </row>
    <row r="11" spans="1:87" s="401" customFormat="1" ht="28.8" x14ac:dyDescent="0.3">
      <c r="A11" s="1154">
        <v>14</v>
      </c>
      <c r="B11" s="1222"/>
      <c r="C11" s="1153">
        <v>14</v>
      </c>
      <c r="D11" s="1203" t="s">
        <v>1403</v>
      </c>
      <c r="E11" s="1203"/>
      <c r="F11" s="1170"/>
      <c r="G11" s="1171"/>
      <c r="H11" s="1171"/>
      <c r="I11" s="1171"/>
      <c r="J11" s="1171"/>
      <c r="K11" s="1171"/>
      <c r="L11" s="1172"/>
      <c r="M11" s="1173"/>
      <c r="N11" s="1173"/>
      <c r="O11" s="1174"/>
      <c r="P11" s="1174"/>
      <c r="Q11" s="1174"/>
      <c r="R11" s="1174"/>
      <c r="S11" s="1174"/>
      <c r="T11" s="1174"/>
      <c r="U11" s="1174"/>
      <c r="V11" s="1174"/>
      <c r="W11" s="1174"/>
      <c r="X11" s="1174"/>
      <c r="Y11" s="1174"/>
      <c r="Z11" s="1174"/>
      <c r="AA11" s="1174"/>
      <c r="AB11" s="1174"/>
      <c r="AC11" s="1174"/>
      <c r="AD11" s="1173"/>
      <c r="AE11" s="1173"/>
      <c r="AF11" s="1173"/>
      <c r="AG11" s="1173"/>
      <c r="AH11" s="1173"/>
      <c r="AI11" s="1173"/>
      <c r="AJ11" s="1173"/>
      <c r="AK11" s="1173"/>
      <c r="AL11" s="1173"/>
      <c r="AM11" s="1173"/>
      <c r="AN11" s="1173"/>
      <c r="AO11" s="1173"/>
      <c r="AP11" s="1173"/>
      <c r="AQ11" s="1173"/>
      <c r="AR11" s="1173"/>
      <c r="AS11" s="1173"/>
      <c r="AT11" s="1173"/>
      <c r="AU11" s="1173"/>
      <c r="AV11" s="1173"/>
      <c r="AW11" s="1173"/>
      <c r="AX11" s="1173"/>
      <c r="AY11" s="1173"/>
      <c r="AZ11" s="1173"/>
      <c r="BA11" s="1173"/>
      <c r="BB11" s="1173"/>
      <c r="BC11" s="1173"/>
      <c r="BD11" s="1173"/>
      <c r="BE11" s="1173"/>
      <c r="BF11" s="1173"/>
      <c r="BG11" s="1173"/>
      <c r="BH11" s="1173"/>
      <c r="BI11" s="1173"/>
      <c r="BJ11" s="1173"/>
      <c r="BK11" s="1152"/>
      <c r="BL11" s="1152"/>
      <c r="BM11" s="1152"/>
      <c r="BN11" s="1152"/>
      <c r="BO11" s="1152"/>
      <c r="BP11" s="1152"/>
      <c r="BQ11" s="1152"/>
      <c r="BR11" s="1152"/>
      <c r="BS11" s="1152"/>
      <c r="BT11" s="1152"/>
      <c r="BU11" s="1152"/>
      <c r="BV11" s="1152"/>
      <c r="BW11" s="1152"/>
      <c r="BX11" s="1152"/>
      <c r="BY11" s="1152"/>
      <c r="BZ11" s="1152"/>
      <c r="CA11" s="1152"/>
      <c r="CB11" s="1152"/>
      <c r="CC11" s="1152"/>
      <c r="CD11" s="1152"/>
      <c r="CE11" s="1152"/>
      <c r="CF11" s="1152"/>
      <c r="CG11" s="1152"/>
      <c r="CH11" s="1152"/>
      <c r="CI11" s="1152"/>
    </row>
    <row r="12" spans="1:87" s="401" customFormat="1" x14ac:dyDescent="0.3">
      <c r="A12" s="1154">
        <v>16</v>
      </c>
      <c r="B12" s="1222">
        <v>16</v>
      </c>
      <c r="C12" s="1153">
        <v>16</v>
      </c>
      <c r="D12" s="1203" t="s">
        <v>205</v>
      </c>
      <c r="E12" s="1203"/>
      <c r="F12" s="1170">
        <v>11568190</v>
      </c>
      <c r="G12" s="1171">
        <v>19343968</v>
      </c>
      <c r="H12" s="1171">
        <v>10239507</v>
      </c>
      <c r="I12" s="1171">
        <v>5637341</v>
      </c>
      <c r="J12" s="1171">
        <v>19869890</v>
      </c>
      <c r="K12" s="1171">
        <v>9982663</v>
      </c>
      <c r="L12" s="1172">
        <v>2895368</v>
      </c>
      <c r="M12" s="1173">
        <v>6223096</v>
      </c>
      <c r="N12" s="1173">
        <v>12450277</v>
      </c>
      <c r="O12" s="1174">
        <v>2737301</v>
      </c>
      <c r="P12" s="1174">
        <v>5545105</v>
      </c>
      <c r="Q12" s="1174">
        <v>31659093</v>
      </c>
      <c r="R12" s="1174">
        <v>19466205</v>
      </c>
      <c r="S12" s="1174">
        <v>3123250</v>
      </c>
      <c r="T12" s="1174">
        <v>335707</v>
      </c>
      <c r="U12" s="1174">
        <v>23679326</v>
      </c>
      <c r="V12" s="1174">
        <v>87979510</v>
      </c>
      <c r="W12" s="1174">
        <v>6693818</v>
      </c>
      <c r="X12" s="1174">
        <v>3566290</v>
      </c>
      <c r="Y12" s="1174">
        <v>54343278</v>
      </c>
      <c r="Z12" s="1174">
        <v>35639312</v>
      </c>
      <c r="AA12" s="1174">
        <v>3934395</v>
      </c>
      <c r="AB12" s="1174">
        <v>19159775</v>
      </c>
      <c r="AC12" s="1174">
        <v>2966607</v>
      </c>
      <c r="AD12" s="1173">
        <v>10549743</v>
      </c>
      <c r="AE12" s="1173">
        <v>43176648</v>
      </c>
      <c r="AF12" s="1173">
        <v>5271694</v>
      </c>
      <c r="AG12" s="1173">
        <v>26517934</v>
      </c>
      <c r="AH12" s="1173">
        <v>8543591</v>
      </c>
      <c r="AI12" s="1173">
        <v>4191159</v>
      </c>
      <c r="AJ12" s="1173">
        <v>19962134</v>
      </c>
      <c r="AK12" s="1173">
        <v>16543997</v>
      </c>
      <c r="AL12" s="1173">
        <v>38224788</v>
      </c>
      <c r="AM12" s="1173">
        <v>16340765</v>
      </c>
      <c r="AN12" s="1173">
        <v>12108004</v>
      </c>
      <c r="AO12" s="1173">
        <v>14407942</v>
      </c>
      <c r="AP12" s="1173">
        <v>12454323</v>
      </c>
      <c r="AQ12" s="1173">
        <v>13281402</v>
      </c>
      <c r="AR12" s="1173">
        <v>10214234</v>
      </c>
      <c r="AS12" s="1173">
        <v>1004598</v>
      </c>
      <c r="AT12" s="1173">
        <v>5848773</v>
      </c>
      <c r="AU12" s="1173">
        <v>12867046</v>
      </c>
      <c r="AV12" s="1173">
        <v>713757</v>
      </c>
      <c r="AW12" s="1173">
        <v>103782884</v>
      </c>
      <c r="AX12" s="1173">
        <v>7603382</v>
      </c>
      <c r="AY12" s="1173">
        <v>517986114</v>
      </c>
      <c r="AZ12" s="1173">
        <v>4908197</v>
      </c>
      <c r="BA12" s="1173">
        <v>1893626</v>
      </c>
      <c r="BB12" s="1173">
        <v>15267334</v>
      </c>
      <c r="BC12" s="1173">
        <v>19467699</v>
      </c>
      <c r="BD12" s="1173">
        <v>2215991</v>
      </c>
      <c r="BE12" s="1173">
        <v>2258991</v>
      </c>
      <c r="BF12" s="1173">
        <v>18956398</v>
      </c>
      <c r="BG12" s="1173">
        <v>22089941</v>
      </c>
      <c r="BH12" s="1173">
        <v>128203563</v>
      </c>
      <c r="BI12" s="1173">
        <v>7322965</v>
      </c>
      <c r="BJ12" s="1173">
        <v>3259626</v>
      </c>
      <c r="BK12" s="1152"/>
      <c r="BL12" s="1152"/>
      <c r="BM12" s="1152"/>
      <c r="BN12" s="1152"/>
      <c r="BO12" s="1152"/>
      <c r="BP12" s="1152"/>
      <c r="BQ12" s="1152"/>
      <c r="BR12" s="1152"/>
      <c r="BS12" s="1152"/>
      <c r="BT12" s="1152"/>
      <c r="BU12" s="1152"/>
      <c r="BV12" s="1152"/>
      <c r="BW12" s="1152"/>
      <c r="BX12" s="1152"/>
      <c r="BY12" s="1152"/>
      <c r="BZ12" s="1152"/>
      <c r="CA12" s="1152"/>
      <c r="CB12" s="1152"/>
      <c r="CC12" s="1152"/>
      <c r="CD12" s="1152"/>
      <c r="CE12" s="1152"/>
      <c r="CF12" s="1152"/>
      <c r="CG12" s="1152"/>
      <c r="CH12" s="1152"/>
      <c r="CI12" s="1152"/>
    </row>
    <row r="13" spans="1:87" s="401" customFormat="1" x14ac:dyDescent="0.3">
      <c r="A13" s="1154">
        <v>17</v>
      </c>
      <c r="B13" s="1222">
        <v>17</v>
      </c>
      <c r="C13" s="1153">
        <v>17</v>
      </c>
      <c r="D13" s="1203" t="s">
        <v>208</v>
      </c>
      <c r="E13" s="1203"/>
      <c r="F13" s="1170">
        <v>0</v>
      </c>
      <c r="G13" s="1171">
        <v>0</v>
      </c>
      <c r="H13" s="1171">
        <v>0</v>
      </c>
      <c r="I13" s="1171">
        <v>0</v>
      </c>
      <c r="J13" s="1171">
        <v>0</v>
      </c>
      <c r="K13" s="1171">
        <v>0</v>
      </c>
      <c r="L13" s="1172">
        <v>0</v>
      </c>
      <c r="M13" s="1173">
        <v>0</v>
      </c>
      <c r="N13" s="1173">
        <v>0</v>
      </c>
      <c r="O13" s="1174">
        <v>0</v>
      </c>
      <c r="P13" s="1174">
        <v>358537</v>
      </c>
      <c r="Q13" s="1174">
        <v>0</v>
      </c>
      <c r="R13" s="1174">
        <v>0</v>
      </c>
      <c r="S13" s="1174">
        <v>0</v>
      </c>
      <c r="T13" s="1174">
        <v>0</v>
      </c>
      <c r="U13" s="1174">
        <v>0</v>
      </c>
      <c r="V13" s="1174">
        <v>0</v>
      </c>
      <c r="W13" s="1174">
        <v>57988</v>
      </c>
      <c r="X13" s="1174">
        <v>0</v>
      </c>
      <c r="Y13" s="1174">
        <v>0</v>
      </c>
      <c r="Z13" s="1174">
        <v>0</v>
      </c>
      <c r="AA13" s="1174">
        <v>0</v>
      </c>
      <c r="AB13" s="1174">
        <v>0</v>
      </c>
      <c r="AC13" s="1174">
        <v>0</v>
      </c>
      <c r="AD13" s="1173">
        <v>0</v>
      </c>
      <c r="AE13" s="1173">
        <v>0</v>
      </c>
      <c r="AF13" s="1173">
        <v>0</v>
      </c>
      <c r="AG13" s="1173">
        <v>0</v>
      </c>
      <c r="AH13" s="1173">
        <v>0</v>
      </c>
      <c r="AI13" s="1173">
        <v>0</v>
      </c>
      <c r="AJ13" s="1173">
        <v>0</v>
      </c>
      <c r="AK13" s="1173">
        <v>0</v>
      </c>
      <c r="AL13" s="1173">
        <v>0</v>
      </c>
      <c r="AM13" s="1173">
        <v>0</v>
      </c>
      <c r="AN13" s="1173">
        <v>0</v>
      </c>
      <c r="AO13" s="1173">
        <v>0</v>
      </c>
      <c r="AP13" s="1173">
        <v>500000</v>
      </c>
      <c r="AQ13" s="1173">
        <v>0</v>
      </c>
      <c r="AR13" s="1173">
        <v>0</v>
      </c>
      <c r="AS13" s="1173">
        <v>0</v>
      </c>
      <c r="AT13" s="1173">
        <v>0</v>
      </c>
      <c r="AU13" s="1173">
        <v>0</v>
      </c>
      <c r="AV13" s="1173">
        <v>0</v>
      </c>
      <c r="AW13" s="1173">
        <v>0</v>
      </c>
      <c r="AX13" s="1173">
        <v>0</v>
      </c>
      <c r="AY13" s="1173">
        <v>0</v>
      </c>
      <c r="AZ13" s="1173">
        <v>0</v>
      </c>
      <c r="BA13" s="1173">
        <v>0</v>
      </c>
      <c r="BB13" s="1173">
        <v>0</v>
      </c>
      <c r="BC13" s="1173">
        <v>0</v>
      </c>
      <c r="BD13" s="1173">
        <v>0</v>
      </c>
      <c r="BE13" s="1173">
        <v>0</v>
      </c>
      <c r="BF13" s="1173">
        <v>0</v>
      </c>
      <c r="BG13" s="1173">
        <v>0</v>
      </c>
      <c r="BH13" s="1173">
        <v>0</v>
      </c>
      <c r="BI13" s="1173">
        <v>0</v>
      </c>
      <c r="BJ13" s="1173">
        <v>122798</v>
      </c>
      <c r="BK13" s="1152"/>
      <c r="BL13" s="1152"/>
      <c r="BM13" s="1152"/>
      <c r="BN13" s="1152"/>
      <c r="BO13" s="1152"/>
      <c r="BP13" s="1152"/>
      <c r="BQ13" s="1152"/>
      <c r="BR13" s="1152"/>
      <c r="BS13" s="1152"/>
      <c r="BT13" s="1152"/>
      <c r="BU13" s="1152"/>
      <c r="BV13" s="1152"/>
      <c r="BW13" s="1152"/>
      <c r="BX13" s="1152"/>
      <c r="BY13" s="1152"/>
      <c r="BZ13" s="1152"/>
      <c r="CA13" s="1152"/>
      <c r="CB13" s="1152"/>
      <c r="CC13" s="1152"/>
      <c r="CD13" s="1152"/>
      <c r="CE13" s="1152"/>
      <c r="CF13" s="1152"/>
      <c r="CG13" s="1152"/>
      <c r="CH13" s="1152"/>
      <c r="CI13" s="1152"/>
    </row>
    <row r="14" spans="1:87" s="401" customFormat="1" ht="28.8" x14ac:dyDescent="0.3">
      <c r="A14" s="1154">
        <v>19</v>
      </c>
      <c r="B14" s="1222"/>
      <c r="C14" s="1153">
        <v>19</v>
      </c>
      <c r="D14" s="1203" t="s">
        <v>1404</v>
      </c>
      <c r="E14" s="1203"/>
      <c r="F14" s="1170"/>
      <c r="G14" s="1171"/>
      <c r="H14" s="1171"/>
      <c r="I14" s="1171"/>
      <c r="J14" s="1171"/>
      <c r="K14" s="1171"/>
      <c r="L14" s="1172"/>
      <c r="M14" s="1173"/>
      <c r="N14" s="1173"/>
      <c r="O14" s="1174"/>
      <c r="P14" s="1174"/>
      <c r="Q14" s="1174"/>
      <c r="R14" s="1174"/>
      <c r="S14" s="1174"/>
      <c r="T14" s="1174"/>
      <c r="U14" s="1174"/>
      <c r="V14" s="1174"/>
      <c r="W14" s="1174"/>
      <c r="X14" s="1174"/>
      <c r="Y14" s="1174"/>
      <c r="Z14" s="1174"/>
      <c r="AA14" s="1174"/>
      <c r="AB14" s="1174"/>
      <c r="AC14" s="1174"/>
      <c r="AD14" s="1173"/>
      <c r="AE14" s="1173"/>
      <c r="AF14" s="1173"/>
      <c r="AG14" s="1173"/>
      <c r="AH14" s="1173"/>
      <c r="AI14" s="1173"/>
      <c r="AJ14" s="1173"/>
      <c r="AK14" s="1173"/>
      <c r="AL14" s="1173"/>
      <c r="AM14" s="1173"/>
      <c r="AN14" s="1173"/>
      <c r="AO14" s="1173"/>
      <c r="AP14" s="1173"/>
      <c r="AQ14" s="1173"/>
      <c r="AR14" s="1173"/>
      <c r="AS14" s="1173"/>
      <c r="AT14" s="1173"/>
      <c r="AU14" s="1173"/>
      <c r="AV14" s="1173"/>
      <c r="AW14" s="1173"/>
      <c r="AX14" s="1173"/>
      <c r="AY14" s="1173"/>
      <c r="AZ14" s="1173"/>
      <c r="BA14" s="1173"/>
      <c r="BB14" s="1173"/>
      <c r="BC14" s="1173"/>
      <c r="BD14" s="1173"/>
      <c r="BE14" s="1173"/>
      <c r="BF14" s="1173"/>
      <c r="BG14" s="1173"/>
      <c r="BH14" s="1173"/>
      <c r="BI14" s="1173"/>
      <c r="BJ14" s="1173"/>
      <c r="BK14" s="1152"/>
      <c r="BL14" s="1152"/>
      <c r="BM14" s="1152"/>
      <c r="BN14" s="1152"/>
      <c r="BO14" s="1152"/>
      <c r="BP14" s="1152"/>
      <c r="BQ14" s="1152"/>
      <c r="BR14" s="1152"/>
      <c r="BS14" s="1152"/>
      <c r="BT14" s="1152"/>
      <c r="BU14" s="1152"/>
      <c r="BV14" s="1152"/>
      <c r="BW14" s="1152"/>
      <c r="BX14" s="1152"/>
      <c r="BY14" s="1152"/>
      <c r="BZ14" s="1152"/>
      <c r="CA14" s="1152"/>
      <c r="CB14" s="1152"/>
      <c r="CC14" s="1152"/>
      <c r="CD14" s="1152"/>
      <c r="CE14" s="1152"/>
      <c r="CF14" s="1152"/>
      <c r="CG14" s="1152"/>
      <c r="CH14" s="1152"/>
      <c r="CI14" s="1152"/>
    </row>
    <row r="15" spans="1:87" s="401" customFormat="1" x14ac:dyDescent="0.3">
      <c r="A15" s="1154">
        <v>20</v>
      </c>
      <c r="B15" s="1222">
        <v>20</v>
      </c>
      <c r="C15" s="1153">
        <v>20</v>
      </c>
      <c r="D15" s="1203" t="s">
        <v>209</v>
      </c>
      <c r="E15" s="1203"/>
      <c r="F15" s="1170">
        <v>0</v>
      </c>
      <c r="G15" s="1171">
        <v>0</v>
      </c>
      <c r="H15" s="1171">
        <v>0</v>
      </c>
      <c r="I15" s="1171">
        <v>0</v>
      </c>
      <c r="J15" s="1171">
        <v>0</v>
      </c>
      <c r="K15" s="1171">
        <v>0</v>
      </c>
      <c r="L15" s="1172">
        <v>0</v>
      </c>
      <c r="M15" s="1173">
        <v>0</v>
      </c>
      <c r="N15" s="1173">
        <v>10000</v>
      </c>
      <c r="O15" s="1174">
        <v>10165</v>
      </c>
      <c r="P15" s="1174">
        <v>0</v>
      </c>
      <c r="Q15" s="1174">
        <v>0</v>
      </c>
      <c r="R15" s="1174">
        <v>94824</v>
      </c>
      <c r="S15" s="1174">
        <v>0</v>
      </c>
      <c r="T15" s="1174">
        <v>0</v>
      </c>
      <c r="U15" s="1174">
        <v>0</v>
      </c>
      <c r="V15" s="1174">
        <v>71224</v>
      </c>
      <c r="W15" s="1174">
        <v>0</v>
      </c>
      <c r="X15" s="1174">
        <v>0</v>
      </c>
      <c r="Y15" s="1174">
        <v>0</v>
      </c>
      <c r="Z15" s="1174">
        <v>205063</v>
      </c>
      <c r="AA15" s="1174">
        <v>65000</v>
      </c>
      <c r="AB15" s="1174">
        <v>0</v>
      </c>
      <c r="AC15" s="1174">
        <v>0</v>
      </c>
      <c r="AD15" s="1173">
        <v>0</v>
      </c>
      <c r="AE15" s="1173">
        <v>1277000</v>
      </c>
      <c r="AF15" s="1173">
        <v>48115</v>
      </c>
      <c r="AG15" s="1173">
        <v>215721</v>
      </c>
      <c r="AH15" s="1173">
        <v>0</v>
      </c>
      <c r="AI15" s="1173">
        <v>0</v>
      </c>
      <c r="AJ15" s="1173">
        <v>0</v>
      </c>
      <c r="AK15" s="1173">
        <v>0</v>
      </c>
      <c r="AL15" s="1173">
        <v>0</v>
      </c>
      <c r="AM15" s="1173">
        <v>0</v>
      </c>
      <c r="AN15" s="1173">
        <v>0</v>
      </c>
      <c r="AO15" s="1173">
        <v>0</v>
      </c>
      <c r="AP15" s="1173">
        <v>0</v>
      </c>
      <c r="AQ15" s="1173">
        <v>0</v>
      </c>
      <c r="AR15" s="1173">
        <v>0</v>
      </c>
      <c r="AS15" s="1173">
        <v>0</v>
      </c>
      <c r="AT15" s="1173">
        <v>0</v>
      </c>
      <c r="AU15" s="1173">
        <v>250000</v>
      </c>
      <c r="AV15" s="1173">
        <v>0</v>
      </c>
      <c r="AW15" s="1173">
        <v>0</v>
      </c>
      <c r="AX15" s="1173">
        <v>0</v>
      </c>
      <c r="AY15" s="1173">
        <v>0</v>
      </c>
      <c r="AZ15" s="1173">
        <v>0</v>
      </c>
      <c r="BA15" s="1173">
        <v>1000</v>
      </c>
      <c r="BB15" s="1173">
        <v>0</v>
      </c>
      <c r="BC15" s="1173">
        <v>0</v>
      </c>
      <c r="BD15" s="1173">
        <v>0</v>
      </c>
      <c r="BE15" s="1173">
        <v>0</v>
      </c>
      <c r="BF15" s="1173">
        <v>46838</v>
      </c>
      <c r="BG15" s="1173">
        <v>53762</v>
      </c>
      <c r="BH15" s="1173">
        <v>0</v>
      </c>
      <c r="BI15" s="1173">
        <v>0</v>
      </c>
      <c r="BJ15" s="1173">
        <v>0</v>
      </c>
      <c r="BK15" s="1152"/>
      <c r="BL15" s="1152"/>
      <c r="BM15" s="1152"/>
      <c r="BN15" s="1152"/>
      <c r="BO15" s="1152"/>
      <c r="BP15" s="1152"/>
      <c r="BQ15" s="1152"/>
      <c r="BR15" s="1152"/>
      <c r="BS15" s="1152"/>
      <c r="BT15" s="1152"/>
      <c r="BU15" s="1152"/>
      <c r="BV15" s="1152"/>
      <c r="BW15" s="1152"/>
      <c r="BX15" s="1152"/>
      <c r="BY15" s="1152"/>
      <c r="BZ15" s="1152"/>
      <c r="CA15" s="1152"/>
      <c r="CB15" s="1152"/>
      <c r="CC15" s="1152"/>
      <c r="CD15" s="1152"/>
      <c r="CE15" s="1152"/>
      <c r="CF15" s="1152"/>
      <c r="CG15" s="1152"/>
      <c r="CH15" s="1152"/>
      <c r="CI15" s="1152"/>
    </row>
    <row r="16" spans="1:87" s="401" customFormat="1" ht="43.2" x14ac:dyDescent="0.3">
      <c r="A16" s="1154">
        <v>21</v>
      </c>
      <c r="B16" s="1222"/>
      <c r="C16" s="1153">
        <v>21</v>
      </c>
      <c r="D16" s="1203" t="s">
        <v>375</v>
      </c>
      <c r="E16" s="1203"/>
      <c r="F16" s="1170"/>
      <c r="G16" s="1171"/>
      <c r="H16" s="1171"/>
      <c r="I16" s="1171"/>
      <c r="J16" s="1171"/>
      <c r="K16" s="1171"/>
      <c r="L16" s="1172"/>
      <c r="M16" s="1173"/>
      <c r="N16" s="1173"/>
      <c r="O16" s="1174"/>
      <c r="P16" s="1174"/>
      <c r="Q16" s="1174"/>
      <c r="R16" s="1174"/>
      <c r="S16" s="1174"/>
      <c r="T16" s="1174"/>
      <c r="U16" s="1174"/>
      <c r="V16" s="1174"/>
      <c r="W16" s="1174"/>
      <c r="X16" s="1174"/>
      <c r="Y16" s="1174"/>
      <c r="Z16" s="1174"/>
      <c r="AA16" s="1174"/>
      <c r="AB16" s="1174"/>
      <c r="AC16" s="1174"/>
      <c r="AD16" s="1173"/>
      <c r="AE16" s="1173"/>
      <c r="AF16" s="1173"/>
      <c r="AG16" s="1173"/>
      <c r="AH16" s="1173"/>
      <c r="AI16" s="1173"/>
      <c r="AJ16" s="1173"/>
      <c r="AK16" s="1173"/>
      <c r="AL16" s="1173"/>
      <c r="AM16" s="1173"/>
      <c r="AN16" s="1173"/>
      <c r="AO16" s="1173"/>
      <c r="AP16" s="1173"/>
      <c r="AQ16" s="1173"/>
      <c r="AR16" s="1173"/>
      <c r="AS16" s="1173"/>
      <c r="AT16" s="1173"/>
      <c r="AU16" s="1173"/>
      <c r="AV16" s="1173"/>
      <c r="AW16" s="1173"/>
      <c r="AX16" s="1173"/>
      <c r="AY16" s="1173"/>
      <c r="AZ16" s="1173"/>
      <c r="BA16" s="1173"/>
      <c r="BB16" s="1173"/>
      <c r="BC16" s="1173"/>
      <c r="BD16" s="1173"/>
      <c r="BE16" s="1173"/>
      <c r="BF16" s="1173"/>
      <c r="BG16" s="1173"/>
      <c r="BH16" s="1173"/>
      <c r="BI16" s="1173"/>
      <c r="BJ16" s="1173"/>
      <c r="BK16" s="1152"/>
      <c r="BL16" s="1152"/>
      <c r="BM16" s="1152"/>
      <c r="BN16" s="1152"/>
      <c r="BO16" s="1152"/>
      <c r="BP16" s="1152"/>
      <c r="BQ16" s="1152"/>
      <c r="BR16" s="1152"/>
      <c r="BS16" s="1152"/>
      <c r="BT16" s="1152"/>
      <c r="BU16" s="1152"/>
      <c r="BV16" s="1152"/>
      <c r="BW16" s="1152"/>
      <c r="BX16" s="1152"/>
      <c r="BY16" s="1152"/>
      <c r="BZ16" s="1152"/>
      <c r="CA16" s="1152"/>
      <c r="CB16" s="1152"/>
      <c r="CC16" s="1152"/>
      <c r="CD16" s="1152"/>
      <c r="CE16" s="1152"/>
      <c r="CF16" s="1152"/>
      <c r="CG16" s="1152"/>
      <c r="CH16" s="1152"/>
      <c r="CI16" s="1152"/>
    </row>
    <row r="17" spans="1:64" s="401" customFormat="1" x14ac:dyDescent="0.3">
      <c r="A17" s="1154">
        <v>22</v>
      </c>
      <c r="B17" s="1222"/>
      <c r="C17" s="1153">
        <v>22</v>
      </c>
      <c r="D17" s="1203" t="s">
        <v>211</v>
      </c>
      <c r="E17" s="1203"/>
      <c r="F17" s="1170">
        <v>0</v>
      </c>
      <c r="G17" s="1171">
        <v>0</v>
      </c>
      <c r="H17" s="1171">
        <v>0</v>
      </c>
      <c r="I17" s="1171">
        <v>0</v>
      </c>
      <c r="J17" s="1171">
        <v>0</v>
      </c>
      <c r="K17" s="1171">
        <v>0</v>
      </c>
      <c r="L17" s="1172">
        <v>0</v>
      </c>
      <c r="M17" s="1173">
        <v>0</v>
      </c>
      <c r="N17" s="1173">
        <v>0</v>
      </c>
      <c r="O17" s="1174">
        <v>0</v>
      </c>
      <c r="P17" s="1174">
        <v>0</v>
      </c>
      <c r="Q17" s="1174">
        <v>0</v>
      </c>
      <c r="R17" s="1174">
        <v>0</v>
      </c>
      <c r="S17" s="1174">
        <v>0</v>
      </c>
      <c r="T17" s="1174">
        <v>0</v>
      </c>
      <c r="U17" s="1174">
        <v>0</v>
      </c>
      <c r="V17" s="1174">
        <v>0</v>
      </c>
      <c r="W17" s="1174">
        <v>0</v>
      </c>
      <c r="X17" s="1174">
        <v>0</v>
      </c>
      <c r="Y17" s="1174">
        <v>0</v>
      </c>
      <c r="Z17" s="1174">
        <v>0</v>
      </c>
      <c r="AA17" s="1174">
        <v>0</v>
      </c>
      <c r="AB17" s="1174">
        <v>0</v>
      </c>
      <c r="AC17" s="1174">
        <v>0</v>
      </c>
      <c r="AD17" s="1173">
        <v>0</v>
      </c>
      <c r="AE17" s="1173">
        <v>0</v>
      </c>
      <c r="AF17" s="1173">
        <v>0</v>
      </c>
      <c r="AG17" s="1173">
        <v>0</v>
      </c>
      <c r="AH17" s="1173">
        <v>0</v>
      </c>
      <c r="AI17" s="1173">
        <v>0</v>
      </c>
      <c r="AJ17" s="1173">
        <v>0</v>
      </c>
      <c r="AK17" s="1173">
        <v>0</v>
      </c>
      <c r="AL17" s="1173">
        <v>0</v>
      </c>
      <c r="AM17" s="1173">
        <v>0</v>
      </c>
      <c r="AN17" s="1173">
        <v>0</v>
      </c>
      <c r="AO17" s="1173">
        <v>0</v>
      </c>
      <c r="AP17" s="1173">
        <v>0</v>
      </c>
      <c r="AQ17" s="1173">
        <v>0</v>
      </c>
      <c r="AR17" s="1173">
        <v>0</v>
      </c>
      <c r="AS17" s="1173">
        <v>0</v>
      </c>
      <c r="AT17" s="1173">
        <v>0</v>
      </c>
      <c r="AU17" s="1173">
        <v>0</v>
      </c>
      <c r="AV17" s="1173">
        <v>0</v>
      </c>
      <c r="AW17" s="1173">
        <v>0</v>
      </c>
      <c r="AX17" s="1173">
        <v>0</v>
      </c>
      <c r="AY17" s="1173">
        <v>0</v>
      </c>
      <c r="AZ17" s="1173">
        <v>0</v>
      </c>
      <c r="BA17" s="1173">
        <v>0</v>
      </c>
      <c r="BB17" s="1173">
        <v>0</v>
      </c>
      <c r="BC17" s="1173">
        <v>0</v>
      </c>
      <c r="BD17" s="1173">
        <v>0</v>
      </c>
      <c r="BE17" s="1173">
        <v>0</v>
      </c>
      <c r="BF17" s="1173">
        <v>0</v>
      </c>
      <c r="BG17" s="1173">
        <v>0</v>
      </c>
      <c r="BH17" s="1173">
        <v>0</v>
      </c>
      <c r="BI17" s="1173">
        <v>0</v>
      </c>
      <c r="BJ17" s="1173">
        <v>0</v>
      </c>
      <c r="BK17" s="1118"/>
      <c r="BL17" s="1118"/>
    </row>
    <row r="18" spans="1:64" s="401" customFormat="1" x14ac:dyDescent="0.3">
      <c r="A18" s="1154">
        <v>23</v>
      </c>
      <c r="B18" s="1222">
        <v>23</v>
      </c>
      <c r="C18" s="1153">
        <v>23</v>
      </c>
      <c r="D18" s="1203" t="s">
        <v>214</v>
      </c>
      <c r="E18" s="1203"/>
      <c r="F18" s="1170">
        <v>13143</v>
      </c>
      <c r="G18" s="1171">
        <v>2126787</v>
      </c>
      <c r="H18" s="1171">
        <v>180868</v>
      </c>
      <c r="I18" s="1171">
        <v>508403</v>
      </c>
      <c r="J18" s="1171">
        <v>238480</v>
      </c>
      <c r="K18" s="1171">
        <v>242270</v>
      </c>
      <c r="L18" s="1172">
        <v>-109125</v>
      </c>
      <c r="M18" s="1173">
        <v>-384278</v>
      </c>
      <c r="N18" s="1173">
        <v>-129453</v>
      </c>
      <c r="O18" s="1174">
        <v>350952</v>
      </c>
      <c r="P18" s="1174">
        <v>455369</v>
      </c>
      <c r="Q18" s="1174">
        <v>1176536</v>
      </c>
      <c r="R18" s="1174">
        <v>1076309</v>
      </c>
      <c r="S18" s="1174">
        <v>263828</v>
      </c>
      <c r="T18" s="1174">
        <v>154064</v>
      </c>
      <c r="U18" s="1174">
        <v>920360</v>
      </c>
      <c r="V18" s="1174">
        <v>7940070</v>
      </c>
      <c r="W18" s="1174">
        <v>290282</v>
      </c>
      <c r="X18" s="1174">
        <v>-157323</v>
      </c>
      <c r="Y18" s="1174">
        <v>1919189</v>
      </c>
      <c r="Z18" s="1174">
        <v>1433464</v>
      </c>
      <c r="AA18" s="1174">
        <v>134138</v>
      </c>
      <c r="AB18" s="1174">
        <v>984886</v>
      </c>
      <c r="AC18" s="1174">
        <v>181253</v>
      </c>
      <c r="AD18" s="1173">
        <v>673544</v>
      </c>
      <c r="AE18" s="1173">
        <v>2375872</v>
      </c>
      <c r="AF18" s="1173">
        <v>79898</v>
      </c>
      <c r="AG18" s="1173">
        <v>1222438</v>
      </c>
      <c r="AH18" s="1173">
        <v>-42636</v>
      </c>
      <c r="AI18" s="1173">
        <v>148292</v>
      </c>
      <c r="AJ18" s="1173">
        <v>2340035</v>
      </c>
      <c r="AK18" s="1173">
        <v>655593</v>
      </c>
      <c r="AL18" s="1173">
        <v>-383900</v>
      </c>
      <c r="AM18" s="1173">
        <v>2032375</v>
      </c>
      <c r="AN18" s="1173">
        <v>1686235</v>
      </c>
      <c r="AO18" s="1173">
        <v>-34296</v>
      </c>
      <c r="AP18" s="1173">
        <v>208271</v>
      </c>
      <c r="AQ18" s="1173">
        <v>534129</v>
      </c>
      <c r="AR18" s="1173">
        <v>-115408</v>
      </c>
      <c r="AS18" s="1173">
        <v>8782</v>
      </c>
      <c r="AT18" s="1173">
        <v>262389</v>
      </c>
      <c r="AU18" s="1173">
        <v>223103</v>
      </c>
      <c r="AV18" s="1173">
        <v>23578</v>
      </c>
      <c r="AW18" s="1173">
        <v>659821</v>
      </c>
      <c r="AX18" s="1173">
        <v>287490</v>
      </c>
      <c r="AY18" s="1173">
        <v>26693955</v>
      </c>
      <c r="AZ18" s="1173">
        <v>487343</v>
      </c>
      <c r="BA18" s="1173">
        <v>326953</v>
      </c>
      <c r="BB18" s="1173">
        <v>134616</v>
      </c>
      <c r="BC18" s="1173">
        <v>-2202514</v>
      </c>
      <c r="BD18" s="1173">
        <v>604754</v>
      </c>
      <c r="BE18" s="1173">
        <v>372661</v>
      </c>
      <c r="BF18" s="1173">
        <v>1246504</v>
      </c>
      <c r="BG18" s="1173">
        <v>2592153</v>
      </c>
      <c r="BH18" s="1173">
        <v>3226028</v>
      </c>
      <c r="BI18" s="1173">
        <v>975677</v>
      </c>
      <c r="BJ18" s="1173">
        <v>346294</v>
      </c>
      <c r="BK18" s="1118"/>
      <c r="BL18" s="1118"/>
    </row>
    <row r="19" spans="1:64" s="401" customFormat="1" ht="28.8" x14ac:dyDescent="0.3">
      <c r="A19" s="1154">
        <v>31</v>
      </c>
      <c r="B19" s="1222">
        <v>31</v>
      </c>
      <c r="C19" s="1153">
        <v>31</v>
      </c>
      <c r="D19" s="1203" t="s">
        <v>1405</v>
      </c>
      <c r="E19" s="1203"/>
      <c r="F19" s="1170">
        <v>-442400</v>
      </c>
      <c r="G19" s="1171">
        <v>-515005</v>
      </c>
      <c r="H19" s="1171">
        <v>159286</v>
      </c>
      <c r="I19" s="1171">
        <v>-353287</v>
      </c>
      <c r="J19" s="1171">
        <v>862550</v>
      </c>
      <c r="K19" s="1171">
        <v>442461</v>
      </c>
      <c r="L19" s="1172">
        <v>69590</v>
      </c>
      <c r="M19" s="1173">
        <v>41366</v>
      </c>
      <c r="N19" s="1173">
        <v>11241</v>
      </c>
      <c r="O19" s="1174">
        <v>34005</v>
      </c>
      <c r="P19" s="1174">
        <v>64364</v>
      </c>
      <c r="Q19" s="1174">
        <v>258116</v>
      </c>
      <c r="R19" s="1174">
        <v>450941</v>
      </c>
      <c r="S19" s="1174">
        <v>124831</v>
      </c>
      <c r="T19" s="1174">
        <v>0</v>
      </c>
      <c r="U19" s="1174">
        <v>1977873</v>
      </c>
      <c r="V19" s="1174">
        <v>242384</v>
      </c>
      <c r="W19" s="1174">
        <v>105353</v>
      </c>
      <c r="X19" s="1174">
        <v>20404</v>
      </c>
      <c r="Y19" s="1174">
        <v>-150911</v>
      </c>
      <c r="Z19" s="1174">
        <v>110575</v>
      </c>
      <c r="AA19" s="1174">
        <v>53691</v>
      </c>
      <c r="AB19" s="1174">
        <v>657186</v>
      </c>
      <c r="AC19" s="1174">
        <v>56843</v>
      </c>
      <c r="AD19" s="1173">
        <v>272246</v>
      </c>
      <c r="AE19" s="1173">
        <v>1515105</v>
      </c>
      <c r="AF19" s="1173">
        <v>235847</v>
      </c>
      <c r="AG19" s="1173">
        <v>-717748</v>
      </c>
      <c r="AH19" s="1173">
        <v>-243501</v>
      </c>
      <c r="AI19" s="1173">
        <v>26736</v>
      </c>
      <c r="AJ19" s="1173">
        <v>222555</v>
      </c>
      <c r="AK19" s="1173">
        <v>25576</v>
      </c>
      <c r="AL19" s="1173">
        <v>577019</v>
      </c>
      <c r="AM19" s="1173">
        <v>719903</v>
      </c>
      <c r="AN19" s="1173">
        <v>-153149</v>
      </c>
      <c r="AO19" s="1173">
        <v>23396</v>
      </c>
      <c r="AP19" s="1173">
        <v>569475</v>
      </c>
      <c r="AQ19" s="1173">
        <v>443345</v>
      </c>
      <c r="AR19" s="1173">
        <v>-634926</v>
      </c>
      <c r="AS19" s="1173">
        <v>375988</v>
      </c>
      <c r="AT19" s="1173">
        <v>3150576</v>
      </c>
      <c r="AU19" s="1173">
        <v>4357</v>
      </c>
      <c r="AV19" s="1173">
        <v>43613</v>
      </c>
      <c r="AW19" s="1173">
        <v>-1545816</v>
      </c>
      <c r="AX19" s="1173">
        <v>434737</v>
      </c>
      <c r="AY19" s="1173">
        <v>-5647649</v>
      </c>
      <c r="AZ19" s="1173">
        <v>-218743</v>
      </c>
      <c r="BA19" s="1173">
        <v>95653</v>
      </c>
      <c r="BB19" s="1173">
        <v>369097</v>
      </c>
      <c r="BC19" s="1173">
        <v>166909</v>
      </c>
      <c r="BD19" s="1173">
        <v>107569</v>
      </c>
      <c r="BE19" s="1173">
        <v>127050</v>
      </c>
      <c r="BF19" s="1173">
        <v>96339</v>
      </c>
      <c r="BG19" s="1173">
        <v>-602732</v>
      </c>
      <c r="BH19" s="1173">
        <v>258683</v>
      </c>
      <c r="BI19" s="1173">
        <v>94486</v>
      </c>
      <c r="BJ19" s="1173">
        <v>222975</v>
      </c>
      <c r="BK19" s="1118"/>
      <c r="BL19" s="1118"/>
    </row>
    <row r="20" spans="1:64" s="401" customFormat="1" ht="43.2" x14ac:dyDescent="0.3">
      <c r="A20" s="1154">
        <v>32</v>
      </c>
      <c r="B20" s="1222"/>
      <c r="C20" s="1153">
        <v>32</v>
      </c>
      <c r="D20" s="1158" t="s">
        <v>292</v>
      </c>
      <c r="E20" s="1158"/>
      <c r="F20" s="1170"/>
      <c r="G20" s="1171"/>
      <c r="H20" s="1171"/>
      <c r="I20" s="1171"/>
      <c r="J20" s="1171"/>
      <c r="K20" s="1171"/>
      <c r="L20" s="1172"/>
      <c r="M20" s="1173"/>
      <c r="N20" s="1173"/>
      <c r="O20" s="1174"/>
      <c r="P20" s="1174"/>
      <c r="Q20" s="1174"/>
      <c r="R20" s="1174"/>
      <c r="S20" s="1174"/>
      <c r="T20" s="1174"/>
      <c r="U20" s="1174"/>
      <c r="V20" s="1174"/>
      <c r="W20" s="1174"/>
      <c r="X20" s="1174"/>
      <c r="Y20" s="1174"/>
      <c r="Z20" s="1174"/>
      <c r="AA20" s="1174"/>
      <c r="AB20" s="1174"/>
      <c r="AC20" s="1174"/>
      <c r="AD20" s="1173"/>
      <c r="AE20" s="1173"/>
      <c r="AF20" s="1173"/>
      <c r="AG20" s="1173"/>
      <c r="AH20" s="1173"/>
      <c r="AI20" s="1173"/>
      <c r="AJ20" s="1173"/>
      <c r="AK20" s="1173"/>
      <c r="AL20" s="1173"/>
      <c r="AM20" s="1173"/>
      <c r="AN20" s="1173"/>
      <c r="AO20" s="1173"/>
      <c r="AP20" s="1173"/>
      <c r="AQ20" s="1173"/>
      <c r="AR20" s="1173"/>
      <c r="AS20" s="1173"/>
      <c r="AT20" s="1173"/>
      <c r="AU20" s="1173"/>
      <c r="AV20" s="1173"/>
      <c r="AW20" s="1173"/>
      <c r="AX20" s="1173"/>
      <c r="AY20" s="1173"/>
      <c r="AZ20" s="1173"/>
      <c r="BA20" s="1173"/>
      <c r="BB20" s="1173"/>
      <c r="BC20" s="1173"/>
      <c r="BD20" s="1173"/>
      <c r="BE20" s="1173"/>
      <c r="BF20" s="1173"/>
      <c r="BG20" s="1173"/>
      <c r="BH20" s="1173"/>
      <c r="BI20" s="1173"/>
      <c r="BJ20" s="1173"/>
      <c r="BK20" s="1120"/>
      <c r="BL20" s="1120"/>
    </row>
    <row r="21" spans="1:64" s="401" customFormat="1" ht="28.8" x14ac:dyDescent="0.3">
      <c r="A21" s="1154">
        <v>33</v>
      </c>
      <c r="B21" s="1222"/>
      <c r="C21" s="1153">
        <v>33</v>
      </c>
      <c r="D21" s="1158" t="s">
        <v>293</v>
      </c>
      <c r="E21" s="1158"/>
      <c r="F21" s="1170"/>
      <c r="G21" s="1171"/>
      <c r="H21" s="1171"/>
      <c r="I21" s="1171"/>
      <c r="J21" s="1171"/>
      <c r="K21" s="1171"/>
      <c r="L21" s="1172"/>
      <c r="M21" s="1173"/>
      <c r="N21" s="1173"/>
      <c r="O21" s="1174"/>
      <c r="P21" s="1174"/>
      <c r="Q21" s="1174"/>
      <c r="R21" s="1174"/>
      <c r="S21" s="1174"/>
      <c r="T21" s="1174"/>
      <c r="U21" s="1174"/>
      <c r="V21" s="1174"/>
      <c r="W21" s="1174"/>
      <c r="X21" s="1174"/>
      <c r="Y21" s="1174"/>
      <c r="Z21" s="1174"/>
      <c r="AA21" s="1174"/>
      <c r="AB21" s="1174"/>
      <c r="AC21" s="1174"/>
      <c r="AD21" s="1173"/>
      <c r="AE21" s="1173"/>
      <c r="AF21" s="1173"/>
      <c r="AG21" s="1173"/>
      <c r="AH21" s="1173"/>
      <c r="AI21" s="1173"/>
      <c r="AJ21" s="1173"/>
      <c r="AK21" s="1173"/>
      <c r="AL21" s="1173"/>
      <c r="AM21" s="1173"/>
      <c r="AN21" s="1173"/>
      <c r="AO21" s="1173"/>
      <c r="AP21" s="1173"/>
      <c r="AQ21" s="1173"/>
      <c r="AR21" s="1173"/>
      <c r="AS21" s="1173"/>
      <c r="AT21" s="1173"/>
      <c r="AU21" s="1173"/>
      <c r="AV21" s="1173"/>
      <c r="AW21" s="1173"/>
      <c r="AX21" s="1173"/>
      <c r="AY21" s="1173"/>
      <c r="AZ21" s="1173"/>
      <c r="BA21" s="1173"/>
      <c r="BB21" s="1173"/>
      <c r="BC21" s="1173"/>
      <c r="BD21" s="1173"/>
      <c r="BE21" s="1173"/>
      <c r="BF21" s="1173"/>
      <c r="BG21" s="1173"/>
      <c r="BH21" s="1173"/>
      <c r="BI21" s="1173"/>
      <c r="BJ21" s="1173"/>
      <c r="BK21" s="1120"/>
      <c r="BL21" s="1120"/>
    </row>
    <row r="22" spans="1:64" s="401" customFormat="1" ht="26.4" x14ac:dyDescent="0.3">
      <c r="A22" s="1154">
        <v>34</v>
      </c>
      <c r="B22" s="1222"/>
      <c r="C22" s="1153">
        <v>34</v>
      </c>
      <c r="D22" s="1159" t="s">
        <v>294</v>
      </c>
      <c r="E22" s="1159"/>
      <c r="F22" s="1170"/>
      <c r="G22" s="1171"/>
      <c r="H22" s="1171"/>
      <c r="I22" s="1171"/>
      <c r="J22" s="1171"/>
      <c r="K22" s="1171"/>
      <c r="L22" s="1172"/>
      <c r="M22" s="1173"/>
      <c r="N22" s="1173"/>
      <c r="O22" s="1174"/>
      <c r="P22" s="1174"/>
      <c r="Q22" s="1174"/>
      <c r="R22" s="1174"/>
      <c r="S22" s="1174"/>
      <c r="T22" s="1174"/>
      <c r="U22" s="1174"/>
      <c r="V22" s="1174"/>
      <c r="W22" s="1174"/>
      <c r="X22" s="1174"/>
      <c r="Y22" s="1174"/>
      <c r="Z22" s="1174"/>
      <c r="AA22" s="1174"/>
      <c r="AB22" s="1174"/>
      <c r="AC22" s="1174"/>
      <c r="AD22" s="1173"/>
      <c r="AE22" s="1173"/>
      <c r="AF22" s="1173"/>
      <c r="AG22" s="1173"/>
      <c r="AH22" s="1173"/>
      <c r="AI22" s="1173"/>
      <c r="AJ22" s="1173"/>
      <c r="AK22" s="1173"/>
      <c r="AL22" s="1173"/>
      <c r="AM22" s="1173"/>
      <c r="AN22" s="1173"/>
      <c r="AO22" s="1173"/>
      <c r="AP22" s="1173"/>
      <c r="AQ22" s="1173"/>
      <c r="AR22" s="1173"/>
      <c r="AS22" s="1173"/>
      <c r="AT22" s="1173"/>
      <c r="AU22" s="1173"/>
      <c r="AV22" s="1173"/>
      <c r="AW22" s="1173"/>
      <c r="AX22" s="1173"/>
      <c r="AY22" s="1173"/>
      <c r="AZ22" s="1173"/>
      <c r="BA22" s="1173"/>
      <c r="BB22" s="1173"/>
      <c r="BC22" s="1173"/>
      <c r="BD22" s="1173"/>
      <c r="BE22" s="1173"/>
      <c r="BF22" s="1173"/>
      <c r="BG22" s="1173"/>
      <c r="BH22" s="1173"/>
      <c r="BI22" s="1173"/>
      <c r="BJ22" s="1173"/>
      <c r="BK22" s="1120"/>
      <c r="BL22" s="1120"/>
    </row>
    <row r="23" spans="1:64" s="401" customFormat="1" x14ac:dyDescent="0.3">
      <c r="A23" s="1154">
        <v>35</v>
      </c>
      <c r="B23" s="1222"/>
      <c r="C23" s="1153">
        <v>35</v>
      </c>
      <c r="D23" s="1159" t="s">
        <v>376</v>
      </c>
      <c r="E23" s="1159"/>
      <c r="F23" s="1170"/>
      <c r="G23" s="1171"/>
      <c r="H23" s="1171"/>
      <c r="I23" s="1171"/>
      <c r="J23" s="1171"/>
      <c r="K23" s="1171"/>
      <c r="L23" s="1172"/>
      <c r="M23" s="1173"/>
      <c r="N23" s="1173"/>
      <c r="O23" s="1174"/>
      <c r="P23" s="1174"/>
      <c r="Q23" s="1174"/>
      <c r="R23" s="1174"/>
      <c r="S23" s="1174"/>
      <c r="T23" s="1174"/>
      <c r="U23" s="1174"/>
      <c r="V23" s="1174"/>
      <c r="W23" s="1174"/>
      <c r="X23" s="1174"/>
      <c r="Y23" s="1174"/>
      <c r="Z23" s="1174"/>
      <c r="AA23" s="1174"/>
      <c r="AB23" s="1174"/>
      <c r="AC23" s="1174"/>
      <c r="AD23" s="1173"/>
      <c r="AE23" s="1173"/>
      <c r="AF23" s="1173"/>
      <c r="AG23" s="1173"/>
      <c r="AH23" s="1173"/>
      <c r="AI23" s="1173"/>
      <c r="AJ23" s="1173"/>
      <c r="AK23" s="1173"/>
      <c r="AL23" s="1173"/>
      <c r="AM23" s="1173"/>
      <c r="AN23" s="1173"/>
      <c r="AO23" s="1173"/>
      <c r="AP23" s="1173"/>
      <c r="AQ23" s="1173"/>
      <c r="AR23" s="1173"/>
      <c r="AS23" s="1173"/>
      <c r="AT23" s="1173"/>
      <c r="AU23" s="1173"/>
      <c r="AV23" s="1173"/>
      <c r="AW23" s="1173"/>
      <c r="AX23" s="1173"/>
      <c r="AY23" s="1173"/>
      <c r="AZ23" s="1173"/>
      <c r="BA23" s="1173"/>
      <c r="BB23" s="1173"/>
      <c r="BC23" s="1173"/>
      <c r="BD23" s="1173"/>
      <c r="BE23" s="1173"/>
      <c r="BF23" s="1173"/>
      <c r="BG23" s="1173"/>
      <c r="BH23" s="1173"/>
      <c r="BI23" s="1173"/>
      <c r="BJ23" s="1173"/>
      <c r="BK23" s="1120"/>
      <c r="BL23" s="1120"/>
    </row>
    <row r="24" spans="1:64" s="401" customFormat="1" ht="26.4" x14ac:dyDescent="0.3">
      <c r="A24" s="1154">
        <v>36</v>
      </c>
      <c r="B24" s="1222"/>
      <c r="C24" s="1153">
        <v>36</v>
      </c>
      <c r="D24" s="1159" t="s">
        <v>377</v>
      </c>
      <c r="E24" s="1159"/>
      <c r="F24" s="1170"/>
      <c r="G24" s="1171"/>
      <c r="H24" s="1171"/>
      <c r="I24" s="1171"/>
      <c r="J24" s="1171"/>
      <c r="K24" s="1171"/>
      <c r="L24" s="1172"/>
      <c r="M24" s="1173"/>
      <c r="N24" s="1173"/>
      <c r="O24" s="1174"/>
      <c r="P24" s="1174"/>
      <c r="Q24" s="1174"/>
      <c r="R24" s="1174"/>
      <c r="S24" s="1174"/>
      <c r="T24" s="1174"/>
      <c r="U24" s="1174"/>
      <c r="V24" s="1174"/>
      <c r="W24" s="1174"/>
      <c r="X24" s="1174"/>
      <c r="Y24" s="1174"/>
      <c r="Z24" s="1174"/>
      <c r="AA24" s="1174"/>
      <c r="AB24" s="1174"/>
      <c r="AC24" s="1174"/>
      <c r="AD24" s="1173"/>
      <c r="AE24" s="1173"/>
      <c r="AF24" s="1173"/>
      <c r="AG24" s="1173"/>
      <c r="AH24" s="1173"/>
      <c r="AI24" s="1173"/>
      <c r="AJ24" s="1173"/>
      <c r="AK24" s="1173"/>
      <c r="AL24" s="1173"/>
      <c r="AM24" s="1173"/>
      <c r="AN24" s="1173"/>
      <c r="AO24" s="1173"/>
      <c r="AP24" s="1173"/>
      <c r="AQ24" s="1173"/>
      <c r="AR24" s="1173"/>
      <c r="AS24" s="1173"/>
      <c r="AT24" s="1173"/>
      <c r="AU24" s="1173"/>
      <c r="AV24" s="1173"/>
      <c r="AW24" s="1173"/>
      <c r="AX24" s="1173"/>
      <c r="AY24" s="1173"/>
      <c r="AZ24" s="1173"/>
      <c r="BA24" s="1173"/>
      <c r="BB24" s="1173"/>
      <c r="BC24" s="1173"/>
      <c r="BD24" s="1173"/>
      <c r="BE24" s="1173"/>
      <c r="BF24" s="1173"/>
      <c r="BG24" s="1173"/>
      <c r="BH24" s="1173"/>
      <c r="BI24" s="1173"/>
      <c r="BJ24" s="1173"/>
      <c r="BK24" s="1120"/>
      <c r="BL24" s="1120"/>
    </row>
    <row r="25" spans="1:64" s="401" customFormat="1" ht="26.4" x14ac:dyDescent="0.3">
      <c r="A25" s="1154">
        <v>37</v>
      </c>
      <c r="B25" s="1222"/>
      <c r="C25" s="1153">
        <v>37</v>
      </c>
      <c r="D25" s="1159" t="s">
        <v>295</v>
      </c>
      <c r="E25" s="1159"/>
      <c r="F25" s="1170"/>
      <c r="G25" s="1171"/>
      <c r="H25" s="1171"/>
      <c r="I25" s="1171"/>
      <c r="J25" s="1171"/>
      <c r="K25" s="1171"/>
      <c r="L25" s="1172"/>
      <c r="M25" s="1173"/>
      <c r="N25" s="1173"/>
      <c r="O25" s="1174"/>
      <c r="P25" s="1174"/>
      <c r="Q25" s="1174"/>
      <c r="R25" s="1174"/>
      <c r="S25" s="1174"/>
      <c r="T25" s="1174"/>
      <c r="U25" s="1174"/>
      <c r="V25" s="1174"/>
      <c r="W25" s="1174"/>
      <c r="X25" s="1174"/>
      <c r="Y25" s="1174"/>
      <c r="Z25" s="1174"/>
      <c r="AA25" s="1174"/>
      <c r="AB25" s="1174"/>
      <c r="AC25" s="1174"/>
      <c r="AD25" s="1173"/>
      <c r="AE25" s="1173"/>
      <c r="AF25" s="1173"/>
      <c r="AG25" s="1173"/>
      <c r="AH25" s="1173"/>
      <c r="AI25" s="1173"/>
      <c r="AJ25" s="1173"/>
      <c r="AK25" s="1173"/>
      <c r="AL25" s="1173"/>
      <c r="AM25" s="1173"/>
      <c r="AN25" s="1173"/>
      <c r="AO25" s="1173"/>
      <c r="AP25" s="1173"/>
      <c r="AQ25" s="1173"/>
      <c r="AR25" s="1173"/>
      <c r="AS25" s="1173"/>
      <c r="AT25" s="1173"/>
      <c r="AU25" s="1173"/>
      <c r="AV25" s="1173"/>
      <c r="AW25" s="1173"/>
      <c r="AX25" s="1173"/>
      <c r="AY25" s="1173"/>
      <c r="AZ25" s="1173"/>
      <c r="BA25" s="1173"/>
      <c r="BB25" s="1173"/>
      <c r="BC25" s="1173"/>
      <c r="BD25" s="1173"/>
      <c r="BE25" s="1173"/>
      <c r="BF25" s="1173"/>
      <c r="BG25" s="1173"/>
      <c r="BH25" s="1173"/>
      <c r="BI25" s="1173"/>
      <c r="BJ25" s="1173"/>
      <c r="BK25" s="1120"/>
      <c r="BL25" s="1120"/>
    </row>
    <row r="26" spans="1:64" s="401" customFormat="1" ht="26.4" x14ac:dyDescent="0.3">
      <c r="A26" s="1154">
        <v>38</v>
      </c>
      <c r="B26" s="1222"/>
      <c r="C26" s="1153">
        <v>38</v>
      </c>
      <c r="D26" s="1159" t="s">
        <v>378</v>
      </c>
      <c r="E26" s="1159"/>
      <c r="F26" s="1170"/>
      <c r="G26" s="1171"/>
      <c r="H26" s="1171"/>
      <c r="I26" s="1171"/>
      <c r="J26" s="1171"/>
      <c r="K26" s="1171"/>
      <c r="L26" s="1172"/>
      <c r="M26" s="1173"/>
      <c r="N26" s="1173"/>
      <c r="O26" s="1174"/>
      <c r="P26" s="1174"/>
      <c r="Q26" s="1174"/>
      <c r="R26" s="1174"/>
      <c r="S26" s="1174"/>
      <c r="T26" s="1174"/>
      <c r="U26" s="1174"/>
      <c r="V26" s="1174"/>
      <c r="W26" s="1174"/>
      <c r="X26" s="1174"/>
      <c r="Y26" s="1174"/>
      <c r="Z26" s="1174"/>
      <c r="AA26" s="1174"/>
      <c r="AB26" s="1174"/>
      <c r="AC26" s="1174"/>
      <c r="AD26" s="1173"/>
      <c r="AE26" s="1173"/>
      <c r="AF26" s="1173"/>
      <c r="AG26" s="1173"/>
      <c r="AH26" s="1173"/>
      <c r="AI26" s="1173"/>
      <c r="AJ26" s="1173"/>
      <c r="AK26" s="1173"/>
      <c r="AL26" s="1173"/>
      <c r="AM26" s="1173"/>
      <c r="AN26" s="1173"/>
      <c r="AO26" s="1173"/>
      <c r="AP26" s="1173"/>
      <c r="AQ26" s="1173"/>
      <c r="AR26" s="1173"/>
      <c r="AS26" s="1173"/>
      <c r="AT26" s="1173"/>
      <c r="AU26" s="1173"/>
      <c r="AV26" s="1173"/>
      <c r="AW26" s="1173"/>
      <c r="AX26" s="1173"/>
      <c r="AY26" s="1173"/>
      <c r="AZ26" s="1173"/>
      <c r="BA26" s="1173"/>
      <c r="BB26" s="1173"/>
      <c r="BC26" s="1173"/>
      <c r="BD26" s="1173"/>
      <c r="BE26" s="1173"/>
      <c r="BF26" s="1173"/>
      <c r="BG26" s="1173"/>
      <c r="BH26" s="1173"/>
      <c r="BI26" s="1173"/>
      <c r="BJ26" s="1173"/>
      <c r="BK26" s="1120"/>
      <c r="BL26" s="1120"/>
    </row>
    <row r="27" spans="1:64" s="401" customFormat="1" ht="26.4" x14ac:dyDescent="0.3">
      <c r="A27" s="1154">
        <v>39</v>
      </c>
      <c r="B27" s="1222"/>
      <c r="C27" s="1153">
        <v>39</v>
      </c>
      <c r="D27" s="1159" t="s">
        <v>296</v>
      </c>
      <c r="E27" s="1159"/>
      <c r="F27" s="1170"/>
      <c r="G27" s="1171"/>
      <c r="H27" s="1171"/>
      <c r="I27" s="1171"/>
      <c r="J27" s="1171"/>
      <c r="K27" s="1171"/>
      <c r="L27" s="1172"/>
      <c r="M27" s="1173"/>
      <c r="N27" s="1173"/>
      <c r="O27" s="1174"/>
      <c r="P27" s="1174"/>
      <c r="Q27" s="1174"/>
      <c r="R27" s="1174"/>
      <c r="S27" s="1174"/>
      <c r="T27" s="1174"/>
      <c r="U27" s="1174"/>
      <c r="V27" s="1174"/>
      <c r="W27" s="1174"/>
      <c r="X27" s="1174"/>
      <c r="Y27" s="1174"/>
      <c r="Z27" s="1174"/>
      <c r="AA27" s="1174"/>
      <c r="AB27" s="1174"/>
      <c r="AC27" s="1174"/>
      <c r="AD27" s="1173"/>
      <c r="AE27" s="1173"/>
      <c r="AF27" s="1173"/>
      <c r="AG27" s="1173"/>
      <c r="AH27" s="1173"/>
      <c r="AI27" s="1173"/>
      <c r="AJ27" s="1173"/>
      <c r="AK27" s="1173"/>
      <c r="AL27" s="1173"/>
      <c r="AM27" s="1173"/>
      <c r="AN27" s="1173"/>
      <c r="AO27" s="1173"/>
      <c r="AP27" s="1173"/>
      <c r="AQ27" s="1173"/>
      <c r="AR27" s="1173"/>
      <c r="AS27" s="1173"/>
      <c r="AT27" s="1173"/>
      <c r="AU27" s="1173"/>
      <c r="AV27" s="1173"/>
      <c r="AW27" s="1173"/>
      <c r="AX27" s="1173"/>
      <c r="AY27" s="1173"/>
      <c r="AZ27" s="1173"/>
      <c r="BA27" s="1173"/>
      <c r="BB27" s="1173"/>
      <c r="BC27" s="1173"/>
      <c r="BD27" s="1173"/>
      <c r="BE27" s="1173"/>
      <c r="BF27" s="1173"/>
      <c r="BG27" s="1173"/>
      <c r="BH27" s="1173"/>
      <c r="BI27" s="1173"/>
      <c r="BJ27" s="1173"/>
      <c r="BK27" s="1120"/>
      <c r="BL27" s="1120"/>
    </row>
    <row r="28" spans="1:64" s="401" customFormat="1" ht="26.4" x14ac:dyDescent="0.3">
      <c r="A28" s="1154">
        <v>40</v>
      </c>
      <c r="B28" s="1222"/>
      <c r="C28" s="1153">
        <v>40</v>
      </c>
      <c r="D28" s="1159" t="s">
        <v>297</v>
      </c>
      <c r="E28" s="1159"/>
      <c r="F28" s="1170"/>
      <c r="G28" s="1171"/>
      <c r="H28" s="1171"/>
      <c r="I28" s="1171"/>
      <c r="J28" s="1171"/>
      <c r="K28" s="1171"/>
      <c r="L28" s="1172"/>
      <c r="M28" s="1173"/>
      <c r="N28" s="1173"/>
      <c r="O28" s="1174"/>
      <c r="P28" s="1174"/>
      <c r="Q28" s="1174"/>
      <c r="R28" s="1174"/>
      <c r="S28" s="1174"/>
      <c r="T28" s="1174"/>
      <c r="U28" s="1174"/>
      <c r="V28" s="1174"/>
      <c r="W28" s="1174"/>
      <c r="X28" s="1174"/>
      <c r="Y28" s="1174"/>
      <c r="Z28" s="1174"/>
      <c r="AA28" s="1174"/>
      <c r="AB28" s="1174"/>
      <c r="AC28" s="1174"/>
      <c r="AD28" s="1173"/>
      <c r="AE28" s="1173"/>
      <c r="AF28" s="1173"/>
      <c r="AG28" s="1173"/>
      <c r="AH28" s="1173"/>
      <c r="AI28" s="1173"/>
      <c r="AJ28" s="1173"/>
      <c r="AK28" s="1173"/>
      <c r="AL28" s="1173"/>
      <c r="AM28" s="1173"/>
      <c r="AN28" s="1173"/>
      <c r="AO28" s="1173"/>
      <c r="AP28" s="1173"/>
      <c r="AQ28" s="1173"/>
      <c r="AR28" s="1173"/>
      <c r="AS28" s="1173"/>
      <c r="AT28" s="1173"/>
      <c r="AU28" s="1173"/>
      <c r="AV28" s="1173"/>
      <c r="AW28" s="1173"/>
      <c r="AX28" s="1173"/>
      <c r="AY28" s="1173"/>
      <c r="AZ28" s="1173"/>
      <c r="BA28" s="1173"/>
      <c r="BB28" s="1173"/>
      <c r="BC28" s="1173"/>
      <c r="BD28" s="1173"/>
      <c r="BE28" s="1173"/>
      <c r="BF28" s="1173"/>
      <c r="BG28" s="1173"/>
      <c r="BH28" s="1173"/>
      <c r="BI28" s="1173"/>
      <c r="BJ28" s="1173"/>
      <c r="BK28" s="1120"/>
      <c r="BL28" s="1120"/>
    </row>
    <row r="29" spans="1:64" s="401" customFormat="1" ht="26.4" x14ac:dyDescent="0.3">
      <c r="A29" s="1154">
        <v>41</v>
      </c>
      <c r="B29" s="1222"/>
      <c r="C29" s="1153">
        <v>41</v>
      </c>
      <c r="D29" s="1159" t="s">
        <v>298</v>
      </c>
      <c r="E29" s="1159"/>
      <c r="F29" s="1170"/>
      <c r="G29" s="1171"/>
      <c r="H29" s="1171"/>
      <c r="I29" s="1171"/>
      <c r="J29" s="1171"/>
      <c r="K29" s="1171"/>
      <c r="L29" s="1172"/>
      <c r="M29" s="1173"/>
      <c r="N29" s="1173"/>
      <c r="O29" s="1174"/>
      <c r="P29" s="1174"/>
      <c r="Q29" s="1174"/>
      <c r="R29" s="1174"/>
      <c r="S29" s="1174"/>
      <c r="T29" s="1174"/>
      <c r="U29" s="1174"/>
      <c r="V29" s="1174"/>
      <c r="W29" s="1174"/>
      <c r="X29" s="1174"/>
      <c r="Y29" s="1174"/>
      <c r="Z29" s="1174"/>
      <c r="AA29" s="1174"/>
      <c r="AB29" s="1174"/>
      <c r="AC29" s="1174"/>
      <c r="AD29" s="1173"/>
      <c r="AE29" s="1173"/>
      <c r="AF29" s="1173"/>
      <c r="AG29" s="1173"/>
      <c r="AH29" s="1173"/>
      <c r="AI29" s="1173"/>
      <c r="AJ29" s="1173"/>
      <c r="AK29" s="1173"/>
      <c r="AL29" s="1173"/>
      <c r="AM29" s="1173"/>
      <c r="AN29" s="1173"/>
      <c r="AO29" s="1173"/>
      <c r="AP29" s="1173"/>
      <c r="AQ29" s="1173"/>
      <c r="AR29" s="1173"/>
      <c r="AS29" s="1173"/>
      <c r="AT29" s="1173"/>
      <c r="AU29" s="1173"/>
      <c r="AV29" s="1173"/>
      <c r="AW29" s="1173"/>
      <c r="AX29" s="1173"/>
      <c r="AY29" s="1173"/>
      <c r="AZ29" s="1173"/>
      <c r="BA29" s="1173"/>
      <c r="BB29" s="1173"/>
      <c r="BC29" s="1173"/>
      <c r="BD29" s="1173"/>
      <c r="BE29" s="1173"/>
      <c r="BF29" s="1173"/>
      <c r="BG29" s="1173"/>
      <c r="BH29" s="1173"/>
      <c r="BI29" s="1173"/>
      <c r="BJ29" s="1173"/>
      <c r="BK29" s="1120"/>
      <c r="BL29" s="1120"/>
    </row>
    <row r="30" spans="1:64" s="401" customFormat="1" x14ac:dyDescent="0.3">
      <c r="A30" s="1154">
        <v>43</v>
      </c>
      <c r="B30" s="1222"/>
      <c r="C30" s="1153">
        <v>43</v>
      </c>
      <c r="D30" s="1203" t="e">
        <v>#VALUE!</v>
      </c>
      <c r="E30" s="1203"/>
      <c r="F30" s="1170"/>
      <c r="G30" s="1171"/>
      <c r="H30" s="1171"/>
      <c r="I30" s="1171"/>
      <c r="J30" s="1171"/>
      <c r="K30" s="1171"/>
      <c r="L30" s="1172"/>
      <c r="M30" s="1173"/>
      <c r="N30" s="1173"/>
      <c r="O30" s="1174"/>
      <c r="P30" s="1174"/>
      <c r="Q30" s="1174"/>
      <c r="R30" s="1174"/>
      <c r="S30" s="1174"/>
      <c r="T30" s="1174"/>
      <c r="U30" s="1174"/>
      <c r="V30" s="1174"/>
      <c r="W30" s="1174"/>
      <c r="X30" s="1174"/>
      <c r="Y30" s="1174"/>
      <c r="Z30" s="1174"/>
      <c r="AA30" s="1174"/>
      <c r="AB30" s="1174"/>
      <c r="AC30" s="1174"/>
      <c r="AD30" s="1173"/>
      <c r="AE30" s="1173"/>
      <c r="AF30" s="1173"/>
      <c r="AG30" s="1173"/>
      <c r="AH30" s="1173"/>
      <c r="AI30" s="1173"/>
      <c r="AJ30" s="1173"/>
      <c r="AK30" s="1173"/>
      <c r="AL30" s="1173"/>
      <c r="AM30" s="1173"/>
      <c r="AN30" s="1173"/>
      <c r="AO30" s="1173"/>
      <c r="AP30" s="1173"/>
      <c r="AQ30" s="1173"/>
      <c r="AR30" s="1173"/>
      <c r="AS30" s="1173"/>
      <c r="AT30" s="1173"/>
      <c r="AU30" s="1173"/>
      <c r="AV30" s="1173"/>
      <c r="AW30" s="1173"/>
      <c r="AX30" s="1173"/>
      <c r="AY30" s="1173"/>
      <c r="AZ30" s="1173"/>
      <c r="BA30" s="1173"/>
      <c r="BB30" s="1173"/>
      <c r="BC30" s="1173"/>
      <c r="BD30" s="1173"/>
      <c r="BE30" s="1173"/>
      <c r="BF30" s="1173"/>
      <c r="BG30" s="1173"/>
      <c r="BH30" s="1173"/>
      <c r="BI30" s="1173"/>
      <c r="BJ30" s="1173"/>
      <c r="BK30" s="1120"/>
      <c r="BL30" s="1120"/>
    </row>
    <row r="31" spans="1:64" s="401" customFormat="1" x14ac:dyDescent="0.3">
      <c r="A31" s="1154">
        <v>44</v>
      </c>
      <c r="B31" s="1222"/>
      <c r="C31" s="1153">
        <v>44</v>
      </c>
      <c r="D31" s="1203" t="e">
        <v>#VALUE!</v>
      </c>
      <c r="E31" s="1203"/>
      <c r="F31" s="1170"/>
      <c r="G31" s="1171"/>
      <c r="H31" s="1171"/>
      <c r="I31" s="1171"/>
      <c r="J31" s="1171"/>
      <c r="K31" s="1171"/>
      <c r="L31" s="1172"/>
      <c r="M31" s="1173"/>
      <c r="N31" s="1173"/>
      <c r="O31" s="1174"/>
      <c r="P31" s="1174"/>
      <c r="Q31" s="1174"/>
      <c r="R31" s="1174"/>
      <c r="S31" s="1174"/>
      <c r="T31" s="1174"/>
      <c r="U31" s="1174"/>
      <c r="V31" s="1174"/>
      <c r="W31" s="1174"/>
      <c r="X31" s="1174"/>
      <c r="Y31" s="1174"/>
      <c r="Z31" s="1174"/>
      <c r="AA31" s="1174"/>
      <c r="AB31" s="1174"/>
      <c r="AC31" s="1174"/>
      <c r="AD31" s="1173"/>
      <c r="AE31" s="1173"/>
      <c r="AF31" s="1173"/>
      <c r="AG31" s="1173"/>
      <c r="AH31" s="1173"/>
      <c r="AI31" s="1173"/>
      <c r="AJ31" s="1173"/>
      <c r="AK31" s="1173"/>
      <c r="AL31" s="1173"/>
      <c r="AM31" s="1173"/>
      <c r="AN31" s="1173"/>
      <c r="AO31" s="1173"/>
      <c r="AP31" s="1173"/>
      <c r="AQ31" s="1173"/>
      <c r="AR31" s="1173"/>
      <c r="AS31" s="1173"/>
      <c r="AT31" s="1173"/>
      <c r="AU31" s="1173"/>
      <c r="AV31" s="1173"/>
      <c r="AW31" s="1173"/>
      <c r="AX31" s="1173"/>
      <c r="AY31" s="1173"/>
      <c r="AZ31" s="1173"/>
      <c r="BA31" s="1173"/>
      <c r="BB31" s="1173"/>
      <c r="BC31" s="1173"/>
      <c r="BD31" s="1173"/>
      <c r="BE31" s="1173"/>
      <c r="BF31" s="1173"/>
      <c r="BG31" s="1173"/>
      <c r="BH31" s="1173"/>
      <c r="BI31" s="1173"/>
      <c r="BJ31" s="1173"/>
      <c r="BK31" s="1120"/>
      <c r="BL31" s="1120"/>
    </row>
    <row r="32" spans="1:64" s="401" customFormat="1" x14ac:dyDescent="0.3">
      <c r="A32" s="1154">
        <v>45</v>
      </c>
      <c r="B32" s="1222"/>
      <c r="C32" s="1153">
        <v>45</v>
      </c>
      <c r="D32" s="1203" t="e">
        <v>#VALUE!</v>
      </c>
      <c r="E32" s="1203"/>
      <c r="F32" s="1170"/>
      <c r="G32" s="1171"/>
      <c r="H32" s="1171"/>
      <c r="I32" s="1171"/>
      <c r="J32" s="1171"/>
      <c r="K32" s="1171"/>
      <c r="L32" s="1172"/>
      <c r="M32" s="1173"/>
      <c r="N32" s="1173"/>
      <c r="O32" s="1174"/>
      <c r="P32" s="1174"/>
      <c r="Q32" s="1174"/>
      <c r="R32" s="1174"/>
      <c r="S32" s="1174"/>
      <c r="T32" s="1174"/>
      <c r="U32" s="1174"/>
      <c r="V32" s="1174"/>
      <c r="W32" s="1174"/>
      <c r="X32" s="1174"/>
      <c r="Y32" s="1174"/>
      <c r="Z32" s="1174"/>
      <c r="AA32" s="1174"/>
      <c r="AB32" s="1174"/>
      <c r="AC32" s="1174"/>
      <c r="AD32" s="1173"/>
      <c r="AE32" s="1173"/>
      <c r="AF32" s="1173"/>
      <c r="AG32" s="1173"/>
      <c r="AH32" s="1173"/>
      <c r="AI32" s="1173"/>
      <c r="AJ32" s="1173"/>
      <c r="AK32" s="1173"/>
      <c r="AL32" s="1173"/>
      <c r="AM32" s="1173"/>
      <c r="AN32" s="1173"/>
      <c r="AO32" s="1173"/>
      <c r="AP32" s="1173"/>
      <c r="AQ32" s="1173"/>
      <c r="AR32" s="1173"/>
      <c r="AS32" s="1173"/>
      <c r="AT32" s="1173"/>
      <c r="AU32" s="1173"/>
      <c r="AV32" s="1173"/>
      <c r="AW32" s="1173"/>
      <c r="AX32" s="1173"/>
      <c r="AY32" s="1173"/>
      <c r="AZ32" s="1173"/>
      <c r="BA32" s="1173"/>
      <c r="BB32" s="1173"/>
      <c r="BC32" s="1173"/>
      <c r="BD32" s="1173"/>
      <c r="BE32" s="1173"/>
      <c r="BF32" s="1173"/>
      <c r="BG32" s="1173"/>
      <c r="BH32" s="1173"/>
      <c r="BI32" s="1173"/>
      <c r="BJ32" s="1173"/>
      <c r="BK32" s="1120"/>
      <c r="BL32" s="1120"/>
    </row>
    <row r="33" spans="1:64" s="401" customFormat="1" ht="39.6" x14ac:dyDescent="0.3">
      <c r="A33" s="1154">
        <v>46</v>
      </c>
      <c r="B33" s="1222"/>
      <c r="C33" s="1153">
        <v>46</v>
      </c>
      <c r="D33" s="1159" t="s">
        <v>1406</v>
      </c>
      <c r="E33" s="1159"/>
      <c r="F33" s="1170"/>
      <c r="G33" s="1171"/>
      <c r="H33" s="1171"/>
      <c r="I33" s="1171"/>
      <c r="J33" s="1171"/>
      <c r="K33" s="1171"/>
      <c r="L33" s="1172"/>
      <c r="M33" s="1173"/>
      <c r="N33" s="1173"/>
      <c r="O33" s="1174"/>
      <c r="P33" s="1174"/>
      <c r="Q33" s="1174"/>
      <c r="R33" s="1174"/>
      <c r="S33" s="1174"/>
      <c r="T33" s="1174"/>
      <c r="U33" s="1174"/>
      <c r="V33" s="1174"/>
      <c r="W33" s="1174"/>
      <c r="X33" s="1174"/>
      <c r="Y33" s="1174"/>
      <c r="Z33" s="1174"/>
      <c r="AA33" s="1174"/>
      <c r="AB33" s="1174"/>
      <c r="AC33" s="1174"/>
      <c r="AD33" s="1173"/>
      <c r="AE33" s="1173"/>
      <c r="AF33" s="1173"/>
      <c r="AG33" s="1173"/>
      <c r="AH33" s="1173"/>
      <c r="AI33" s="1173"/>
      <c r="AJ33" s="1173"/>
      <c r="AK33" s="1173"/>
      <c r="AL33" s="1173"/>
      <c r="AM33" s="1173"/>
      <c r="AN33" s="1173"/>
      <c r="AO33" s="1173"/>
      <c r="AP33" s="1173"/>
      <c r="AQ33" s="1173"/>
      <c r="AR33" s="1173"/>
      <c r="AS33" s="1173"/>
      <c r="AT33" s="1173"/>
      <c r="AU33" s="1173"/>
      <c r="AV33" s="1173"/>
      <c r="AW33" s="1173"/>
      <c r="AX33" s="1173"/>
      <c r="AY33" s="1173"/>
      <c r="AZ33" s="1173"/>
      <c r="BA33" s="1173"/>
      <c r="BB33" s="1173"/>
      <c r="BC33" s="1173"/>
      <c r="BD33" s="1173"/>
      <c r="BE33" s="1173"/>
      <c r="BF33" s="1173"/>
      <c r="BG33" s="1173"/>
      <c r="BH33" s="1173"/>
      <c r="BI33" s="1173"/>
      <c r="BJ33" s="1173"/>
      <c r="BK33" s="1120"/>
      <c r="BL33" s="1120"/>
    </row>
    <row r="34" spans="1:64" s="401" customFormat="1" x14ac:dyDescent="0.3">
      <c r="A34" s="1154">
        <v>47</v>
      </c>
      <c r="B34" s="1222"/>
      <c r="C34" s="1153">
        <v>47</v>
      </c>
      <c r="D34" s="1158" t="s">
        <v>379</v>
      </c>
      <c r="E34" s="1158"/>
      <c r="F34" s="1170"/>
      <c r="G34" s="1171"/>
      <c r="H34" s="1171"/>
      <c r="I34" s="1171"/>
      <c r="J34" s="1171"/>
      <c r="K34" s="1171"/>
      <c r="L34" s="1172"/>
      <c r="M34" s="1173"/>
      <c r="N34" s="1173"/>
      <c r="O34" s="1174"/>
      <c r="P34" s="1174"/>
      <c r="Q34" s="1174"/>
      <c r="R34" s="1174"/>
      <c r="S34" s="1174"/>
      <c r="T34" s="1174"/>
      <c r="U34" s="1174"/>
      <c r="V34" s="1174"/>
      <c r="W34" s="1174"/>
      <c r="X34" s="1174"/>
      <c r="Y34" s="1174"/>
      <c r="Z34" s="1174"/>
      <c r="AA34" s="1174"/>
      <c r="AB34" s="1174"/>
      <c r="AC34" s="1174"/>
      <c r="AD34" s="1173"/>
      <c r="AE34" s="1173"/>
      <c r="AF34" s="1173"/>
      <c r="AG34" s="1173"/>
      <c r="AH34" s="1173"/>
      <c r="AI34" s="1173"/>
      <c r="AJ34" s="1173"/>
      <c r="AK34" s="1173"/>
      <c r="AL34" s="1173"/>
      <c r="AM34" s="1173"/>
      <c r="AN34" s="1173"/>
      <c r="AO34" s="1173"/>
      <c r="AP34" s="1173"/>
      <c r="AQ34" s="1173"/>
      <c r="AR34" s="1173"/>
      <c r="AS34" s="1173"/>
      <c r="AT34" s="1173"/>
      <c r="AU34" s="1173"/>
      <c r="AV34" s="1173"/>
      <c r="AW34" s="1173"/>
      <c r="AX34" s="1173"/>
      <c r="AY34" s="1173"/>
      <c r="AZ34" s="1173"/>
      <c r="BA34" s="1173"/>
      <c r="BB34" s="1173"/>
      <c r="BC34" s="1173"/>
      <c r="BD34" s="1173"/>
      <c r="BE34" s="1173"/>
      <c r="BF34" s="1173"/>
      <c r="BG34" s="1173"/>
      <c r="BH34" s="1173"/>
      <c r="BI34" s="1173"/>
      <c r="BJ34" s="1173"/>
      <c r="BK34" s="1120"/>
      <c r="BL34" s="1120"/>
    </row>
    <row r="35" spans="1:64" s="401" customFormat="1" x14ac:dyDescent="0.3">
      <c r="A35" s="1154">
        <v>48</v>
      </c>
      <c r="B35" s="1222"/>
      <c r="C35" s="1153">
        <v>48</v>
      </c>
      <c r="D35" s="1158" t="s">
        <v>123</v>
      </c>
      <c r="E35" s="1158"/>
      <c r="F35" s="1170"/>
      <c r="G35" s="1171"/>
      <c r="H35" s="1171"/>
      <c r="I35" s="1171"/>
      <c r="J35" s="1171"/>
      <c r="K35" s="1171"/>
      <c r="L35" s="1172"/>
      <c r="M35" s="1173"/>
      <c r="N35" s="1173"/>
      <c r="O35" s="1174"/>
      <c r="P35" s="1174"/>
      <c r="Q35" s="1174"/>
      <c r="R35" s="1174"/>
      <c r="S35" s="1174"/>
      <c r="T35" s="1174"/>
      <c r="U35" s="1174"/>
      <c r="V35" s="1174"/>
      <c r="W35" s="1174"/>
      <c r="X35" s="1174"/>
      <c r="Y35" s="1174"/>
      <c r="Z35" s="1174"/>
      <c r="AA35" s="1174"/>
      <c r="AB35" s="1174"/>
      <c r="AC35" s="1174"/>
      <c r="AD35" s="1173"/>
      <c r="AE35" s="1173"/>
      <c r="AF35" s="1173"/>
      <c r="AG35" s="1173"/>
      <c r="AH35" s="1173"/>
      <c r="AI35" s="1173"/>
      <c r="AJ35" s="1173"/>
      <c r="AK35" s="1173"/>
      <c r="AL35" s="1173"/>
      <c r="AM35" s="1173"/>
      <c r="AN35" s="1173"/>
      <c r="AO35" s="1173"/>
      <c r="AP35" s="1173"/>
      <c r="AQ35" s="1173"/>
      <c r="AR35" s="1173"/>
      <c r="AS35" s="1173"/>
      <c r="AT35" s="1173"/>
      <c r="AU35" s="1173"/>
      <c r="AV35" s="1173"/>
      <c r="AW35" s="1173"/>
      <c r="AX35" s="1173"/>
      <c r="AY35" s="1173"/>
      <c r="AZ35" s="1173"/>
      <c r="BA35" s="1173"/>
      <c r="BB35" s="1173"/>
      <c r="BC35" s="1173"/>
      <c r="BD35" s="1173"/>
      <c r="BE35" s="1173"/>
      <c r="BF35" s="1173"/>
      <c r="BG35" s="1173"/>
      <c r="BH35" s="1173"/>
      <c r="BI35" s="1173"/>
      <c r="BJ35" s="1173"/>
      <c r="BK35" s="1120"/>
      <c r="BL35" s="1120"/>
    </row>
    <row r="36" spans="1:64" s="401" customFormat="1" x14ac:dyDescent="0.3">
      <c r="A36" s="1154">
        <v>49</v>
      </c>
      <c r="B36" s="1222"/>
      <c r="C36" s="1153">
        <v>49</v>
      </c>
      <c r="D36" s="1203" t="e">
        <v>#VALUE!</v>
      </c>
      <c r="E36" s="1203"/>
      <c r="F36" s="1170"/>
      <c r="G36" s="1171"/>
      <c r="H36" s="1171"/>
      <c r="I36" s="1171"/>
      <c r="J36" s="1171"/>
      <c r="K36" s="1171"/>
      <c r="L36" s="1172"/>
      <c r="M36" s="1173"/>
      <c r="N36" s="1173"/>
      <c r="O36" s="1174"/>
      <c r="P36" s="1174"/>
      <c r="Q36" s="1174"/>
      <c r="R36" s="1174"/>
      <c r="S36" s="1174"/>
      <c r="T36" s="1174"/>
      <c r="U36" s="1174"/>
      <c r="V36" s="1174"/>
      <c r="W36" s="1174"/>
      <c r="X36" s="1174"/>
      <c r="Y36" s="1174"/>
      <c r="Z36" s="1174"/>
      <c r="AA36" s="1174"/>
      <c r="AB36" s="1174"/>
      <c r="AC36" s="1174"/>
      <c r="AD36" s="1173"/>
      <c r="AE36" s="1173"/>
      <c r="AF36" s="1173"/>
      <c r="AG36" s="1173"/>
      <c r="AH36" s="1173"/>
      <c r="AI36" s="1173"/>
      <c r="AJ36" s="1173"/>
      <c r="AK36" s="1173"/>
      <c r="AL36" s="1173"/>
      <c r="AM36" s="1173"/>
      <c r="AN36" s="1173"/>
      <c r="AO36" s="1173"/>
      <c r="AP36" s="1173"/>
      <c r="AQ36" s="1173"/>
      <c r="AR36" s="1173"/>
      <c r="AS36" s="1173"/>
      <c r="AT36" s="1173"/>
      <c r="AU36" s="1173"/>
      <c r="AV36" s="1173"/>
      <c r="AW36" s="1173"/>
      <c r="AX36" s="1173"/>
      <c r="AY36" s="1173"/>
      <c r="AZ36" s="1173"/>
      <c r="BA36" s="1173"/>
      <c r="BB36" s="1173"/>
      <c r="BC36" s="1173"/>
      <c r="BD36" s="1173"/>
      <c r="BE36" s="1173"/>
      <c r="BF36" s="1173"/>
      <c r="BG36" s="1173"/>
      <c r="BH36" s="1173"/>
      <c r="BI36" s="1173"/>
      <c r="BJ36" s="1173"/>
      <c r="BK36" s="1120"/>
      <c r="BL36" s="1120"/>
    </row>
    <row r="37" spans="1:64" s="401" customFormat="1" x14ac:dyDescent="0.3">
      <c r="A37" s="1154">
        <v>50</v>
      </c>
      <c r="B37" s="1222"/>
      <c r="C37" s="1153">
        <v>50</v>
      </c>
      <c r="D37" s="1203" t="e">
        <v>#VALUE!</v>
      </c>
      <c r="E37" s="1203"/>
      <c r="F37" s="1170"/>
      <c r="G37" s="1171"/>
      <c r="H37" s="1171"/>
      <c r="I37" s="1171"/>
      <c r="J37" s="1171"/>
      <c r="K37" s="1171"/>
      <c r="L37" s="1172"/>
      <c r="M37" s="1173"/>
      <c r="N37" s="1173"/>
      <c r="O37" s="1174"/>
      <c r="P37" s="1174"/>
      <c r="Q37" s="1174"/>
      <c r="R37" s="1174"/>
      <c r="S37" s="1174"/>
      <c r="T37" s="1174"/>
      <c r="U37" s="1174"/>
      <c r="V37" s="1174"/>
      <c r="W37" s="1174"/>
      <c r="X37" s="1174"/>
      <c r="Y37" s="1174"/>
      <c r="Z37" s="1174"/>
      <c r="AA37" s="1174"/>
      <c r="AB37" s="1174"/>
      <c r="AC37" s="1174"/>
      <c r="AD37" s="1173"/>
      <c r="AE37" s="1173"/>
      <c r="AF37" s="1173"/>
      <c r="AG37" s="1173"/>
      <c r="AH37" s="1173"/>
      <c r="AI37" s="1173"/>
      <c r="AJ37" s="1173"/>
      <c r="AK37" s="1173"/>
      <c r="AL37" s="1173"/>
      <c r="AM37" s="1173"/>
      <c r="AN37" s="1173"/>
      <c r="AO37" s="1173"/>
      <c r="AP37" s="1173"/>
      <c r="AQ37" s="1173"/>
      <c r="AR37" s="1173"/>
      <c r="AS37" s="1173"/>
      <c r="AT37" s="1173"/>
      <c r="AU37" s="1173"/>
      <c r="AV37" s="1173"/>
      <c r="AW37" s="1173"/>
      <c r="AX37" s="1173"/>
      <c r="AY37" s="1173"/>
      <c r="AZ37" s="1173"/>
      <c r="BA37" s="1173"/>
      <c r="BB37" s="1173"/>
      <c r="BC37" s="1173"/>
      <c r="BD37" s="1173"/>
      <c r="BE37" s="1173"/>
      <c r="BF37" s="1173"/>
      <c r="BG37" s="1173"/>
      <c r="BH37" s="1173"/>
      <c r="BI37" s="1173"/>
      <c r="BJ37" s="1173"/>
      <c r="BK37" s="1120"/>
      <c r="BL37" s="1120"/>
    </row>
    <row r="38" spans="1:64" s="401" customFormat="1" x14ac:dyDescent="0.3">
      <c r="A38" s="1154">
        <v>51</v>
      </c>
      <c r="B38" s="1222"/>
      <c r="C38" s="1153">
        <v>51</v>
      </c>
      <c r="D38" s="1203" t="e">
        <v>#VALUE!</v>
      </c>
      <c r="E38" s="1203"/>
      <c r="F38" s="1170"/>
      <c r="G38" s="1171"/>
      <c r="H38" s="1171"/>
      <c r="I38" s="1171"/>
      <c r="J38" s="1171"/>
      <c r="K38" s="1171"/>
      <c r="L38" s="1172"/>
      <c r="M38" s="1173"/>
      <c r="N38" s="1173"/>
      <c r="O38" s="1174"/>
      <c r="P38" s="1174"/>
      <c r="Q38" s="1174"/>
      <c r="R38" s="1174"/>
      <c r="S38" s="1174"/>
      <c r="T38" s="1174"/>
      <c r="U38" s="1174"/>
      <c r="V38" s="1174"/>
      <c r="W38" s="1174"/>
      <c r="X38" s="1174"/>
      <c r="Y38" s="1174"/>
      <c r="Z38" s="1174"/>
      <c r="AA38" s="1174"/>
      <c r="AB38" s="1174"/>
      <c r="AC38" s="1174"/>
      <c r="AD38" s="1173"/>
      <c r="AE38" s="1173"/>
      <c r="AF38" s="1173"/>
      <c r="AG38" s="1173"/>
      <c r="AH38" s="1173"/>
      <c r="AI38" s="1173"/>
      <c r="AJ38" s="1173"/>
      <c r="AK38" s="1173"/>
      <c r="AL38" s="1173"/>
      <c r="AM38" s="1173"/>
      <c r="AN38" s="1173"/>
      <c r="AO38" s="1173"/>
      <c r="AP38" s="1173"/>
      <c r="AQ38" s="1173"/>
      <c r="AR38" s="1173"/>
      <c r="AS38" s="1173"/>
      <c r="AT38" s="1173"/>
      <c r="AU38" s="1173"/>
      <c r="AV38" s="1173"/>
      <c r="AW38" s="1173"/>
      <c r="AX38" s="1173"/>
      <c r="AY38" s="1173"/>
      <c r="AZ38" s="1173"/>
      <c r="BA38" s="1173"/>
      <c r="BB38" s="1173"/>
      <c r="BC38" s="1173"/>
      <c r="BD38" s="1173"/>
      <c r="BE38" s="1173"/>
      <c r="BF38" s="1173"/>
      <c r="BG38" s="1173"/>
      <c r="BH38" s="1173"/>
      <c r="BI38" s="1173"/>
      <c r="BJ38" s="1173"/>
      <c r="BK38" s="1120"/>
      <c r="BL38" s="1120"/>
    </row>
    <row r="39" spans="1:64" s="401" customFormat="1" ht="28.8" x14ac:dyDescent="0.3">
      <c r="A39" s="1154">
        <v>52</v>
      </c>
      <c r="B39" s="1222"/>
      <c r="C39" s="1153">
        <v>52</v>
      </c>
      <c r="D39" s="1158" t="s">
        <v>238</v>
      </c>
      <c r="E39" s="1158"/>
      <c r="F39" s="1170"/>
      <c r="G39" s="1171"/>
      <c r="H39" s="1171"/>
      <c r="I39" s="1171"/>
      <c r="J39" s="1171"/>
      <c r="K39" s="1171"/>
      <c r="L39" s="1172"/>
      <c r="M39" s="1173"/>
      <c r="N39" s="1173"/>
      <c r="O39" s="1174"/>
      <c r="P39" s="1174"/>
      <c r="Q39" s="1174"/>
      <c r="R39" s="1174"/>
      <c r="S39" s="1174"/>
      <c r="T39" s="1174"/>
      <c r="U39" s="1174"/>
      <c r="V39" s="1174"/>
      <c r="W39" s="1174"/>
      <c r="X39" s="1174"/>
      <c r="Y39" s="1174"/>
      <c r="Z39" s="1174"/>
      <c r="AA39" s="1174"/>
      <c r="AB39" s="1174"/>
      <c r="AC39" s="1174"/>
      <c r="AD39" s="1173"/>
      <c r="AE39" s="1173"/>
      <c r="AF39" s="1173"/>
      <c r="AG39" s="1173"/>
      <c r="AH39" s="1173"/>
      <c r="AI39" s="1173"/>
      <c r="AJ39" s="1173"/>
      <c r="AK39" s="1173"/>
      <c r="AL39" s="1173"/>
      <c r="AM39" s="1173"/>
      <c r="AN39" s="1173"/>
      <c r="AO39" s="1173"/>
      <c r="AP39" s="1173"/>
      <c r="AQ39" s="1173"/>
      <c r="AR39" s="1173"/>
      <c r="AS39" s="1173"/>
      <c r="AT39" s="1173"/>
      <c r="AU39" s="1173"/>
      <c r="AV39" s="1173"/>
      <c r="AW39" s="1173"/>
      <c r="AX39" s="1173"/>
      <c r="AY39" s="1173"/>
      <c r="AZ39" s="1173"/>
      <c r="BA39" s="1173"/>
      <c r="BB39" s="1173"/>
      <c r="BC39" s="1173"/>
      <c r="BD39" s="1173"/>
      <c r="BE39" s="1173"/>
      <c r="BF39" s="1173"/>
      <c r="BG39" s="1173"/>
      <c r="BH39" s="1173"/>
      <c r="BI39" s="1173"/>
      <c r="BJ39" s="1173"/>
      <c r="BK39" s="1120"/>
      <c r="BL39" s="1120"/>
    </row>
    <row r="40" spans="1:64" s="401" customFormat="1" x14ac:dyDescent="0.3">
      <c r="A40" s="1154">
        <v>53</v>
      </c>
      <c r="B40" s="1222"/>
      <c r="C40" s="1153">
        <v>53</v>
      </c>
      <c r="D40" s="1158" t="s">
        <v>1407</v>
      </c>
      <c r="E40" s="1158"/>
      <c r="F40" s="1170"/>
      <c r="G40" s="1171"/>
      <c r="H40" s="1171"/>
      <c r="I40" s="1171"/>
      <c r="J40" s="1171"/>
      <c r="K40" s="1171"/>
      <c r="L40" s="1172"/>
      <c r="M40" s="1173"/>
      <c r="N40" s="1173"/>
      <c r="O40" s="1174"/>
      <c r="P40" s="1174"/>
      <c r="Q40" s="1174"/>
      <c r="R40" s="1174"/>
      <c r="S40" s="1174"/>
      <c r="T40" s="1174"/>
      <c r="U40" s="1174"/>
      <c r="V40" s="1174"/>
      <c r="W40" s="1174"/>
      <c r="X40" s="1174"/>
      <c r="Y40" s="1174"/>
      <c r="Z40" s="1174"/>
      <c r="AA40" s="1174"/>
      <c r="AB40" s="1174"/>
      <c r="AC40" s="1174"/>
      <c r="AD40" s="1173"/>
      <c r="AE40" s="1173"/>
      <c r="AF40" s="1173"/>
      <c r="AG40" s="1173"/>
      <c r="AH40" s="1173"/>
      <c r="AI40" s="1173"/>
      <c r="AJ40" s="1173"/>
      <c r="AK40" s="1173"/>
      <c r="AL40" s="1173"/>
      <c r="AM40" s="1173"/>
      <c r="AN40" s="1173"/>
      <c r="AO40" s="1173"/>
      <c r="AP40" s="1173"/>
      <c r="AQ40" s="1173"/>
      <c r="AR40" s="1173"/>
      <c r="AS40" s="1173"/>
      <c r="AT40" s="1173"/>
      <c r="AU40" s="1173"/>
      <c r="AV40" s="1173"/>
      <c r="AW40" s="1173"/>
      <c r="AX40" s="1173"/>
      <c r="AY40" s="1173"/>
      <c r="AZ40" s="1173"/>
      <c r="BA40" s="1173"/>
      <c r="BB40" s="1173"/>
      <c r="BC40" s="1173"/>
      <c r="BD40" s="1173"/>
      <c r="BE40" s="1173"/>
      <c r="BF40" s="1173"/>
      <c r="BG40" s="1173"/>
      <c r="BH40" s="1173"/>
      <c r="BI40" s="1173"/>
      <c r="BJ40" s="1173"/>
      <c r="BK40" s="1120"/>
      <c r="BL40" s="1120"/>
    </row>
    <row r="41" spans="1:64" s="401" customFormat="1" x14ac:dyDescent="0.3">
      <c r="A41" s="1154">
        <v>54</v>
      </c>
      <c r="B41" s="1222"/>
      <c r="C41" s="1153">
        <v>54</v>
      </c>
      <c r="D41" s="1158" t="s">
        <v>1408</v>
      </c>
      <c r="E41" s="1158"/>
      <c r="F41" s="1170"/>
      <c r="G41" s="1171"/>
      <c r="H41" s="1171"/>
      <c r="I41" s="1171"/>
      <c r="J41" s="1171"/>
      <c r="K41" s="1171"/>
      <c r="L41" s="1172"/>
      <c r="M41" s="1173"/>
      <c r="N41" s="1173"/>
      <c r="O41" s="1174"/>
      <c r="P41" s="1174"/>
      <c r="Q41" s="1174"/>
      <c r="R41" s="1174"/>
      <c r="S41" s="1174"/>
      <c r="T41" s="1174"/>
      <c r="U41" s="1174"/>
      <c r="V41" s="1174"/>
      <c r="W41" s="1174"/>
      <c r="X41" s="1174"/>
      <c r="Y41" s="1174"/>
      <c r="Z41" s="1174"/>
      <c r="AA41" s="1174"/>
      <c r="AB41" s="1174"/>
      <c r="AC41" s="1174"/>
      <c r="AD41" s="1173"/>
      <c r="AE41" s="1173"/>
      <c r="AF41" s="1173"/>
      <c r="AG41" s="1173"/>
      <c r="AH41" s="1173"/>
      <c r="AI41" s="1173"/>
      <c r="AJ41" s="1173"/>
      <c r="AK41" s="1173"/>
      <c r="AL41" s="1173"/>
      <c r="AM41" s="1173"/>
      <c r="AN41" s="1173"/>
      <c r="AO41" s="1173"/>
      <c r="AP41" s="1173"/>
      <c r="AQ41" s="1173"/>
      <c r="AR41" s="1173"/>
      <c r="AS41" s="1173"/>
      <c r="AT41" s="1173"/>
      <c r="AU41" s="1173"/>
      <c r="AV41" s="1173"/>
      <c r="AW41" s="1173"/>
      <c r="AX41" s="1173"/>
      <c r="AY41" s="1173"/>
      <c r="AZ41" s="1173"/>
      <c r="BA41" s="1173"/>
      <c r="BB41" s="1173"/>
      <c r="BC41" s="1173"/>
      <c r="BD41" s="1173"/>
      <c r="BE41" s="1173"/>
      <c r="BF41" s="1173"/>
      <c r="BG41" s="1173"/>
      <c r="BH41" s="1173"/>
      <c r="BI41" s="1173"/>
      <c r="BJ41" s="1173"/>
      <c r="BK41" s="1120"/>
      <c r="BL41" s="1120"/>
    </row>
    <row r="42" spans="1:64" s="401" customFormat="1" ht="28.8" x14ac:dyDescent="0.3">
      <c r="A42" s="1154">
        <v>55</v>
      </c>
      <c r="B42" s="1222"/>
      <c r="C42" s="1153">
        <v>55</v>
      </c>
      <c r="D42" s="1158" t="s">
        <v>248</v>
      </c>
      <c r="E42" s="1158"/>
      <c r="F42" s="1170"/>
      <c r="G42" s="1171"/>
      <c r="H42" s="1171"/>
      <c r="I42" s="1171"/>
      <c r="J42" s="1171"/>
      <c r="K42" s="1171"/>
      <c r="L42" s="1172"/>
      <c r="M42" s="1173"/>
      <c r="N42" s="1173"/>
      <c r="O42" s="1174"/>
      <c r="P42" s="1174"/>
      <c r="Q42" s="1174"/>
      <c r="R42" s="1174"/>
      <c r="S42" s="1174"/>
      <c r="T42" s="1174"/>
      <c r="U42" s="1174"/>
      <c r="V42" s="1174"/>
      <c r="W42" s="1174"/>
      <c r="X42" s="1174"/>
      <c r="Y42" s="1174"/>
      <c r="Z42" s="1174"/>
      <c r="AA42" s="1174"/>
      <c r="AB42" s="1174"/>
      <c r="AC42" s="1174"/>
      <c r="AD42" s="1173"/>
      <c r="AE42" s="1173"/>
      <c r="AF42" s="1173"/>
      <c r="AG42" s="1173"/>
      <c r="AH42" s="1173"/>
      <c r="AI42" s="1173"/>
      <c r="AJ42" s="1173"/>
      <c r="AK42" s="1173"/>
      <c r="AL42" s="1173"/>
      <c r="AM42" s="1173"/>
      <c r="AN42" s="1173"/>
      <c r="AO42" s="1173"/>
      <c r="AP42" s="1173"/>
      <c r="AQ42" s="1173"/>
      <c r="AR42" s="1173"/>
      <c r="AS42" s="1173"/>
      <c r="AT42" s="1173"/>
      <c r="AU42" s="1173"/>
      <c r="AV42" s="1173"/>
      <c r="AW42" s="1173"/>
      <c r="AX42" s="1173"/>
      <c r="AY42" s="1173"/>
      <c r="AZ42" s="1173"/>
      <c r="BA42" s="1173"/>
      <c r="BB42" s="1173"/>
      <c r="BC42" s="1173"/>
      <c r="BD42" s="1173"/>
      <c r="BE42" s="1173"/>
      <c r="BF42" s="1173"/>
      <c r="BG42" s="1173"/>
      <c r="BH42" s="1173"/>
      <c r="BI42" s="1173"/>
      <c r="BJ42" s="1173"/>
      <c r="BK42" s="1120"/>
      <c r="BL42" s="1120"/>
    </row>
    <row r="43" spans="1:64" s="402" customFormat="1" x14ac:dyDescent="0.3">
      <c r="A43" s="1154">
        <v>61</v>
      </c>
      <c r="B43" s="1222"/>
      <c r="C43" s="1153">
        <v>61</v>
      </c>
      <c r="D43" s="1203" t="e">
        <v>#VALUE!</v>
      </c>
      <c r="E43" s="1203"/>
      <c r="F43" s="1170"/>
      <c r="G43" s="1171"/>
      <c r="H43" s="1171"/>
      <c r="I43" s="1171"/>
      <c r="J43" s="1171"/>
      <c r="K43" s="1171"/>
      <c r="L43" s="1172"/>
      <c r="M43" s="1173"/>
      <c r="N43" s="1173"/>
      <c r="O43" s="1174"/>
      <c r="P43" s="1174"/>
      <c r="Q43" s="1174"/>
      <c r="R43" s="1174"/>
      <c r="S43" s="1174"/>
      <c r="T43" s="1174"/>
      <c r="U43" s="1174"/>
      <c r="V43" s="1174"/>
      <c r="W43" s="1174"/>
      <c r="X43" s="1174"/>
      <c r="Y43" s="1174"/>
      <c r="Z43" s="1174"/>
      <c r="AA43" s="1174"/>
      <c r="AB43" s="1174"/>
      <c r="AC43" s="1174"/>
      <c r="AD43" s="1173"/>
      <c r="AE43" s="1173"/>
      <c r="AF43" s="1173"/>
      <c r="AG43" s="1173"/>
      <c r="AH43" s="1173"/>
      <c r="AI43" s="1173"/>
      <c r="AJ43" s="1173"/>
      <c r="AK43" s="1173"/>
      <c r="AL43" s="1173"/>
      <c r="AM43" s="1173"/>
      <c r="AN43" s="1173"/>
      <c r="AO43" s="1173"/>
      <c r="AP43" s="1173"/>
      <c r="AQ43" s="1173"/>
      <c r="AR43" s="1173"/>
      <c r="AS43" s="1173"/>
      <c r="AT43" s="1173"/>
      <c r="AU43" s="1173"/>
      <c r="AV43" s="1173"/>
      <c r="AW43" s="1173"/>
      <c r="AX43" s="1173"/>
      <c r="AY43" s="1173"/>
      <c r="AZ43" s="1173"/>
      <c r="BA43" s="1173"/>
      <c r="BB43" s="1173"/>
      <c r="BC43" s="1173"/>
      <c r="BD43" s="1173"/>
      <c r="BE43" s="1173"/>
      <c r="BF43" s="1173"/>
      <c r="BG43" s="1173"/>
      <c r="BH43" s="1173"/>
      <c r="BI43" s="1173"/>
      <c r="BJ43" s="1173"/>
      <c r="BK43" s="1120"/>
      <c r="BL43" s="1120"/>
    </row>
    <row r="44" spans="1:64" s="401" customFormat="1" x14ac:dyDescent="0.3">
      <c r="A44" s="1154">
        <v>80</v>
      </c>
      <c r="B44" s="1222"/>
      <c r="C44" s="1153">
        <v>80</v>
      </c>
      <c r="D44" s="1203" t="e">
        <v>#VALUE!</v>
      </c>
      <c r="E44" s="1203"/>
      <c r="F44" s="1170"/>
      <c r="G44" s="1171"/>
      <c r="H44" s="1171"/>
      <c r="I44" s="1171"/>
      <c r="J44" s="1171"/>
      <c r="K44" s="1171"/>
      <c r="L44" s="1172"/>
      <c r="M44" s="1173"/>
      <c r="N44" s="1173"/>
      <c r="O44" s="1174"/>
      <c r="P44" s="1174"/>
      <c r="Q44" s="1174"/>
      <c r="R44" s="1174"/>
      <c r="S44" s="1174"/>
      <c r="T44" s="1174"/>
      <c r="U44" s="1174"/>
      <c r="V44" s="1174"/>
      <c r="W44" s="1174"/>
      <c r="X44" s="1174"/>
      <c r="Y44" s="1174"/>
      <c r="Z44" s="1174"/>
      <c r="AA44" s="1174"/>
      <c r="AB44" s="1174"/>
      <c r="AC44" s="1174"/>
      <c r="AD44" s="1173"/>
      <c r="AE44" s="1173"/>
      <c r="AF44" s="1173"/>
      <c r="AG44" s="1173"/>
      <c r="AH44" s="1173"/>
      <c r="AI44" s="1173"/>
      <c r="AJ44" s="1173"/>
      <c r="AK44" s="1173"/>
      <c r="AL44" s="1173"/>
      <c r="AM44" s="1173"/>
      <c r="AN44" s="1173"/>
      <c r="AO44" s="1173"/>
      <c r="AP44" s="1173"/>
      <c r="AQ44" s="1173"/>
      <c r="AR44" s="1173"/>
      <c r="AS44" s="1173"/>
      <c r="AT44" s="1173"/>
      <c r="AU44" s="1173"/>
      <c r="AV44" s="1173"/>
      <c r="AW44" s="1173"/>
      <c r="AX44" s="1173"/>
      <c r="AY44" s="1173"/>
      <c r="AZ44" s="1173"/>
      <c r="BA44" s="1173"/>
      <c r="BB44" s="1173"/>
      <c r="BC44" s="1173"/>
      <c r="BD44" s="1173"/>
      <c r="BE44" s="1173"/>
      <c r="BF44" s="1173"/>
      <c r="BG44" s="1173"/>
      <c r="BH44" s="1173"/>
      <c r="BI44" s="1173"/>
      <c r="BJ44" s="1173"/>
      <c r="BK44" s="1120"/>
      <c r="BL44" s="1120"/>
    </row>
    <row r="45" spans="1:64" s="401" customFormat="1" x14ac:dyDescent="0.3">
      <c r="A45" s="1154">
        <v>81</v>
      </c>
      <c r="B45" s="1222"/>
      <c r="C45" s="1153">
        <v>81</v>
      </c>
      <c r="D45" s="1203" t="e">
        <v>#VALUE!</v>
      </c>
      <c r="E45" s="1203"/>
      <c r="F45" s="1170"/>
      <c r="G45" s="1171"/>
      <c r="H45" s="1171"/>
      <c r="I45" s="1171"/>
      <c r="J45" s="1171"/>
      <c r="K45" s="1171"/>
      <c r="L45" s="1172"/>
      <c r="M45" s="1173"/>
      <c r="N45" s="1173"/>
      <c r="O45" s="1174"/>
      <c r="P45" s="1174"/>
      <c r="Q45" s="1174"/>
      <c r="R45" s="1174"/>
      <c r="S45" s="1174"/>
      <c r="T45" s="1174"/>
      <c r="U45" s="1174"/>
      <c r="V45" s="1174"/>
      <c r="W45" s="1174"/>
      <c r="X45" s="1174"/>
      <c r="Y45" s="1174"/>
      <c r="Z45" s="1174"/>
      <c r="AA45" s="1174"/>
      <c r="AB45" s="1174"/>
      <c r="AC45" s="1174"/>
      <c r="AD45" s="1173"/>
      <c r="AE45" s="1173"/>
      <c r="AF45" s="1173"/>
      <c r="AG45" s="1173"/>
      <c r="AH45" s="1173"/>
      <c r="AI45" s="1173"/>
      <c r="AJ45" s="1173"/>
      <c r="AK45" s="1173"/>
      <c r="AL45" s="1173"/>
      <c r="AM45" s="1173"/>
      <c r="AN45" s="1173"/>
      <c r="AO45" s="1173"/>
      <c r="AP45" s="1173"/>
      <c r="AQ45" s="1173"/>
      <c r="AR45" s="1173"/>
      <c r="AS45" s="1173"/>
      <c r="AT45" s="1173"/>
      <c r="AU45" s="1173"/>
      <c r="AV45" s="1173"/>
      <c r="AW45" s="1173"/>
      <c r="AX45" s="1173"/>
      <c r="AY45" s="1173"/>
      <c r="AZ45" s="1173"/>
      <c r="BA45" s="1173"/>
      <c r="BB45" s="1173"/>
      <c r="BC45" s="1173"/>
      <c r="BD45" s="1173"/>
      <c r="BE45" s="1173"/>
      <c r="BF45" s="1173"/>
      <c r="BG45" s="1173"/>
      <c r="BH45" s="1173"/>
      <c r="BI45" s="1173"/>
      <c r="BJ45" s="1173"/>
      <c r="BK45" s="1120"/>
      <c r="BL45" s="1120"/>
    </row>
    <row r="46" spans="1:64" s="401" customFormat="1" x14ac:dyDescent="0.3">
      <c r="A46" s="1154">
        <v>82</v>
      </c>
      <c r="B46" s="1222"/>
      <c r="C46" s="1153">
        <v>82</v>
      </c>
      <c r="D46" s="1203" t="e">
        <v>#VALUE!</v>
      </c>
      <c r="E46" s="1203"/>
      <c r="F46" s="1170"/>
      <c r="G46" s="1171"/>
      <c r="H46" s="1171"/>
      <c r="I46" s="1171"/>
      <c r="J46" s="1171"/>
      <c r="K46" s="1171"/>
      <c r="L46" s="1172"/>
      <c r="M46" s="1173"/>
      <c r="N46" s="1173"/>
      <c r="O46" s="1174"/>
      <c r="P46" s="1174"/>
      <c r="Q46" s="1174"/>
      <c r="R46" s="1174"/>
      <c r="S46" s="1174"/>
      <c r="T46" s="1174"/>
      <c r="U46" s="1174"/>
      <c r="V46" s="1174"/>
      <c r="W46" s="1174"/>
      <c r="X46" s="1174"/>
      <c r="Y46" s="1174"/>
      <c r="Z46" s="1174"/>
      <c r="AA46" s="1174"/>
      <c r="AB46" s="1174"/>
      <c r="AC46" s="1174"/>
      <c r="AD46" s="1173"/>
      <c r="AE46" s="1173"/>
      <c r="AF46" s="1173"/>
      <c r="AG46" s="1173"/>
      <c r="AH46" s="1173"/>
      <c r="AI46" s="1173"/>
      <c r="AJ46" s="1173"/>
      <c r="AK46" s="1173"/>
      <c r="AL46" s="1173"/>
      <c r="AM46" s="1173"/>
      <c r="AN46" s="1173"/>
      <c r="AO46" s="1173"/>
      <c r="AP46" s="1173"/>
      <c r="AQ46" s="1173"/>
      <c r="AR46" s="1173"/>
      <c r="AS46" s="1173"/>
      <c r="AT46" s="1173"/>
      <c r="AU46" s="1173"/>
      <c r="AV46" s="1173"/>
      <c r="AW46" s="1173"/>
      <c r="AX46" s="1173"/>
      <c r="AY46" s="1173"/>
      <c r="AZ46" s="1173"/>
      <c r="BA46" s="1173"/>
      <c r="BB46" s="1173"/>
      <c r="BC46" s="1173"/>
      <c r="BD46" s="1173"/>
      <c r="BE46" s="1173"/>
      <c r="BF46" s="1173"/>
      <c r="BG46" s="1173"/>
      <c r="BH46" s="1173"/>
      <c r="BI46" s="1173"/>
      <c r="BJ46" s="1173"/>
      <c r="BK46" s="1120"/>
      <c r="BL46" s="1120"/>
    </row>
    <row r="47" spans="1:64" s="401" customFormat="1" x14ac:dyDescent="0.3">
      <c r="A47" s="1154">
        <v>83</v>
      </c>
      <c r="B47" s="1222"/>
      <c r="C47" s="1153">
        <v>83</v>
      </c>
      <c r="D47" s="1203" t="e">
        <v>#VALUE!</v>
      </c>
      <c r="E47" s="1203"/>
      <c r="F47" s="1170"/>
      <c r="G47" s="1171"/>
      <c r="H47" s="1171"/>
      <c r="I47" s="1171"/>
      <c r="J47" s="1171"/>
      <c r="K47" s="1171"/>
      <c r="L47" s="1172"/>
      <c r="M47" s="1173"/>
      <c r="N47" s="1173"/>
      <c r="O47" s="1174"/>
      <c r="P47" s="1174"/>
      <c r="Q47" s="1174"/>
      <c r="R47" s="1174"/>
      <c r="S47" s="1174"/>
      <c r="T47" s="1174"/>
      <c r="U47" s="1174"/>
      <c r="V47" s="1174"/>
      <c r="W47" s="1174"/>
      <c r="X47" s="1174"/>
      <c r="Y47" s="1174"/>
      <c r="Z47" s="1174"/>
      <c r="AA47" s="1174"/>
      <c r="AB47" s="1174"/>
      <c r="AC47" s="1174"/>
      <c r="AD47" s="1173"/>
      <c r="AE47" s="1173"/>
      <c r="AF47" s="1173"/>
      <c r="AG47" s="1173"/>
      <c r="AH47" s="1173"/>
      <c r="AI47" s="1173"/>
      <c r="AJ47" s="1173"/>
      <c r="AK47" s="1173"/>
      <c r="AL47" s="1173"/>
      <c r="AM47" s="1173"/>
      <c r="AN47" s="1173"/>
      <c r="AO47" s="1173"/>
      <c r="AP47" s="1173"/>
      <c r="AQ47" s="1173"/>
      <c r="AR47" s="1173"/>
      <c r="AS47" s="1173"/>
      <c r="AT47" s="1173"/>
      <c r="AU47" s="1173"/>
      <c r="AV47" s="1173"/>
      <c r="AW47" s="1173"/>
      <c r="AX47" s="1173"/>
      <c r="AY47" s="1173"/>
      <c r="AZ47" s="1173"/>
      <c r="BA47" s="1173"/>
      <c r="BB47" s="1173"/>
      <c r="BC47" s="1173"/>
      <c r="BD47" s="1173"/>
      <c r="BE47" s="1173"/>
      <c r="BF47" s="1173"/>
      <c r="BG47" s="1173"/>
      <c r="BH47" s="1173"/>
      <c r="BI47" s="1173"/>
      <c r="BJ47" s="1173"/>
      <c r="BK47" s="1120"/>
      <c r="BL47" s="1120"/>
    </row>
    <row r="48" spans="1:64" s="401" customFormat="1" x14ac:dyDescent="0.3">
      <c r="A48" s="1154">
        <v>84</v>
      </c>
      <c r="B48" s="1222"/>
      <c r="C48" s="1153">
        <v>84</v>
      </c>
      <c r="D48" s="1203" t="e">
        <v>#VALUE!</v>
      </c>
      <c r="E48" s="1203"/>
      <c r="F48" s="1170"/>
      <c r="G48" s="1171"/>
      <c r="H48" s="1171"/>
      <c r="I48" s="1171"/>
      <c r="J48" s="1171"/>
      <c r="K48" s="1171"/>
      <c r="L48" s="1172"/>
      <c r="M48" s="1173"/>
      <c r="N48" s="1173"/>
      <c r="O48" s="1174"/>
      <c r="P48" s="1174"/>
      <c r="Q48" s="1174"/>
      <c r="R48" s="1174"/>
      <c r="S48" s="1174"/>
      <c r="T48" s="1174"/>
      <c r="U48" s="1174"/>
      <c r="V48" s="1174"/>
      <c r="W48" s="1174"/>
      <c r="X48" s="1174"/>
      <c r="Y48" s="1174"/>
      <c r="Z48" s="1174"/>
      <c r="AA48" s="1174"/>
      <c r="AB48" s="1174"/>
      <c r="AC48" s="1174"/>
      <c r="AD48" s="1173"/>
      <c r="AE48" s="1173"/>
      <c r="AF48" s="1173"/>
      <c r="AG48" s="1173"/>
      <c r="AH48" s="1173"/>
      <c r="AI48" s="1173"/>
      <c r="AJ48" s="1173"/>
      <c r="AK48" s="1173"/>
      <c r="AL48" s="1173"/>
      <c r="AM48" s="1173"/>
      <c r="AN48" s="1173"/>
      <c r="AO48" s="1173"/>
      <c r="AP48" s="1173"/>
      <c r="AQ48" s="1173"/>
      <c r="AR48" s="1173"/>
      <c r="AS48" s="1173"/>
      <c r="AT48" s="1173"/>
      <c r="AU48" s="1173"/>
      <c r="AV48" s="1173"/>
      <c r="AW48" s="1173"/>
      <c r="AX48" s="1173"/>
      <c r="AY48" s="1173"/>
      <c r="AZ48" s="1173"/>
      <c r="BA48" s="1173"/>
      <c r="BB48" s="1173"/>
      <c r="BC48" s="1173"/>
      <c r="BD48" s="1173"/>
      <c r="BE48" s="1173"/>
      <c r="BF48" s="1173"/>
      <c r="BG48" s="1173"/>
      <c r="BH48" s="1173"/>
      <c r="BI48" s="1173"/>
      <c r="BJ48" s="1173"/>
      <c r="BK48" s="1120"/>
      <c r="BL48" s="1120"/>
    </row>
    <row r="49" spans="1:64" s="401" customFormat="1" x14ac:dyDescent="0.3">
      <c r="A49" s="1154">
        <v>85</v>
      </c>
      <c r="B49" s="1222"/>
      <c r="C49" s="1153">
        <v>85</v>
      </c>
      <c r="D49" s="1203" t="e">
        <v>#VALUE!</v>
      </c>
      <c r="E49" s="1203"/>
      <c r="F49" s="1170"/>
      <c r="G49" s="1171"/>
      <c r="H49" s="1171"/>
      <c r="I49" s="1171"/>
      <c r="J49" s="1171"/>
      <c r="K49" s="1171"/>
      <c r="L49" s="1172"/>
      <c r="M49" s="1173"/>
      <c r="N49" s="1173"/>
      <c r="O49" s="1174"/>
      <c r="P49" s="1174"/>
      <c r="Q49" s="1174"/>
      <c r="R49" s="1174"/>
      <c r="S49" s="1174"/>
      <c r="T49" s="1174"/>
      <c r="U49" s="1174"/>
      <c r="V49" s="1174"/>
      <c r="W49" s="1174"/>
      <c r="X49" s="1174"/>
      <c r="Y49" s="1174"/>
      <c r="Z49" s="1174"/>
      <c r="AA49" s="1174"/>
      <c r="AB49" s="1174"/>
      <c r="AC49" s="1174"/>
      <c r="AD49" s="1173"/>
      <c r="AE49" s="1173"/>
      <c r="AF49" s="1173"/>
      <c r="AG49" s="1173"/>
      <c r="AH49" s="1173"/>
      <c r="AI49" s="1173"/>
      <c r="AJ49" s="1173"/>
      <c r="AK49" s="1173"/>
      <c r="AL49" s="1173"/>
      <c r="AM49" s="1173"/>
      <c r="AN49" s="1173"/>
      <c r="AO49" s="1173"/>
      <c r="AP49" s="1173"/>
      <c r="AQ49" s="1173"/>
      <c r="AR49" s="1173"/>
      <c r="AS49" s="1173"/>
      <c r="AT49" s="1173"/>
      <c r="AU49" s="1173"/>
      <c r="AV49" s="1173"/>
      <c r="AW49" s="1173"/>
      <c r="AX49" s="1173"/>
      <c r="AY49" s="1173"/>
      <c r="AZ49" s="1173"/>
      <c r="BA49" s="1173"/>
      <c r="BB49" s="1173"/>
      <c r="BC49" s="1173"/>
      <c r="BD49" s="1173"/>
      <c r="BE49" s="1173"/>
      <c r="BF49" s="1173"/>
      <c r="BG49" s="1173"/>
      <c r="BH49" s="1173"/>
      <c r="BI49" s="1173"/>
      <c r="BJ49" s="1173"/>
      <c r="BK49" s="1120"/>
      <c r="BL49" s="1120"/>
    </row>
    <row r="50" spans="1:64" s="401" customFormat="1" x14ac:dyDescent="0.3">
      <c r="A50" s="1154">
        <v>88</v>
      </c>
      <c r="B50" s="1222"/>
      <c r="C50" s="1153">
        <v>88</v>
      </c>
      <c r="D50" s="1203" t="e">
        <v>#VALUE!</v>
      </c>
      <c r="E50" s="1203"/>
      <c r="F50" s="1170"/>
      <c r="G50" s="1171"/>
      <c r="H50" s="1171"/>
      <c r="I50" s="1171"/>
      <c r="J50" s="1171"/>
      <c r="K50" s="1171"/>
      <c r="L50" s="1172"/>
      <c r="M50" s="1173"/>
      <c r="N50" s="1173"/>
      <c r="O50" s="1174"/>
      <c r="P50" s="1174"/>
      <c r="Q50" s="1174"/>
      <c r="R50" s="1174"/>
      <c r="S50" s="1174"/>
      <c r="T50" s="1174"/>
      <c r="U50" s="1174"/>
      <c r="V50" s="1174"/>
      <c r="W50" s="1174"/>
      <c r="X50" s="1174"/>
      <c r="Y50" s="1174"/>
      <c r="Z50" s="1174"/>
      <c r="AA50" s="1174"/>
      <c r="AB50" s="1174"/>
      <c r="AC50" s="1174"/>
      <c r="AD50" s="1173"/>
      <c r="AE50" s="1173"/>
      <c r="AF50" s="1173"/>
      <c r="AG50" s="1173"/>
      <c r="AH50" s="1173"/>
      <c r="AI50" s="1173"/>
      <c r="AJ50" s="1173"/>
      <c r="AK50" s="1173"/>
      <c r="AL50" s="1173"/>
      <c r="AM50" s="1173"/>
      <c r="AN50" s="1173"/>
      <c r="AO50" s="1173"/>
      <c r="AP50" s="1173"/>
      <c r="AQ50" s="1173"/>
      <c r="AR50" s="1173"/>
      <c r="AS50" s="1173"/>
      <c r="AT50" s="1173"/>
      <c r="AU50" s="1173"/>
      <c r="AV50" s="1173"/>
      <c r="AW50" s="1173"/>
      <c r="AX50" s="1173"/>
      <c r="AY50" s="1173"/>
      <c r="AZ50" s="1173"/>
      <c r="BA50" s="1173"/>
      <c r="BB50" s="1173"/>
      <c r="BC50" s="1173"/>
      <c r="BD50" s="1173"/>
      <c r="BE50" s="1173"/>
      <c r="BF50" s="1173"/>
      <c r="BG50" s="1173"/>
      <c r="BH50" s="1173"/>
      <c r="BI50" s="1173"/>
      <c r="BJ50" s="1173"/>
      <c r="BK50" s="1120"/>
      <c r="BL50" s="1120"/>
    </row>
    <row r="51" spans="1:64" s="401" customFormat="1" x14ac:dyDescent="0.3">
      <c r="A51" s="1154">
        <v>89</v>
      </c>
      <c r="B51" s="1222"/>
      <c r="C51" s="1153">
        <v>89</v>
      </c>
      <c r="D51" s="1203" t="e">
        <v>#VALUE!</v>
      </c>
      <c r="E51" s="1203"/>
      <c r="F51" s="1170"/>
      <c r="G51" s="1171"/>
      <c r="H51" s="1171"/>
      <c r="I51" s="1171"/>
      <c r="J51" s="1171"/>
      <c r="K51" s="1171"/>
      <c r="L51" s="1172"/>
      <c r="M51" s="1173"/>
      <c r="N51" s="1173"/>
      <c r="O51" s="1174"/>
      <c r="P51" s="1174"/>
      <c r="Q51" s="1174"/>
      <c r="R51" s="1174"/>
      <c r="S51" s="1174"/>
      <c r="T51" s="1174"/>
      <c r="U51" s="1174"/>
      <c r="V51" s="1174"/>
      <c r="W51" s="1174"/>
      <c r="X51" s="1174"/>
      <c r="Y51" s="1174"/>
      <c r="Z51" s="1174"/>
      <c r="AA51" s="1174"/>
      <c r="AB51" s="1174"/>
      <c r="AC51" s="1174"/>
      <c r="AD51" s="1173"/>
      <c r="AE51" s="1173"/>
      <c r="AF51" s="1173"/>
      <c r="AG51" s="1173"/>
      <c r="AH51" s="1173"/>
      <c r="AI51" s="1173"/>
      <c r="AJ51" s="1173"/>
      <c r="AK51" s="1173"/>
      <c r="AL51" s="1173"/>
      <c r="AM51" s="1173"/>
      <c r="AN51" s="1173"/>
      <c r="AO51" s="1173"/>
      <c r="AP51" s="1173"/>
      <c r="AQ51" s="1173"/>
      <c r="AR51" s="1173"/>
      <c r="AS51" s="1173"/>
      <c r="AT51" s="1173"/>
      <c r="AU51" s="1173"/>
      <c r="AV51" s="1173"/>
      <c r="AW51" s="1173"/>
      <c r="AX51" s="1173"/>
      <c r="AY51" s="1173"/>
      <c r="AZ51" s="1173"/>
      <c r="BA51" s="1173"/>
      <c r="BB51" s="1173"/>
      <c r="BC51" s="1173"/>
      <c r="BD51" s="1173"/>
      <c r="BE51" s="1173"/>
      <c r="BF51" s="1173"/>
      <c r="BG51" s="1173"/>
      <c r="BH51" s="1173"/>
      <c r="BI51" s="1173"/>
      <c r="BJ51" s="1173"/>
      <c r="BK51" s="1120"/>
      <c r="BL51" s="1120"/>
    </row>
    <row r="52" spans="1:64" s="401" customFormat="1" ht="28.8" x14ac:dyDescent="0.3">
      <c r="A52" s="1154">
        <v>90</v>
      </c>
      <c r="B52" s="1222"/>
      <c r="C52" s="1153">
        <v>90</v>
      </c>
      <c r="D52" s="1158" t="s">
        <v>222</v>
      </c>
      <c r="E52" s="1158"/>
      <c r="F52" s="1170"/>
      <c r="G52" s="1171"/>
      <c r="H52" s="1171"/>
      <c r="I52" s="1171"/>
      <c r="J52" s="1171"/>
      <c r="K52" s="1171"/>
      <c r="L52" s="1172"/>
      <c r="M52" s="1173"/>
      <c r="N52" s="1173"/>
      <c r="O52" s="1174"/>
      <c r="P52" s="1174"/>
      <c r="Q52" s="1174"/>
      <c r="R52" s="1174"/>
      <c r="S52" s="1174"/>
      <c r="T52" s="1174"/>
      <c r="U52" s="1174"/>
      <c r="V52" s="1174"/>
      <c r="W52" s="1174"/>
      <c r="X52" s="1174"/>
      <c r="Y52" s="1174"/>
      <c r="Z52" s="1174"/>
      <c r="AA52" s="1174"/>
      <c r="AB52" s="1174"/>
      <c r="AC52" s="1174"/>
      <c r="AD52" s="1173"/>
      <c r="AE52" s="1173"/>
      <c r="AF52" s="1173"/>
      <c r="AG52" s="1173"/>
      <c r="AH52" s="1173"/>
      <c r="AI52" s="1173"/>
      <c r="AJ52" s="1173"/>
      <c r="AK52" s="1173"/>
      <c r="AL52" s="1173"/>
      <c r="AM52" s="1173"/>
      <c r="AN52" s="1173"/>
      <c r="AO52" s="1173"/>
      <c r="AP52" s="1173"/>
      <c r="AQ52" s="1173"/>
      <c r="AR52" s="1173"/>
      <c r="AS52" s="1173"/>
      <c r="AT52" s="1173"/>
      <c r="AU52" s="1173"/>
      <c r="AV52" s="1173"/>
      <c r="AW52" s="1173"/>
      <c r="AX52" s="1173"/>
      <c r="AY52" s="1173"/>
      <c r="AZ52" s="1173"/>
      <c r="BA52" s="1173"/>
      <c r="BB52" s="1173"/>
      <c r="BC52" s="1173"/>
      <c r="BD52" s="1173"/>
      <c r="BE52" s="1173"/>
      <c r="BF52" s="1173"/>
      <c r="BG52" s="1173"/>
      <c r="BH52" s="1173"/>
      <c r="BI52" s="1173"/>
      <c r="BJ52" s="1173"/>
      <c r="BK52" s="1120"/>
      <c r="BL52" s="1120"/>
    </row>
    <row r="53" spans="1:64" s="401" customFormat="1" x14ac:dyDescent="0.3">
      <c r="A53" s="1154">
        <v>91</v>
      </c>
      <c r="B53" s="1222"/>
      <c r="C53" s="1153">
        <v>91</v>
      </c>
      <c r="D53" s="1158" t="s">
        <v>223</v>
      </c>
      <c r="E53" s="1158"/>
      <c r="F53" s="1170"/>
      <c r="G53" s="1171"/>
      <c r="H53" s="1171"/>
      <c r="I53" s="1171"/>
      <c r="J53" s="1171"/>
      <c r="K53" s="1171"/>
      <c r="L53" s="1172"/>
      <c r="M53" s="1173"/>
      <c r="N53" s="1173"/>
      <c r="O53" s="1174"/>
      <c r="P53" s="1174"/>
      <c r="Q53" s="1174"/>
      <c r="R53" s="1174"/>
      <c r="S53" s="1174"/>
      <c r="T53" s="1174"/>
      <c r="U53" s="1174"/>
      <c r="V53" s="1174"/>
      <c r="W53" s="1174"/>
      <c r="X53" s="1174"/>
      <c r="Y53" s="1174"/>
      <c r="Z53" s="1174"/>
      <c r="AA53" s="1174"/>
      <c r="AB53" s="1174"/>
      <c r="AC53" s="1174"/>
      <c r="AD53" s="1173"/>
      <c r="AE53" s="1173"/>
      <c r="AF53" s="1173"/>
      <c r="AG53" s="1173"/>
      <c r="AH53" s="1173"/>
      <c r="AI53" s="1173"/>
      <c r="AJ53" s="1173"/>
      <c r="AK53" s="1173"/>
      <c r="AL53" s="1173"/>
      <c r="AM53" s="1173"/>
      <c r="AN53" s="1173"/>
      <c r="AO53" s="1173"/>
      <c r="AP53" s="1173"/>
      <c r="AQ53" s="1173"/>
      <c r="AR53" s="1173"/>
      <c r="AS53" s="1173"/>
      <c r="AT53" s="1173"/>
      <c r="AU53" s="1173"/>
      <c r="AV53" s="1173"/>
      <c r="AW53" s="1173"/>
      <c r="AX53" s="1173"/>
      <c r="AY53" s="1173"/>
      <c r="AZ53" s="1173"/>
      <c r="BA53" s="1173"/>
      <c r="BB53" s="1173"/>
      <c r="BC53" s="1173"/>
      <c r="BD53" s="1173"/>
      <c r="BE53" s="1173"/>
      <c r="BF53" s="1173"/>
      <c r="BG53" s="1173"/>
      <c r="BH53" s="1173"/>
      <c r="BI53" s="1173"/>
      <c r="BJ53" s="1173"/>
      <c r="BK53" s="1120"/>
      <c r="BL53" s="1120"/>
    </row>
    <row r="54" spans="1:64" s="401" customFormat="1" x14ac:dyDescent="0.3">
      <c r="A54" s="1154">
        <v>92</v>
      </c>
      <c r="B54" s="1222"/>
      <c r="C54" s="1153">
        <v>92</v>
      </c>
      <c r="D54" s="1158" t="s">
        <v>1409</v>
      </c>
      <c r="E54" s="1158"/>
      <c r="F54" s="1170"/>
      <c r="G54" s="1171"/>
      <c r="H54" s="1171"/>
      <c r="I54" s="1171"/>
      <c r="J54" s="1171"/>
      <c r="K54" s="1171"/>
      <c r="L54" s="1172"/>
      <c r="M54" s="1173"/>
      <c r="N54" s="1173"/>
      <c r="O54" s="1174"/>
      <c r="P54" s="1174"/>
      <c r="Q54" s="1174"/>
      <c r="R54" s="1174"/>
      <c r="S54" s="1174"/>
      <c r="T54" s="1174"/>
      <c r="U54" s="1174"/>
      <c r="V54" s="1174"/>
      <c r="W54" s="1174"/>
      <c r="X54" s="1174"/>
      <c r="Y54" s="1174"/>
      <c r="Z54" s="1174"/>
      <c r="AA54" s="1174"/>
      <c r="AB54" s="1174"/>
      <c r="AC54" s="1174"/>
      <c r="AD54" s="1173"/>
      <c r="AE54" s="1173"/>
      <c r="AF54" s="1173"/>
      <c r="AG54" s="1173"/>
      <c r="AH54" s="1173"/>
      <c r="AI54" s="1173"/>
      <c r="AJ54" s="1173"/>
      <c r="AK54" s="1173"/>
      <c r="AL54" s="1173"/>
      <c r="AM54" s="1173"/>
      <c r="AN54" s="1173"/>
      <c r="AO54" s="1173"/>
      <c r="AP54" s="1173"/>
      <c r="AQ54" s="1173"/>
      <c r="AR54" s="1173"/>
      <c r="AS54" s="1173"/>
      <c r="AT54" s="1173"/>
      <c r="AU54" s="1173"/>
      <c r="AV54" s="1173"/>
      <c r="AW54" s="1173"/>
      <c r="AX54" s="1173"/>
      <c r="AY54" s="1173"/>
      <c r="AZ54" s="1173"/>
      <c r="BA54" s="1173"/>
      <c r="BB54" s="1173"/>
      <c r="BC54" s="1173"/>
      <c r="BD54" s="1173"/>
      <c r="BE54" s="1173"/>
      <c r="BF54" s="1173"/>
      <c r="BG54" s="1173"/>
      <c r="BH54" s="1173"/>
      <c r="BI54" s="1173"/>
      <c r="BJ54" s="1173"/>
      <c r="BK54" s="1120"/>
      <c r="BL54" s="1120"/>
    </row>
    <row r="55" spans="1:64" s="401" customFormat="1" x14ac:dyDescent="0.3">
      <c r="A55" s="1154">
        <v>93</v>
      </c>
      <c r="B55" s="1222"/>
      <c r="C55" s="1153">
        <v>93</v>
      </c>
      <c r="D55" s="1158" t="s">
        <v>236</v>
      </c>
      <c r="E55" s="1158"/>
      <c r="F55" s="1170"/>
      <c r="G55" s="1171"/>
      <c r="H55" s="1171"/>
      <c r="I55" s="1171"/>
      <c r="J55" s="1171"/>
      <c r="K55" s="1171"/>
      <c r="L55" s="1172"/>
      <c r="M55" s="1173"/>
      <c r="N55" s="1173"/>
      <c r="O55" s="1174"/>
      <c r="P55" s="1174"/>
      <c r="Q55" s="1174"/>
      <c r="R55" s="1174"/>
      <c r="S55" s="1174"/>
      <c r="T55" s="1174"/>
      <c r="U55" s="1174"/>
      <c r="V55" s="1174"/>
      <c r="W55" s="1174"/>
      <c r="X55" s="1174"/>
      <c r="Y55" s="1174"/>
      <c r="Z55" s="1174"/>
      <c r="AA55" s="1174"/>
      <c r="AB55" s="1174"/>
      <c r="AC55" s="1174"/>
      <c r="AD55" s="1173"/>
      <c r="AE55" s="1173"/>
      <c r="AF55" s="1173"/>
      <c r="AG55" s="1173"/>
      <c r="AH55" s="1173"/>
      <c r="AI55" s="1173"/>
      <c r="AJ55" s="1173"/>
      <c r="AK55" s="1173"/>
      <c r="AL55" s="1173"/>
      <c r="AM55" s="1173"/>
      <c r="AN55" s="1173"/>
      <c r="AO55" s="1173"/>
      <c r="AP55" s="1173"/>
      <c r="AQ55" s="1173"/>
      <c r="AR55" s="1173"/>
      <c r="AS55" s="1173"/>
      <c r="AT55" s="1173"/>
      <c r="AU55" s="1173"/>
      <c r="AV55" s="1173"/>
      <c r="AW55" s="1173"/>
      <c r="AX55" s="1173"/>
      <c r="AY55" s="1173"/>
      <c r="AZ55" s="1173"/>
      <c r="BA55" s="1173"/>
      <c r="BB55" s="1173"/>
      <c r="BC55" s="1173"/>
      <c r="BD55" s="1173"/>
      <c r="BE55" s="1173"/>
      <c r="BF55" s="1173"/>
      <c r="BG55" s="1173"/>
      <c r="BH55" s="1173"/>
      <c r="BI55" s="1173"/>
      <c r="BJ55" s="1173"/>
      <c r="BK55" s="1120"/>
      <c r="BL55" s="1120"/>
    </row>
    <row r="56" spans="1:64" s="401" customFormat="1" x14ac:dyDescent="0.3">
      <c r="A56" s="1154">
        <v>94</v>
      </c>
      <c r="B56" s="1222"/>
      <c r="C56" s="1153">
        <v>94</v>
      </c>
      <c r="D56" s="1158" t="s">
        <v>239</v>
      </c>
      <c r="E56" s="1158"/>
      <c r="F56" s="1170"/>
      <c r="G56" s="1171"/>
      <c r="H56" s="1171"/>
      <c r="I56" s="1171"/>
      <c r="J56" s="1171"/>
      <c r="K56" s="1171"/>
      <c r="L56" s="1172"/>
      <c r="M56" s="1173"/>
      <c r="N56" s="1173"/>
      <c r="O56" s="1174"/>
      <c r="P56" s="1174"/>
      <c r="Q56" s="1174"/>
      <c r="R56" s="1174"/>
      <c r="S56" s="1174"/>
      <c r="T56" s="1174"/>
      <c r="U56" s="1174"/>
      <c r="V56" s="1174"/>
      <c r="W56" s="1174"/>
      <c r="X56" s="1174"/>
      <c r="Y56" s="1174"/>
      <c r="Z56" s="1174"/>
      <c r="AA56" s="1174"/>
      <c r="AB56" s="1174"/>
      <c r="AC56" s="1174"/>
      <c r="AD56" s="1173"/>
      <c r="AE56" s="1173"/>
      <c r="AF56" s="1173"/>
      <c r="AG56" s="1173"/>
      <c r="AH56" s="1173"/>
      <c r="AI56" s="1173"/>
      <c r="AJ56" s="1173"/>
      <c r="AK56" s="1173"/>
      <c r="AL56" s="1173"/>
      <c r="AM56" s="1173"/>
      <c r="AN56" s="1173"/>
      <c r="AO56" s="1173"/>
      <c r="AP56" s="1173"/>
      <c r="AQ56" s="1173"/>
      <c r="AR56" s="1173"/>
      <c r="AS56" s="1173"/>
      <c r="AT56" s="1173"/>
      <c r="AU56" s="1173"/>
      <c r="AV56" s="1173"/>
      <c r="AW56" s="1173"/>
      <c r="AX56" s="1173"/>
      <c r="AY56" s="1173"/>
      <c r="AZ56" s="1173"/>
      <c r="BA56" s="1173"/>
      <c r="BB56" s="1173"/>
      <c r="BC56" s="1173"/>
      <c r="BD56" s="1173"/>
      <c r="BE56" s="1173"/>
      <c r="BF56" s="1173"/>
      <c r="BG56" s="1173"/>
      <c r="BH56" s="1173"/>
      <c r="BI56" s="1173"/>
      <c r="BJ56" s="1173"/>
      <c r="BK56" s="1120"/>
      <c r="BL56" s="1120"/>
    </row>
    <row r="57" spans="1:64" s="401" customFormat="1" x14ac:dyDescent="0.3">
      <c r="A57" s="1154">
        <v>97</v>
      </c>
      <c r="B57" s="1222"/>
      <c r="C57" s="1153">
        <v>97</v>
      </c>
      <c r="D57" s="1158" t="s">
        <v>235</v>
      </c>
      <c r="E57" s="1158"/>
      <c r="F57" s="1170"/>
      <c r="G57" s="1171"/>
      <c r="H57" s="1171"/>
      <c r="I57" s="1171"/>
      <c r="J57" s="1171"/>
      <c r="K57" s="1171"/>
      <c r="L57" s="1172"/>
      <c r="M57" s="1173"/>
      <c r="N57" s="1173"/>
      <c r="O57" s="1174"/>
      <c r="P57" s="1174"/>
      <c r="Q57" s="1174"/>
      <c r="R57" s="1174"/>
      <c r="S57" s="1174"/>
      <c r="T57" s="1174"/>
      <c r="U57" s="1174"/>
      <c r="V57" s="1174"/>
      <c r="W57" s="1174"/>
      <c r="X57" s="1174"/>
      <c r="Y57" s="1174"/>
      <c r="Z57" s="1174"/>
      <c r="AA57" s="1174"/>
      <c r="AB57" s="1174"/>
      <c r="AC57" s="1174"/>
      <c r="AD57" s="1173"/>
      <c r="AE57" s="1173"/>
      <c r="AF57" s="1173"/>
      <c r="AG57" s="1173"/>
      <c r="AH57" s="1173"/>
      <c r="AI57" s="1173"/>
      <c r="AJ57" s="1173"/>
      <c r="AK57" s="1173"/>
      <c r="AL57" s="1173"/>
      <c r="AM57" s="1173"/>
      <c r="AN57" s="1173"/>
      <c r="AO57" s="1173"/>
      <c r="AP57" s="1173"/>
      <c r="AQ57" s="1173"/>
      <c r="AR57" s="1173"/>
      <c r="AS57" s="1173"/>
      <c r="AT57" s="1173"/>
      <c r="AU57" s="1173"/>
      <c r="AV57" s="1173"/>
      <c r="AW57" s="1173"/>
      <c r="AX57" s="1173"/>
      <c r="AY57" s="1173"/>
      <c r="AZ57" s="1173"/>
      <c r="BA57" s="1173"/>
      <c r="BB57" s="1173"/>
      <c r="BC57" s="1173"/>
      <c r="BD57" s="1173"/>
      <c r="BE57" s="1173"/>
      <c r="BF57" s="1173"/>
      <c r="BG57" s="1173"/>
      <c r="BH57" s="1173"/>
      <c r="BI57" s="1173"/>
      <c r="BJ57" s="1173"/>
      <c r="BK57" s="1120"/>
      <c r="BL57" s="1120"/>
    </row>
    <row r="58" spans="1:64" s="401" customFormat="1" x14ac:dyDescent="0.3">
      <c r="A58" s="1154">
        <v>98</v>
      </c>
      <c r="B58" s="1222"/>
      <c r="C58" s="1153">
        <v>98</v>
      </c>
      <c r="D58" s="1158" t="s">
        <v>240</v>
      </c>
      <c r="E58" s="1158"/>
      <c r="F58" s="1170"/>
      <c r="G58" s="1171"/>
      <c r="H58" s="1171"/>
      <c r="I58" s="1171"/>
      <c r="J58" s="1171"/>
      <c r="K58" s="1171"/>
      <c r="L58" s="1172"/>
      <c r="M58" s="1173"/>
      <c r="N58" s="1173"/>
      <c r="O58" s="1174"/>
      <c r="P58" s="1174"/>
      <c r="Q58" s="1174"/>
      <c r="R58" s="1174"/>
      <c r="S58" s="1174"/>
      <c r="T58" s="1174"/>
      <c r="U58" s="1174"/>
      <c r="V58" s="1174"/>
      <c r="W58" s="1174"/>
      <c r="X58" s="1174"/>
      <c r="Y58" s="1174"/>
      <c r="Z58" s="1174"/>
      <c r="AA58" s="1174"/>
      <c r="AB58" s="1174"/>
      <c r="AC58" s="1174"/>
      <c r="AD58" s="1173"/>
      <c r="AE58" s="1173"/>
      <c r="AF58" s="1173"/>
      <c r="AG58" s="1173"/>
      <c r="AH58" s="1173"/>
      <c r="AI58" s="1173"/>
      <c r="AJ58" s="1173"/>
      <c r="AK58" s="1173"/>
      <c r="AL58" s="1173"/>
      <c r="AM58" s="1173"/>
      <c r="AN58" s="1173"/>
      <c r="AO58" s="1173"/>
      <c r="AP58" s="1173"/>
      <c r="AQ58" s="1173"/>
      <c r="AR58" s="1173"/>
      <c r="AS58" s="1173"/>
      <c r="AT58" s="1173"/>
      <c r="AU58" s="1173"/>
      <c r="AV58" s="1173"/>
      <c r="AW58" s="1173"/>
      <c r="AX58" s="1173"/>
      <c r="AY58" s="1173"/>
      <c r="AZ58" s="1173"/>
      <c r="BA58" s="1173"/>
      <c r="BB58" s="1173"/>
      <c r="BC58" s="1173"/>
      <c r="BD58" s="1173"/>
      <c r="BE58" s="1173"/>
      <c r="BF58" s="1173"/>
      <c r="BG58" s="1173"/>
      <c r="BH58" s="1173"/>
      <c r="BI58" s="1173"/>
      <c r="BJ58" s="1173"/>
      <c r="BK58" s="1120"/>
      <c r="BL58" s="1120"/>
    </row>
    <row r="59" spans="1:64" s="401" customFormat="1" ht="28.8" x14ac:dyDescent="0.3">
      <c r="A59" s="1154">
        <v>99</v>
      </c>
      <c r="B59" s="1222"/>
      <c r="C59" s="1153">
        <v>99</v>
      </c>
      <c r="D59" s="1158" t="s">
        <v>237</v>
      </c>
      <c r="E59" s="1158"/>
      <c r="F59" s="1170"/>
      <c r="G59" s="1171"/>
      <c r="H59" s="1171"/>
      <c r="I59" s="1171"/>
      <c r="J59" s="1171"/>
      <c r="K59" s="1171"/>
      <c r="L59" s="1172"/>
      <c r="M59" s="1173"/>
      <c r="N59" s="1173"/>
      <c r="O59" s="1174"/>
      <c r="P59" s="1174"/>
      <c r="Q59" s="1174"/>
      <c r="R59" s="1174"/>
      <c r="S59" s="1174"/>
      <c r="T59" s="1174"/>
      <c r="U59" s="1174"/>
      <c r="V59" s="1174"/>
      <c r="W59" s="1174"/>
      <c r="X59" s="1174"/>
      <c r="Y59" s="1174"/>
      <c r="Z59" s="1174"/>
      <c r="AA59" s="1174"/>
      <c r="AB59" s="1174"/>
      <c r="AC59" s="1174"/>
      <c r="AD59" s="1173"/>
      <c r="AE59" s="1173"/>
      <c r="AF59" s="1173"/>
      <c r="AG59" s="1173"/>
      <c r="AH59" s="1173"/>
      <c r="AI59" s="1173"/>
      <c r="AJ59" s="1173"/>
      <c r="AK59" s="1173"/>
      <c r="AL59" s="1173"/>
      <c r="AM59" s="1173"/>
      <c r="AN59" s="1173"/>
      <c r="AO59" s="1173"/>
      <c r="AP59" s="1173"/>
      <c r="AQ59" s="1173"/>
      <c r="AR59" s="1173"/>
      <c r="AS59" s="1173"/>
      <c r="AT59" s="1173"/>
      <c r="AU59" s="1173"/>
      <c r="AV59" s="1173"/>
      <c r="AW59" s="1173"/>
      <c r="AX59" s="1173"/>
      <c r="AY59" s="1173"/>
      <c r="AZ59" s="1173"/>
      <c r="BA59" s="1173"/>
      <c r="BB59" s="1173"/>
      <c r="BC59" s="1173"/>
      <c r="BD59" s="1173"/>
      <c r="BE59" s="1173"/>
      <c r="BF59" s="1173"/>
      <c r="BG59" s="1173"/>
      <c r="BH59" s="1173"/>
      <c r="BI59" s="1173"/>
      <c r="BJ59" s="1173"/>
      <c r="BK59" s="1120"/>
      <c r="BL59" s="1120"/>
    </row>
    <row r="60" spans="1:64" s="401" customFormat="1" x14ac:dyDescent="0.3">
      <c r="A60" s="1154">
        <v>100</v>
      </c>
      <c r="B60" s="1222"/>
      <c r="C60" s="1153">
        <v>100</v>
      </c>
      <c r="D60" s="1158" t="s">
        <v>250</v>
      </c>
      <c r="E60" s="1158"/>
      <c r="F60" s="1170"/>
      <c r="G60" s="1171"/>
      <c r="H60" s="1171"/>
      <c r="I60" s="1171"/>
      <c r="J60" s="1171"/>
      <c r="K60" s="1171"/>
      <c r="L60" s="1172"/>
      <c r="M60" s="1173"/>
      <c r="N60" s="1173"/>
      <c r="O60" s="1174"/>
      <c r="P60" s="1174"/>
      <c r="Q60" s="1174"/>
      <c r="R60" s="1174"/>
      <c r="S60" s="1174"/>
      <c r="T60" s="1174"/>
      <c r="U60" s="1174"/>
      <c r="V60" s="1174"/>
      <c r="W60" s="1174"/>
      <c r="X60" s="1174"/>
      <c r="Y60" s="1174"/>
      <c r="Z60" s="1174"/>
      <c r="AA60" s="1174"/>
      <c r="AB60" s="1174"/>
      <c r="AC60" s="1174"/>
      <c r="AD60" s="1173"/>
      <c r="AE60" s="1173"/>
      <c r="AF60" s="1173"/>
      <c r="AG60" s="1173"/>
      <c r="AH60" s="1173"/>
      <c r="AI60" s="1173"/>
      <c r="AJ60" s="1173"/>
      <c r="AK60" s="1173"/>
      <c r="AL60" s="1173"/>
      <c r="AM60" s="1173"/>
      <c r="AN60" s="1173"/>
      <c r="AO60" s="1173"/>
      <c r="AP60" s="1173"/>
      <c r="AQ60" s="1173"/>
      <c r="AR60" s="1173"/>
      <c r="AS60" s="1173"/>
      <c r="AT60" s="1173"/>
      <c r="AU60" s="1173"/>
      <c r="AV60" s="1173"/>
      <c r="AW60" s="1173"/>
      <c r="AX60" s="1173"/>
      <c r="AY60" s="1173"/>
      <c r="AZ60" s="1173"/>
      <c r="BA60" s="1173"/>
      <c r="BB60" s="1173"/>
      <c r="BC60" s="1173"/>
      <c r="BD60" s="1173"/>
      <c r="BE60" s="1173"/>
      <c r="BF60" s="1173"/>
      <c r="BG60" s="1173"/>
      <c r="BH60" s="1173"/>
      <c r="BI60" s="1173"/>
      <c r="BJ60" s="1173"/>
      <c r="BK60" s="1120"/>
      <c r="BL60" s="1120"/>
    </row>
    <row r="61" spans="1:64" s="401" customFormat="1" x14ac:dyDescent="0.3">
      <c r="A61" s="1154">
        <v>101</v>
      </c>
      <c r="B61" s="1222"/>
      <c r="C61" s="1153">
        <v>101</v>
      </c>
      <c r="D61" s="1158" t="s">
        <v>249</v>
      </c>
      <c r="E61" s="1158"/>
      <c r="F61" s="1170"/>
      <c r="G61" s="1171"/>
      <c r="H61" s="1171"/>
      <c r="I61" s="1171"/>
      <c r="J61" s="1171"/>
      <c r="K61" s="1171"/>
      <c r="L61" s="1172"/>
      <c r="M61" s="1173"/>
      <c r="N61" s="1173"/>
      <c r="O61" s="1174"/>
      <c r="P61" s="1174"/>
      <c r="Q61" s="1174"/>
      <c r="R61" s="1174"/>
      <c r="S61" s="1174"/>
      <c r="T61" s="1174"/>
      <c r="U61" s="1174"/>
      <c r="V61" s="1174"/>
      <c r="W61" s="1174"/>
      <c r="X61" s="1174"/>
      <c r="Y61" s="1174"/>
      <c r="Z61" s="1174"/>
      <c r="AA61" s="1174"/>
      <c r="AB61" s="1174"/>
      <c r="AC61" s="1174"/>
      <c r="AD61" s="1173"/>
      <c r="AE61" s="1173"/>
      <c r="AF61" s="1173"/>
      <c r="AG61" s="1173"/>
      <c r="AH61" s="1173"/>
      <c r="AI61" s="1173"/>
      <c r="AJ61" s="1173"/>
      <c r="AK61" s="1173"/>
      <c r="AL61" s="1173"/>
      <c r="AM61" s="1173"/>
      <c r="AN61" s="1173"/>
      <c r="AO61" s="1173"/>
      <c r="AP61" s="1173"/>
      <c r="AQ61" s="1173"/>
      <c r="AR61" s="1173"/>
      <c r="AS61" s="1173"/>
      <c r="AT61" s="1173"/>
      <c r="AU61" s="1173"/>
      <c r="AV61" s="1173"/>
      <c r="AW61" s="1173"/>
      <c r="AX61" s="1173"/>
      <c r="AY61" s="1173"/>
      <c r="AZ61" s="1173"/>
      <c r="BA61" s="1173"/>
      <c r="BB61" s="1173"/>
      <c r="BC61" s="1173"/>
      <c r="BD61" s="1173"/>
      <c r="BE61" s="1173"/>
      <c r="BF61" s="1173"/>
      <c r="BG61" s="1173"/>
      <c r="BH61" s="1173"/>
      <c r="BI61" s="1173"/>
      <c r="BJ61" s="1173"/>
      <c r="BK61" s="1120"/>
      <c r="BL61" s="1120"/>
    </row>
    <row r="62" spans="1:64" s="403" customFormat="1" x14ac:dyDescent="0.3">
      <c r="A62" s="1154">
        <v>102</v>
      </c>
      <c r="B62" s="1222"/>
      <c r="C62" s="1153">
        <v>102</v>
      </c>
      <c r="D62" s="1203" t="e">
        <v>#VALUE!</v>
      </c>
      <c r="E62" s="1203"/>
      <c r="F62" s="1170"/>
      <c r="G62" s="1171"/>
      <c r="H62" s="1171"/>
      <c r="I62" s="1171"/>
      <c r="J62" s="1171"/>
      <c r="K62" s="1171"/>
      <c r="L62" s="1172"/>
      <c r="M62" s="1173"/>
      <c r="N62" s="1173"/>
      <c r="O62" s="1174"/>
      <c r="P62" s="1174"/>
      <c r="Q62" s="1174"/>
      <c r="R62" s="1174"/>
      <c r="S62" s="1174"/>
      <c r="T62" s="1174"/>
      <c r="U62" s="1174"/>
      <c r="V62" s="1174"/>
      <c r="W62" s="1174"/>
      <c r="X62" s="1174"/>
      <c r="Y62" s="1174"/>
      <c r="Z62" s="1174"/>
      <c r="AA62" s="1174"/>
      <c r="AB62" s="1174"/>
      <c r="AC62" s="1174"/>
      <c r="AD62" s="1173"/>
      <c r="AE62" s="1173"/>
      <c r="AF62" s="1173"/>
      <c r="AG62" s="1173"/>
      <c r="AH62" s="1173"/>
      <c r="AI62" s="1173"/>
      <c r="AJ62" s="1173"/>
      <c r="AK62" s="1173"/>
      <c r="AL62" s="1173"/>
      <c r="AM62" s="1173"/>
      <c r="AN62" s="1173"/>
      <c r="AO62" s="1173"/>
      <c r="AP62" s="1173"/>
      <c r="AQ62" s="1173"/>
      <c r="AR62" s="1173"/>
      <c r="AS62" s="1173"/>
      <c r="AT62" s="1173"/>
      <c r="AU62" s="1173"/>
      <c r="AV62" s="1173"/>
      <c r="AW62" s="1173"/>
      <c r="AX62" s="1173"/>
      <c r="AY62" s="1173"/>
      <c r="AZ62" s="1173"/>
      <c r="BA62" s="1173"/>
      <c r="BB62" s="1173"/>
      <c r="BC62" s="1173"/>
      <c r="BD62" s="1173"/>
      <c r="BE62" s="1173"/>
      <c r="BF62" s="1173"/>
      <c r="BG62" s="1173"/>
      <c r="BH62" s="1173"/>
      <c r="BI62" s="1173"/>
      <c r="BJ62" s="1173"/>
      <c r="BK62" s="1120"/>
      <c r="BL62" s="1120"/>
    </row>
    <row r="63" spans="1:64" s="403" customFormat="1" x14ac:dyDescent="0.3">
      <c r="A63" s="1154">
        <v>103</v>
      </c>
      <c r="B63" s="1222"/>
      <c r="C63" s="1153">
        <v>103</v>
      </c>
      <c r="D63" s="1203" t="e">
        <v>#VALUE!</v>
      </c>
      <c r="E63" s="1203"/>
      <c r="F63" s="1170"/>
      <c r="G63" s="1171"/>
      <c r="H63" s="1171"/>
      <c r="I63" s="1171"/>
      <c r="J63" s="1171"/>
      <c r="K63" s="1171"/>
      <c r="L63" s="1172"/>
      <c r="M63" s="1173"/>
      <c r="N63" s="1173"/>
      <c r="O63" s="1174"/>
      <c r="P63" s="1174"/>
      <c r="Q63" s="1174"/>
      <c r="R63" s="1174"/>
      <c r="S63" s="1174"/>
      <c r="T63" s="1174"/>
      <c r="U63" s="1174"/>
      <c r="V63" s="1174"/>
      <c r="W63" s="1174"/>
      <c r="X63" s="1174"/>
      <c r="Y63" s="1174"/>
      <c r="Z63" s="1174"/>
      <c r="AA63" s="1174"/>
      <c r="AB63" s="1174"/>
      <c r="AC63" s="1174"/>
      <c r="AD63" s="1173"/>
      <c r="AE63" s="1173"/>
      <c r="AF63" s="1173"/>
      <c r="AG63" s="1173"/>
      <c r="AH63" s="1173"/>
      <c r="AI63" s="1173"/>
      <c r="AJ63" s="1173"/>
      <c r="AK63" s="1173"/>
      <c r="AL63" s="1173"/>
      <c r="AM63" s="1173"/>
      <c r="AN63" s="1173"/>
      <c r="AO63" s="1173"/>
      <c r="AP63" s="1173"/>
      <c r="AQ63" s="1173"/>
      <c r="AR63" s="1173"/>
      <c r="AS63" s="1173"/>
      <c r="AT63" s="1173"/>
      <c r="AU63" s="1173"/>
      <c r="AV63" s="1173"/>
      <c r="AW63" s="1173"/>
      <c r="AX63" s="1173"/>
      <c r="AY63" s="1173"/>
      <c r="AZ63" s="1173"/>
      <c r="BA63" s="1173"/>
      <c r="BB63" s="1173"/>
      <c r="BC63" s="1173"/>
      <c r="BD63" s="1173"/>
      <c r="BE63" s="1173"/>
      <c r="BF63" s="1173"/>
      <c r="BG63" s="1173"/>
      <c r="BH63" s="1173"/>
      <c r="BI63" s="1173"/>
      <c r="BJ63" s="1173"/>
      <c r="BK63" s="1120"/>
      <c r="BL63" s="1120"/>
    </row>
    <row r="64" spans="1:64" s="401" customFormat="1" x14ac:dyDescent="0.3">
      <c r="A64" s="1154">
        <v>104</v>
      </c>
      <c r="B64" s="1222"/>
      <c r="C64" s="1153">
        <v>104</v>
      </c>
      <c r="D64" s="1159" t="s">
        <v>299</v>
      </c>
      <c r="E64" s="1159"/>
      <c r="F64" s="1170"/>
      <c r="G64" s="1171"/>
      <c r="H64" s="1171"/>
      <c r="I64" s="1171"/>
      <c r="J64" s="1171"/>
      <c r="K64" s="1171"/>
      <c r="L64" s="1172"/>
      <c r="M64" s="1173"/>
      <c r="N64" s="1173"/>
      <c r="O64" s="1174"/>
      <c r="P64" s="1174"/>
      <c r="Q64" s="1174"/>
      <c r="R64" s="1174"/>
      <c r="S64" s="1174"/>
      <c r="T64" s="1174"/>
      <c r="U64" s="1174"/>
      <c r="V64" s="1174"/>
      <c r="W64" s="1174"/>
      <c r="X64" s="1174"/>
      <c r="Y64" s="1174"/>
      <c r="Z64" s="1174"/>
      <c r="AA64" s="1174"/>
      <c r="AB64" s="1174"/>
      <c r="AC64" s="1174"/>
      <c r="AD64" s="1173"/>
      <c r="AE64" s="1173"/>
      <c r="AF64" s="1173"/>
      <c r="AG64" s="1173"/>
      <c r="AH64" s="1173"/>
      <c r="AI64" s="1173"/>
      <c r="AJ64" s="1173"/>
      <c r="AK64" s="1173"/>
      <c r="AL64" s="1173"/>
      <c r="AM64" s="1173"/>
      <c r="AN64" s="1173"/>
      <c r="AO64" s="1173"/>
      <c r="AP64" s="1173"/>
      <c r="AQ64" s="1173"/>
      <c r="AR64" s="1173"/>
      <c r="AS64" s="1173"/>
      <c r="AT64" s="1173"/>
      <c r="AU64" s="1173"/>
      <c r="AV64" s="1173"/>
      <c r="AW64" s="1173"/>
      <c r="AX64" s="1173"/>
      <c r="AY64" s="1173"/>
      <c r="AZ64" s="1173"/>
      <c r="BA64" s="1173"/>
      <c r="BB64" s="1173"/>
      <c r="BC64" s="1173"/>
      <c r="BD64" s="1173"/>
      <c r="BE64" s="1173"/>
      <c r="BF64" s="1173"/>
      <c r="BG64" s="1173"/>
      <c r="BH64" s="1173"/>
      <c r="BI64" s="1173"/>
      <c r="BJ64" s="1173"/>
      <c r="BK64" s="1120"/>
      <c r="BL64" s="1120"/>
    </row>
    <row r="65" spans="1:64" s="401" customFormat="1" ht="26.4" x14ac:dyDescent="0.3">
      <c r="A65" s="1154">
        <v>107</v>
      </c>
      <c r="B65" s="1222"/>
      <c r="C65" s="1153">
        <v>107</v>
      </c>
      <c r="D65" s="1159" t="s">
        <v>380</v>
      </c>
      <c r="E65" s="1159"/>
      <c r="F65" s="1170"/>
      <c r="G65" s="1171"/>
      <c r="H65" s="1171"/>
      <c r="I65" s="1171"/>
      <c r="J65" s="1171"/>
      <c r="K65" s="1171"/>
      <c r="L65" s="1172"/>
      <c r="M65" s="1173"/>
      <c r="N65" s="1173"/>
      <c r="O65" s="1174"/>
      <c r="P65" s="1174"/>
      <c r="Q65" s="1174"/>
      <c r="R65" s="1174"/>
      <c r="S65" s="1174"/>
      <c r="T65" s="1174"/>
      <c r="U65" s="1174"/>
      <c r="V65" s="1174"/>
      <c r="W65" s="1174"/>
      <c r="X65" s="1174"/>
      <c r="Y65" s="1174"/>
      <c r="Z65" s="1174"/>
      <c r="AA65" s="1174"/>
      <c r="AB65" s="1174"/>
      <c r="AC65" s="1174"/>
      <c r="AD65" s="1173"/>
      <c r="AE65" s="1173"/>
      <c r="AF65" s="1173"/>
      <c r="AG65" s="1173"/>
      <c r="AH65" s="1173"/>
      <c r="AI65" s="1173"/>
      <c r="AJ65" s="1173"/>
      <c r="AK65" s="1173"/>
      <c r="AL65" s="1173"/>
      <c r="AM65" s="1173"/>
      <c r="AN65" s="1173"/>
      <c r="AO65" s="1173"/>
      <c r="AP65" s="1173"/>
      <c r="AQ65" s="1173"/>
      <c r="AR65" s="1173"/>
      <c r="AS65" s="1173"/>
      <c r="AT65" s="1173"/>
      <c r="AU65" s="1173"/>
      <c r="AV65" s="1173"/>
      <c r="AW65" s="1173"/>
      <c r="AX65" s="1173"/>
      <c r="AY65" s="1173"/>
      <c r="AZ65" s="1173"/>
      <c r="BA65" s="1173"/>
      <c r="BB65" s="1173"/>
      <c r="BC65" s="1173"/>
      <c r="BD65" s="1173"/>
      <c r="BE65" s="1173"/>
      <c r="BF65" s="1173"/>
      <c r="BG65" s="1173"/>
      <c r="BH65" s="1173"/>
      <c r="BI65" s="1173"/>
      <c r="BJ65" s="1173"/>
      <c r="BK65" s="1120"/>
      <c r="BL65" s="1120"/>
    </row>
    <row r="66" spans="1:64" s="401" customFormat="1" ht="39.6" x14ac:dyDescent="0.3">
      <c r="A66" s="1154">
        <v>108</v>
      </c>
      <c r="B66" s="1222"/>
      <c r="C66" s="1153">
        <v>108</v>
      </c>
      <c r="D66" s="1159" t="s">
        <v>381</v>
      </c>
      <c r="E66" s="1159"/>
      <c r="F66" s="1170"/>
      <c r="G66" s="1171"/>
      <c r="H66" s="1171"/>
      <c r="I66" s="1171"/>
      <c r="J66" s="1171"/>
      <c r="K66" s="1171"/>
      <c r="L66" s="1172"/>
      <c r="M66" s="1173"/>
      <c r="N66" s="1173"/>
      <c r="O66" s="1174"/>
      <c r="P66" s="1174"/>
      <c r="Q66" s="1174"/>
      <c r="R66" s="1174"/>
      <c r="S66" s="1174"/>
      <c r="T66" s="1174"/>
      <c r="U66" s="1174"/>
      <c r="V66" s="1174"/>
      <c r="W66" s="1174"/>
      <c r="X66" s="1174"/>
      <c r="Y66" s="1174"/>
      <c r="Z66" s="1174"/>
      <c r="AA66" s="1174"/>
      <c r="AB66" s="1174"/>
      <c r="AC66" s="1174"/>
      <c r="AD66" s="1173"/>
      <c r="AE66" s="1173"/>
      <c r="AF66" s="1173"/>
      <c r="AG66" s="1173"/>
      <c r="AH66" s="1173"/>
      <c r="AI66" s="1173"/>
      <c r="AJ66" s="1173"/>
      <c r="AK66" s="1173"/>
      <c r="AL66" s="1173"/>
      <c r="AM66" s="1173"/>
      <c r="AN66" s="1173"/>
      <c r="AO66" s="1173"/>
      <c r="AP66" s="1173"/>
      <c r="AQ66" s="1173"/>
      <c r="AR66" s="1173"/>
      <c r="AS66" s="1173"/>
      <c r="AT66" s="1173"/>
      <c r="AU66" s="1173"/>
      <c r="AV66" s="1173"/>
      <c r="AW66" s="1173"/>
      <c r="AX66" s="1173"/>
      <c r="AY66" s="1173"/>
      <c r="AZ66" s="1173"/>
      <c r="BA66" s="1173"/>
      <c r="BB66" s="1173"/>
      <c r="BC66" s="1173"/>
      <c r="BD66" s="1173"/>
      <c r="BE66" s="1173"/>
      <c r="BF66" s="1173"/>
      <c r="BG66" s="1173"/>
      <c r="BH66" s="1173"/>
      <c r="BI66" s="1173"/>
      <c r="BJ66" s="1173"/>
      <c r="BK66" s="1120"/>
      <c r="BL66" s="1120"/>
    </row>
    <row r="67" spans="1:64" s="401" customFormat="1" ht="26.4" x14ac:dyDescent="0.3">
      <c r="A67" s="1154">
        <v>147</v>
      </c>
      <c r="B67" s="1222"/>
      <c r="C67" s="1153">
        <v>147</v>
      </c>
      <c r="D67" s="1159" t="s">
        <v>300</v>
      </c>
      <c r="E67" s="1159"/>
      <c r="F67" s="1170"/>
      <c r="G67" s="1171"/>
      <c r="H67" s="1171"/>
      <c r="I67" s="1171"/>
      <c r="J67" s="1171"/>
      <c r="K67" s="1171"/>
      <c r="L67" s="1172"/>
      <c r="M67" s="1173"/>
      <c r="N67" s="1173"/>
      <c r="O67" s="1174"/>
      <c r="P67" s="1174"/>
      <c r="Q67" s="1174"/>
      <c r="R67" s="1174"/>
      <c r="S67" s="1174"/>
      <c r="T67" s="1174"/>
      <c r="U67" s="1174"/>
      <c r="V67" s="1174"/>
      <c r="W67" s="1174"/>
      <c r="X67" s="1174"/>
      <c r="Y67" s="1174"/>
      <c r="Z67" s="1174"/>
      <c r="AA67" s="1174"/>
      <c r="AB67" s="1174"/>
      <c r="AC67" s="1174"/>
      <c r="AD67" s="1173"/>
      <c r="AE67" s="1173"/>
      <c r="AF67" s="1173"/>
      <c r="AG67" s="1173"/>
      <c r="AH67" s="1173"/>
      <c r="AI67" s="1173"/>
      <c r="AJ67" s="1173"/>
      <c r="AK67" s="1173"/>
      <c r="AL67" s="1173"/>
      <c r="AM67" s="1173"/>
      <c r="AN67" s="1173"/>
      <c r="AO67" s="1173"/>
      <c r="AP67" s="1173"/>
      <c r="AQ67" s="1173"/>
      <c r="AR67" s="1173"/>
      <c r="AS67" s="1173"/>
      <c r="AT67" s="1173"/>
      <c r="AU67" s="1173"/>
      <c r="AV67" s="1173"/>
      <c r="AW67" s="1173"/>
      <c r="AX67" s="1173"/>
      <c r="AY67" s="1173"/>
      <c r="AZ67" s="1173"/>
      <c r="BA67" s="1173"/>
      <c r="BB67" s="1173"/>
      <c r="BC67" s="1173"/>
      <c r="BD67" s="1173"/>
      <c r="BE67" s="1173"/>
      <c r="BF67" s="1173"/>
      <c r="BG67" s="1173"/>
      <c r="BH67" s="1173"/>
      <c r="BI67" s="1173"/>
      <c r="BJ67" s="1173"/>
      <c r="BK67" s="1120"/>
      <c r="BL67" s="1120"/>
    </row>
    <row r="68" spans="1:64" s="401" customFormat="1" ht="26.4" x14ac:dyDescent="0.3">
      <c r="A68" s="1154">
        <v>148</v>
      </c>
      <c r="B68" s="1222"/>
      <c r="C68" s="1153">
        <v>148</v>
      </c>
      <c r="D68" s="1159" t="s">
        <v>301</v>
      </c>
      <c r="E68" s="1159"/>
      <c r="F68" s="1170"/>
      <c r="G68" s="1171"/>
      <c r="H68" s="1171"/>
      <c r="I68" s="1171"/>
      <c r="J68" s="1171"/>
      <c r="K68" s="1171"/>
      <c r="L68" s="1172"/>
      <c r="M68" s="1173"/>
      <c r="N68" s="1173"/>
      <c r="O68" s="1174"/>
      <c r="P68" s="1174"/>
      <c r="Q68" s="1174"/>
      <c r="R68" s="1174"/>
      <c r="S68" s="1174"/>
      <c r="T68" s="1174"/>
      <c r="U68" s="1174"/>
      <c r="V68" s="1174"/>
      <c r="W68" s="1174"/>
      <c r="X68" s="1174"/>
      <c r="Y68" s="1174"/>
      <c r="Z68" s="1174"/>
      <c r="AA68" s="1174"/>
      <c r="AB68" s="1174"/>
      <c r="AC68" s="1174"/>
      <c r="AD68" s="1173"/>
      <c r="AE68" s="1173"/>
      <c r="AF68" s="1173"/>
      <c r="AG68" s="1173"/>
      <c r="AH68" s="1173"/>
      <c r="AI68" s="1173"/>
      <c r="AJ68" s="1173"/>
      <c r="AK68" s="1173"/>
      <c r="AL68" s="1173"/>
      <c r="AM68" s="1173"/>
      <c r="AN68" s="1173"/>
      <c r="AO68" s="1173"/>
      <c r="AP68" s="1173"/>
      <c r="AQ68" s="1173"/>
      <c r="AR68" s="1173"/>
      <c r="AS68" s="1173"/>
      <c r="AT68" s="1173"/>
      <c r="AU68" s="1173"/>
      <c r="AV68" s="1173"/>
      <c r="AW68" s="1173"/>
      <c r="AX68" s="1173"/>
      <c r="AY68" s="1173"/>
      <c r="AZ68" s="1173"/>
      <c r="BA68" s="1173"/>
      <c r="BB68" s="1173"/>
      <c r="BC68" s="1173"/>
      <c r="BD68" s="1173"/>
      <c r="BE68" s="1173"/>
      <c r="BF68" s="1173"/>
      <c r="BG68" s="1173"/>
      <c r="BH68" s="1173"/>
      <c r="BI68" s="1173"/>
      <c r="BJ68" s="1173"/>
      <c r="BK68" s="1120"/>
      <c r="BL68" s="1120"/>
    </row>
    <row r="69" spans="1:64" s="401" customFormat="1" ht="26.4" x14ac:dyDescent="0.3">
      <c r="A69" s="1154">
        <v>149</v>
      </c>
      <c r="B69" s="1222">
        <v>149</v>
      </c>
      <c r="C69" s="1153">
        <v>149</v>
      </c>
      <c r="D69" s="1159" t="s">
        <v>302</v>
      </c>
      <c r="E69" s="1159"/>
      <c r="F69" s="1170">
        <v>11375237</v>
      </c>
      <c r="G69" s="1171">
        <v>18912278</v>
      </c>
      <c r="H69" s="1171">
        <v>10000000</v>
      </c>
      <c r="I69" s="1171">
        <v>3910246</v>
      </c>
      <c r="J69" s="1171">
        <v>19568705</v>
      </c>
      <c r="K69" s="1171">
        <v>8909968</v>
      </c>
      <c r="L69" s="1172">
        <v>2791120</v>
      </c>
      <c r="M69" s="1173">
        <v>6044207</v>
      </c>
      <c r="N69" s="1173">
        <v>9243000</v>
      </c>
      <c r="O69" s="1174">
        <v>2321310</v>
      </c>
      <c r="P69" s="1174">
        <v>5329824</v>
      </c>
      <c r="Q69" s="1174">
        <v>31089133</v>
      </c>
      <c r="R69" s="1174">
        <v>11110275</v>
      </c>
      <c r="S69" s="1174">
        <v>2115080</v>
      </c>
      <c r="T69" s="1174">
        <v>0</v>
      </c>
      <c r="U69" s="1174">
        <v>23115861</v>
      </c>
      <c r="V69" s="1174">
        <v>81366950</v>
      </c>
      <c r="W69" s="1174">
        <v>5245387</v>
      </c>
      <c r="X69" s="1174">
        <v>3500000</v>
      </c>
      <c r="Y69" s="1174">
        <v>53023431</v>
      </c>
      <c r="Z69" s="1174">
        <v>35401202</v>
      </c>
      <c r="AA69" s="1174">
        <v>3908414</v>
      </c>
      <c r="AB69" s="1174">
        <v>18830040</v>
      </c>
      <c r="AC69" s="1174">
        <v>2900000</v>
      </c>
      <c r="AD69" s="1173">
        <v>10442896</v>
      </c>
      <c r="AE69" s="1173">
        <v>40905920</v>
      </c>
      <c r="AF69" s="1173">
        <v>5130055</v>
      </c>
      <c r="AG69" s="1173">
        <v>20081808</v>
      </c>
      <c r="AH69" s="1173">
        <v>7873240</v>
      </c>
      <c r="AI69" s="1173">
        <v>2139822</v>
      </c>
      <c r="AJ69" s="1173">
        <v>13305000</v>
      </c>
      <c r="AK69" s="1173">
        <v>15834840</v>
      </c>
      <c r="AL69" s="1173">
        <v>37487555</v>
      </c>
      <c r="AM69" s="1173">
        <v>16173010</v>
      </c>
      <c r="AN69" s="1173">
        <v>9020616</v>
      </c>
      <c r="AO69" s="1173">
        <v>10044895</v>
      </c>
      <c r="AP69" s="1173">
        <v>12250706</v>
      </c>
      <c r="AQ69" s="1173">
        <v>13143003</v>
      </c>
      <c r="AR69" s="1173">
        <v>9916350</v>
      </c>
      <c r="AS69" s="1173">
        <v>942047</v>
      </c>
      <c r="AT69" s="1173">
        <v>2867038</v>
      </c>
      <c r="AU69" s="1173">
        <v>12740313</v>
      </c>
      <c r="AV69" s="1173">
        <v>567595</v>
      </c>
      <c r="AW69" s="1173">
        <v>102942093</v>
      </c>
      <c r="AX69" s="1173">
        <v>7202440</v>
      </c>
      <c r="AY69" s="1173">
        <v>513103536</v>
      </c>
      <c r="AZ69" s="1173">
        <v>4789331</v>
      </c>
      <c r="BA69" s="1173">
        <v>1805006</v>
      </c>
      <c r="BB69" s="1173">
        <v>13664099</v>
      </c>
      <c r="BC69" s="1173">
        <v>19053791</v>
      </c>
      <c r="BD69" s="1173">
        <v>810863</v>
      </c>
      <c r="BE69" s="1173">
        <v>2206501</v>
      </c>
      <c r="BF69" s="1173">
        <v>13917773</v>
      </c>
      <c r="BG69" s="1173">
        <v>21702347</v>
      </c>
      <c r="BH69" s="1173">
        <v>125913734</v>
      </c>
      <c r="BI69" s="1173">
        <v>7146494</v>
      </c>
      <c r="BJ69" s="1173">
        <v>2960900</v>
      </c>
      <c r="BK69" s="1118"/>
      <c r="BL69" s="1118"/>
    </row>
    <row r="70" spans="1:64" s="401" customFormat="1" ht="39.6" x14ac:dyDescent="0.3">
      <c r="A70" s="1154">
        <v>150</v>
      </c>
      <c r="B70" s="1222">
        <v>150</v>
      </c>
      <c r="C70" s="1153">
        <v>150</v>
      </c>
      <c r="D70" s="1159" t="s">
        <v>303</v>
      </c>
      <c r="E70" s="1159"/>
      <c r="F70" s="1170">
        <v>1869380</v>
      </c>
      <c r="G70" s="1171">
        <v>8282105</v>
      </c>
      <c r="H70" s="1171">
        <v>383049</v>
      </c>
      <c r="I70" s="1171">
        <v>1387956</v>
      </c>
      <c r="J70" s="1171">
        <v>5488792</v>
      </c>
      <c r="K70" s="1171">
        <v>2815946</v>
      </c>
      <c r="L70" s="1172">
        <v>963077</v>
      </c>
      <c r="M70" s="1173">
        <v>551114</v>
      </c>
      <c r="N70" s="1173">
        <v>4154081</v>
      </c>
      <c r="O70" s="1174">
        <v>272563</v>
      </c>
      <c r="P70" s="1174">
        <v>408537</v>
      </c>
      <c r="Q70" s="1174">
        <v>73206282</v>
      </c>
      <c r="R70" s="1174">
        <v>2293961</v>
      </c>
      <c r="S70" s="1174">
        <v>1604268</v>
      </c>
      <c r="T70" s="1174">
        <v>0</v>
      </c>
      <c r="U70" s="1174">
        <v>1846558</v>
      </c>
      <c r="V70" s="1174">
        <v>31222153</v>
      </c>
      <c r="W70" s="1174">
        <v>842786</v>
      </c>
      <c r="X70" s="1174">
        <v>347403</v>
      </c>
      <c r="Y70" s="1174">
        <v>19855101</v>
      </c>
      <c r="Z70" s="1174">
        <v>15139213</v>
      </c>
      <c r="AA70" s="1174">
        <v>560372</v>
      </c>
      <c r="AB70" s="1174">
        <v>3189084</v>
      </c>
      <c r="AC70" s="1174">
        <v>486532</v>
      </c>
      <c r="AD70" s="1173">
        <v>583201</v>
      </c>
      <c r="AE70" s="1173">
        <v>2280288</v>
      </c>
      <c r="AF70" s="1173">
        <v>977886</v>
      </c>
      <c r="AG70" s="1173">
        <v>14007940</v>
      </c>
      <c r="AH70" s="1173">
        <v>2379330</v>
      </c>
      <c r="AI70" s="1173">
        <v>299435</v>
      </c>
      <c r="AJ70" s="1173">
        <v>0</v>
      </c>
      <c r="AK70" s="1173">
        <v>2311233</v>
      </c>
      <c r="AL70" s="1173">
        <v>6675427</v>
      </c>
      <c r="AM70" s="1173">
        <v>5027817</v>
      </c>
      <c r="AN70" s="1173">
        <v>906747</v>
      </c>
      <c r="AO70" s="1173">
        <v>13516681</v>
      </c>
      <c r="AP70" s="1173">
        <v>4175000</v>
      </c>
      <c r="AQ70" s="1173">
        <v>1785748</v>
      </c>
      <c r="AR70" s="1173">
        <v>15256116</v>
      </c>
      <c r="AS70" s="1173">
        <v>1081730</v>
      </c>
      <c r="AT70" s="1173">
        <v>1265196</v>
      </c>
      <c r="AU70" s="1173">
        <v>2716211</v>
      </c>
      <c r="AV70" s="1173">
        <v>120000</v>
      </c>
      <c r="AW70" s="1173">
        <v>42545304</v>
      </c>
      <c r="AX70" s="1173">
        <v>807000</v>
      </c>
      <c r="AY70" s="1173">
        <v>274820533</v>
      </c>
      <c r="AZ70" s="1173">
        <v>0</v>
      </c>
      <c r="BA70" s="1173">
        <v>400000</v>
      </c>
      <c r="BB70" s="1173">
        <v>1260345</v>
      </c>
      <c r="BC70" s="1173">
        <v>7361004</v>
      </c>
      <c r="BD70" s="1173">
        <v>252199</v>
      </c>
      <c r="BE70" s="1173">
        <v>210977</v>
      </c>
      <c r="BF70" s="1173">
        <v>3089010</v>
      </c>
      <c r="BG70" s="1173">
        <v>1432727</v>
      </c>
      <c r="BH70" s="1173">
        <v>43304192</v>
      </c>
      <c r="BI70" s="1173">
        <v>570885</v>
      </c>
      <c r="BJ70" s="1173">
        <v>421032</v>
      </c>
      <c r="BK70" s="1118"/>
      <c r="BL70" s="1118"/>
    </row>
    <row r="71" spans="1:64" s="401" customFormat="1" x14ac:dyDescent="0.3">
      <c r="A71" s="1154">
        <v>171</v>
      </c>
      <c r="B71" s="1222"/>
      <c r="C71" s="1153">
        <v>171</v>
      </c>
      <c r="D71" s="1203" t="e">
        <v>#VALUE!</v>
      </c>
      <c r="E71" s="1203"/>
      <c r="F71" s="1170"/>
      <c r="G71" s="1171"/>
      <c r="H71" s="1171"/>
      <c r="I71" s="1171"/>
      <c r="J71" s="1171"/>
      <c r="K71" s="1171"/>
      <c r="L71" s="1172"/>
      <c r="M71" s="1173"/>
      <c r="N71" s="1173"/>
      <c r="O71" s="1174"/>
      <c r="P71" s="1174"/>
      <c r="Q71" s="1174"/>
      <c r="R71" s="1174"/>
      <c r="S71" s="1174"/>
      <c r="T71" s="1174"/>
      <c r="U71" s="1174"/>
      <c r="V71" s="1174"/>
      <c r="W71" s="1174"/>
      <c r="X71" s="1174"/>
      <c r="Y71" s="1174"/>
      <c r="Z71" s="1174"/>
      <c r="AA71" s="1174"/>
      <c r="AB71" s="1174"/>
      <c r="AC71" s="1174"/>
      <c r="AD71" s="1173"/>
      <c r="AE71" s="1173"/>
      <c r="AF71" s="1173"/>
      <c r="AG71" s="1173"/>
      <c r="AH71" s="1173"/>
      <c r="AI71" s="1173"/>
      <c r="AJ71" s="1173"/>
      <c r="AK71" s="1173"/>
      <c r="AL71" s="1173"/>
      <c r="AM71" s="1173"/>
      <c r="AN71" s="1173"/>
      <c r="AO71" s="1173"/>
      <c r="AP71" s="1173"/>
      <c r="AQ71" s="1173"/>
      <c r="AR71" s="1173"/>
      <c r="AS71" s="1173"/>
      <c r="AT71" s="1173"/>
      <c r="AU71" s="1173"/>
      <c r="AV71" s="1173"/>
      <c r="AW71" s="1173"/>
      <c r="AX71" s="1173"/>
      <c r="AY71" s="1173"/>
      <c r="AZ71" s="1173"/>
      <c r="BA71" s="1173"/>
      <c r="BB71" s="1173"/>
      <c r="BC71" s="1173"/>
      <c r="BD71" s="1173"/>
      <c r="BE71" s="1173"/>
      <c r="BF71" s="1173"/>
      <c r="BG71" s="1173"/>
      <c r="BH71" s="1173"/>
      <c r="BI71" s="1173"/>
      <c r="BJ71" s="1173"/>
      <c r="BK71" s="1118"/>
      <c r="BL71" s="1118"/>
    </row>
    <row r="72" spans="1:64" s="401" customFormat="1" x14ac:dyDescent="0.3">
      <c r="A72" s="1154">
        <v>191</v>
      </c>
      <c r="B72" s="1222"/>
      <c r="C72" s="1153">
        <v>191</v>
      </c>
      <c r="D72" s="1203" t="e">
        <v>#VALUE!</v>
      </c>
      <c r="E72" s="1203"/>
      <c r="F72" s="1170"/>
      <c r="G72" s="1171"/>
      <c r="H72" s="1171"/>
      <c r="I72" s="1171"/>
      <c r="J72" s="1171"/>
      <c r="K72" s="1171"/>
      <c r="L72" s="1172"/>
      <c r="M72" s="1173"/>
      <c r="N72" s="1173"/>
      <c r="O72" s="1174"/>
      <c r="P72" s="1174"/>
      <c r="Q72" s="1174"/>
      <c r="R72" s="1174"/>
      <c r="S72" s="1174"/>
      <c r="T72" s="1174"/>
      <c r="U72" s="1174"/>
      <c r="V72" s="1174"/>
      <c r="W72" s="1174"/>
      <c r="X72" s="1174"/>
      <c r="Y72" s="1174"/>
      <c r="Z72" s="1174"/>
      <c r="AA72" s="1174"/>
      <c r="AB72" s="1174"/>
      <c r="AC72" s="1174"/>
      <c r="AD72" s="1173"/>
      <c r="AE72" s="1173"/>
      <c r="AF72" s="1173"/>
      <c r="AG72" s="1173"/>
      <c r="AH72" s="1173"/>
      <c r="AI72" s="1173"/>
      <c r="AJ72" s="1173"/>
      <c r="AK72" s="1173"/>
      <c r="AL72" s="1173"/>
      <c r="AM72" s="1173"/>
      <c r="AN72" s="1173"/>
      <c r="AO72" s="1173"/>
      <c r="AP72" s="1173"/>
      <c r="AQ72" s="1173"/>
      <c r="AR72" s="1173"/>
      <c r="AS72" s="1173"/>
      <c r="AT72" s="1173"/>
      <c r="AU72" s="1173"/>
      <c r="AV72" s="1173"/>
      <c r="AW72" s="1173"/>
      <c r="AX72" s="1173"/>
      <c r="AY72" s="1173"/>
      <c r="AZ72" s="1173"/>
      <c r="BA72" s="1173"/>
      <c r="BB72" s="1173"/>
      <c r="BC72" s="1173"/>
      <c r="BD72" s="1173"/>
      <c r="BE72" s="1173"/>
      <c r="BF72" s="1173"/>
      <c r="BG72" s="1173"/>
      <c r="BH72" s="1173"/>
      <c r="BI72" s="1173"/>
      <c r="BJ72" s="1173"/>
      <c r="BK72" s="1118"/>
      <c r="BL72" s="1118"/>
    </row>
    <row r="73" spans="1:64" s="401" customFormat="1" x14ac:dyDescent="0.3">
      <c r="A73" s="1154">
        <v>192</v>
      </c>
      <c r="B73" s="1222"/>
      <c r="C73" s="1153">
        <v>192</v>
      </c>
      <c r="D73" s="1158" t="s">
        <v>243</v>
      </c>
      <c r="E73" s="1158"/>
      <c r="F73" s="1170"/>
      <c r="G73" s="1171"/>
      <c r="H73" s="1171"/>
      <c r="I73" s="1171"/>
      <c r="J73" s="1171"/>
      <c r="K73" s="1171"/>
      <c r="L73" s="1172"/>
      <c r="M73" s="1173"/>
      <c r="N73" s="1173"/>
      <c r="O73" s="1174"/>
      <c r="P73" s="1174"/>
      <c r="Q73" s="1174"/>
      <c r="R73" s="1174"/>
      <c r="S73" s="1174"/>
      <c r="T73" s="1174"/>
      <c r="U73" s="1174"/>
      <c r="V73" s="1174"/>
      <c r="W73" s="1174"/>
      <c r="X73" s="1174"/>
      <c r="Y73" s="1174"/>
      <c r="Z73" s="1174"/>
      <c r="AA73" s="1174"/>
      <c r="AB73" s="1174"/>
      <c r="AC73" s="1174"/>
      <c r="AD73" s="1173"/>
      <c r="AE73" s="1173"/>
      <c r="AF73" s="1173"/>
      <c r="AG73" s="1173"/>
      <c r="AH73" s="1173"/>
      <c r="AI73" s="1173"/>
      <c r="AJ73" s="1173"/>
      <c r="AK73" s="1173"/>
      <c r="AL73" s="1173"/>
      <c r="AM73" s="1173"/>
      <c r="AN73" s="1173"/>
      <c r="AO73" s="1173"/>
      <c r="AP73" s="1173"/>
      <c r="AQ73" s="1173"/>
      <c r="AR73" s="1173"/>
      <c r="AS73" s="1173"/>
      <c r="AT73" s="1173"/>
      <c r="AU73" s="1173"/>
      <c r="AV73" s="1173"/>
      <c r="AW73" s="1173"/>
      <c r="AX73" s="1173"/>
      <c r="AY73" s="1173"/>
      <c r="AZ73" s="1173"/>
      <c r="BA73" s="1173"/>
      <c r="BB73" s="1173"/>
      <c r="BC73" s="1173"/>
      <c r="BD73" s="1173"/>
      <c r="BE73" s="1173"/>
      <c r="BF73" s="1173"/>
      <c r="BG73" s="1173"/>
      <c r="BH73" s="1173"/>
      <c r="BI73" s="1173"/>
      <c r="BJ73" s="1173"/>
      <c r="BK73" s="1118"/>
      <c r="BL73" s="1118"/>
    </row>
    <row r="74" spans="1:64" s="401" customFormat="1" ht="28.8" x14ac:dyDescent="0.3">
      <c r="A74" s="1154">
        <v>193</v>
      </c>
      <c r="B74" s="1222"/>
      <c r="C74" s="1153">
        <v>193</v>
      </c>
      <c r="D74" s="1158" t="s">
        <v>304</v>
      </c>
      <c r="E74" s="1158"/>
      <c r="F74" s="1170"/>
      <c r="G74" s="1171"/>
      <c r="H74" s="1171"/>
      <c r="I74" s="1171"/>
      <c r="J74" s="1171"/>
      <c r="K74" s="1171"/>
      <c r="L74" s="1172"/>
      <c r="M74" s="1173"/>
      <c r="N74" s="1173"/>
      <c r="O74" s="1174"/>
      <c r="P74" s="1174"/>
      <c r="Q74" s="1174"/>
      <c r="R74" s="1174"/>
      <c r="S74" s="1174"/>
      <c r="T74" s="1174"/>
      <c r="U74" s="1174"/>
      <c r="V74" s="1174"/>
      <c r="W74" s="1174"/>
      <c r="X74" s="1174"/>
      <c r="Y74" s="1174"/>
      <c r="Z74" s="1174"/>
      <c r="AA74" s="1174"/>
      <c r="AB74" s="1174"/>
      <c r="AC74" s="1174"/>
      <c r="AD74" s="1173"/>
      <c r="AE74" s="1173"/>
      <c r="AF74" s="1173"/>
      <c r="AG74" s="1173"/>
      <c r="AH74" s="1173"/>
      <c r="AI74" s="1173"/>
      <c r="AJ74" s="1173"/>
      <c r="AK74" s="1173"/>
      <c r="AL74" s="1173"/>
      <c r="AM74" s="1173"/>
      <c r="AN74" s="1173"/>
      <c r="AO74" s="1173"/>
      <c r="AP74" s="1173"/>
      <c r="AQ74" s="1173"/>
      <c r="AR74" s="1173"/>
      <c r="AS74" s="1173"/>
      <c r="AT74" s="1173"/>
      <c r="AU74" s="1173"/>
      <c r="AV74" s="1173"/>
      <c r="AW74" s="1173"/>
      <c r="AX74" s="1173"/>
      <c r="AY74" s="1173"/>
      <c r="AZ74" s="1173"/>
      <c r="BA74" s="1173"/>
      <c r="BB74" s="1173"/>
      <c r="BC74" s="1173"/>
      <c r="BD74" s="1173"/>
      <c r="BE74" s="1173"/>
      <c r="BF74" s="1173"/>
      <c r="BG74" s="1173"/>
      <c r="BH74" s="1173"/>
      <c r="BI74" s="1173"/>
      <c r="BJ74" s="1173"/>
      <c r="BK74" s="1118"/>
      <c r="BL74" s="1118"/>
    </row>
    <row r="75" spans="1:64" s="401" customFormat="1" ht="26.4" x14ac:dyDescent="0.3">
      <c r="A75" s="1154">
        <v>194</v>
      </c>
      <c r="B75" s="1222"/>
      <c r="C75" s="1153">
        <v>194</v>
      </c>
      <c r="D75" s="1159" t="s">
        <v>305</v>
      </c>
      <c r="E75" s="1159"/>
      <c r="F75" s="1170"/>
      <c r="G75" s="1171"/>
      <c r="H75" s="1171"/>
      <c r="I75" s="1171"/>
      <c r="J75" s="1171"/>
      <c r="K75" s="1171"/>
      <c r="L75" s="1172"/>
      <c r="M75" s="1173"/>
      <c r="N75" s="1173"/>
      <c r="O75" s="1174"/>
      <c r="P75" s="1174"/>
      <c r="Q75" s="1174"/>
      <c r="R75" s="1174"/>
      <c r="S75" s="1174"/>
      <c r="T75" s="1174"/>
      <c r="U75" s="1174"/>
      <c r="V75" s="1174"/>
      <c r="W75" s="1174"/>
      <c r="X75" s="1174"/>
      <c r="Y75" s="1174"/>
      <c r="Z75" s="1174"/>
      <c r="AA75" s="1174"/>
      <c r="AB75" s="1174"/>
      <c r="AC75" s="1174"/>
      <c r="AD75" s="1173"/>
      <c r="AE75" s="1173"/>
      <c r="AF75" s="1173"/>
      <c r="AG75" s="1173"/>
      <c r="AH75" s="1173"/>
      <c r="AI75" s="1173"/>
      <c r="AJ75" s="1173"/>
      <c r="AK75" s="1173"/>
      <c r="AL75" s="1173"/>
      <c r="AM75" s="1173"/>
      <c r="AN75" s="1173"/>
      <c r="AO75" s="1173"/>
      <c r="AP75" s="1173"/>
      <c r="AQ75" s="1173"/>
      <c r="AR75" s="1173"/>
      <c r="AS75" s="1173"/>
      <c r="AT75" s="1173"/>
      <c r="AU75" s="1173"/>
      <c r="AV75" s="1173"/>
      <c r="AW75" s="1173"/>
      <c r="AX75" s="1173"/>
      <c r="AY75" s="1173"/>
      <c r="AZ75" s="1173"/>
      <c r="BA75" s="1173"/>
      <c r="BB75" s="1173"/>
      <c r="BC75" s="1173"/>
      <c r="BD75" s="1173"/>
      <c r="BE75" s="1173"/>
      <c r="BF75" s="1173"/>
      <c r="BG75" s="1173"/>
      <c r="BH75" s="1173"/>
      <c r="BI75" s="1173"/>
      <c r="BJ75" s="1173"/>
      <c r="BK75" s="1118"/>
      <c r="BL75" s="1118"/>
    </row>
    <row r="76" spans="1:64" s="401" customFormat="1" ht="28.8" x14ac:dyDescent="0.3">
      <c r="A76" s="1154">
        <v>231</v>
      </c>
      <c r="B76" s="1222"/>
      <c r="C76" s="1153">
        <v>231</v>
      </c>
      <c r="D76" s="1203" t="s">
        <v>306</v>
      </c>
      <c r="E76" s="1203"/>
      <c r="F76" s="1170"/>
      <c r="G76" s="1171"/>
      <c r="H76" s="1171"/>
      <c r="I76" s="1171"/>
      <c r="J76" s="1171"/>
      <c r="K76" s="1171"/>
      <c r="L76" s="1172"/>
      <c r="M76" s="1173"/>
      <c r="N76" s="1173"/>
      <c r="O76" s="1174"/>
      <c r="P76" s="1174"/>
      <c r="Q76" s="1174"/>
      <c r="R76" s="1174"/>
      <c r="S76" s="1174"/>
      <c r="T76" s="1174"/>
      <c r="U76" s="1174"/>
      <c r="V76" s="1174"/>
      <c r="W76" s="1174"/>
      <c r="X76" s="1174"/>
      <c r="Y76" s="1174"/>
      <c r="Z76" s="1174"/>
      <c r="AA76" s="1174"/>
      <c r="AB76" s="1174"/>
      <c r="AC76" s="1174"/>
      <c r="AD76" s="1173"/>
      <c r="AE76" s="1173"/>
      <c r="AF76" s="1173"/>
      <c r="AG76" s="1173"/>
      <c r="AH76" s="1173"/>
      <c r="AI76" s="1173"/>
      <c r="AJ76" s="1173"/>
      <c r="AK76" s="1173"/>
      <c r="AL76" s="1173"/>
      <c r="AM76" s="1173"/>
      <c r="AN76" s="1173"/>
      <c r="AO76" s="1173"/>
      <c r="AP76" s="1173"/>
      <c r="AQ76" s="1173"/>
      <c r="AR76" s="1173"/>
      <c r="AS76" s="1173"/>
      <c r="AT76" s="1173"/>
      <c r="AU76" s="1173"/>
      <c r="AV76" s="1173"/>
      <c r="AW76" s="1173"/>
      <c r="AX76" s="1173"/>
      <c r="AY76" s="1173"/>
      <c r="AZ76" s="1173"/>
      <c r="BA76" s="1173"/>
      <c r="BB76" s="1173"/>
      <c r="BC76" s="1173"/>
      <c r="BD76" s="1173"/>
      <c r="BE76" s="1173"/>
      <c r="BF76" s="1173"/>
      <c r="BG76" s="1173"/>
      <c r="BH76" s="1173"/>
      <c r="BI76" s="1173"/>
      <c r="BJ76" s="1173"/>
      <c r="BK76" s="1118"/>
      <c r="BL76" s="1118"/>
    </row>
    <row r="77" spans="1:64" s="401" customFormat="1" ht="43.2" x14ac:dyDescent="0.3">
      <c r="A77" s="1154">
        <v>251</v>
      </c>
      <c r="B77" s="1222"/>
      <c r="C77" s="1153">
        <v>251</v>
      </c>
      <c r="D77" s="1203" t="s">
        <v>307</v>
      </c>
      <c r="E77" s="1203"/>
      <c r="F77" s="1170"/>
      <c r="G77" s="1171"/>
      <c r="H77" s="1171"/>
      <c r="I77" s="1171"/>
      <c r="J77" s="1171"/>
      <c r="K77" s="1171"/>
      <c r="L77" s="1172"/>
      <c r="M77" s="1173"/>
      <c r="N77" s="1173"/>
      <c r="O77" s="1174"/>
      <c r="P77" s="1174"/>
      <c r="Q77" s="1174"/>
      <c r="R77" s="1174"/>
      <c r="S77" s="1174"/>
      <c r="T77" s="1174"/>
      <c r="U77" s="1174"/>
      <c r="V77" s="1174"/>
      <c r="W77" s="1174"/>
      <c r="X77" s="1174"/>
      <c r="Y77" s="1174"/>
      <c r="Z77" s="1174"/>
      <c r="AA77" s="1174"/>
      <c r="AB77" s="1174"/>
      <c r="AC77" s="1174"/>
      <c r="AD77" s="1173"/>
      <c r="AE77" s="1173"/>
      <c r="AF77" s="1173"/>
      <c r="AG77" s="1173"/>
      <c r="AH77" s="1173"/>
      <c r="AI77" s="1173"/>
      <c r="AJ77" s="1173"/>
      <c r="AK77" s="1173"/>
      <c r="AL77" s="1173"/>
      <c r="AM77" s="1173"/>
      <c r="AN77" s="1173"/>
      <c r="AO77" s="1173"/>
      <c r="AP77" s="1173"/>
      <c r="AQ77" s="1173"/>
      <c r="AR77" s="1173"/>
      <c r="AS77" s="1173"/>
      <c r="AT77" s="1173"/>
      <c r="AU77" s="1173"/>
      <c r="AV77" s="1173"/>
      <c r="AW77" s="1173"/>
      <c r="AX77" s="1173"/>
      <c r="AY77" s="1173"/>
      <c r="AZ77" s="1173"/>
      <c r="BA77" s="1173"/>
      <c r="BB77" s="1173"/>
      <c r="BC77" s="1173"/>
      <c r="BD77" s="1173"/>
      <c r="BE77" s="1173"/>
      <c r="BF77" s="1173"/>
      <c r="BG77" s="1173"/>
      <c r="BH77" s="1173"/>
      <c r="BI77" s="1173"/>
      <c r="BJ77" s="1173"/>
      <c r="BK77" s="1118"/>
      <c r="BL77" s="1118"/>
    </row>
    <row r="78" spans="1:64" s="401" customFormat="1" ht="28.8" x14ac:dyDescent="0.3">
      <c r="A78" s="1154">
        <v>252</v>
      </c>
      <c r="B78" s="1222">
        <v>252</v>
      </c>
      <c r="C78" s="1153">
        <v>252</v>
      </c>
      <c r="D78" s="1203" t="s">
        <v>103</v>
      </c>
      <c r="E78" s="1203"/>
      <c r="F78" s="1170">
        <v>77495113</v>
      </c>
      <c r="G78" s="1171">
        <v>112086085</v>
      </c>
      <c r="H78" s="1171">
        <v>76251605</v>
      </c>
      <c r="I78" s="1171">
        <v>20687441</v>
      </c>
      <c r="J78" s="1171">
        <v>104995761</v>
      </c>
      <c r="K78" s="1171">
        <v>64576551</v>
      </c>
      <c r="L78" s="1172">
        <v>29944960</v>
      </c>
      <c r="M78" s="1173">
        <v>27619351</v>
      </c>
      <c r="N78" s="1173">
        <v>75445340</v>
      </c>
      <c r="O78" s="1174">
        <v>22132869</v>
      </c>
      <c r="P78" s="1174">
        <v>35838485</v>
      </c>
      <c r="Q78" s="1174">
        <v>197636773</v>
      </c>
      <c r="R78" s="1174">
        <v>50953747</v>
      </c>
      <c r="S78" s="1174">
        <v>28403477</v>
      </c>
      <c r="T78" s="1174">
        <v>1022671</v>
      </c>
      <c r="U78" s="1174">
        <v>139815707</v>
      </c>
      <c r="V78" s="1174">
        <v>300642058</v>
      </c>
      <c r="W78" s="1174">
        <v>48272030</v>
      </c>
      <c r="X78" s="1174">
        <v>20718194</v>
      </c>
      <c r="Y78" s="1174">
        <v>255457122</v>
      </c>
      <c r="Z78" s="1174">
        <v>79612167</v>
      </c>
      <c r="AA78" s="1174">
        <v>6136015</v>
      </c>
      <c r="AB78" s="1174">
        <v>172931189</v>
      </c>
      <c r="AC78" s="1174">
        <v>22615328</v>
      </c>
      <c r="AD78" s="1173">
        <v>21764753</v>
      </c>
      <c r="AE78" s="1173">
        <v>195915978</v>
      </c>
      <c r="AF78" s="1173">
        <v>14608407</v>
      </c>
      <c r="AG78" s="1173">
        <v>146811343</v>
      </c>
      <c r="AH78" s="1173">
        <v>50295547</v>
      </c>
      <c r="AI78" s="1173">
        <v>30749175</v>
      </c>
      <c r="AJ78" s="1173">
        <v>118297474</v>
      </c>
      <c r="AK78" s="1173">
        <v>68560223</v>
      </c>
      <c r="AL78" s="1173">
        <v>127999738</v>
      </c>
      <c r="AM78" s="1173">
        <v>81359039</v>
      </c>
      <c r="AN78" s="1173">
        <v>98997157</v>
      </c>
      <c r="AO78" s="1173">
        <v>65574348</v>
      </c>
      <c r="AP78" s="1173">
        <v>51604220</v>
      </c>
      <c r="AQ78" s="1173">
        <v>73951242</v>
      </c>
      <c r="AR78" s="1173">
        <v>83938330</v>
      </c>
      <c r="AS78" s="1173">
        <v>21756510</v>
      </c>
      <c r="AT78" s="1173">
        <v>18436681</v>
      </c>
      <c r="AU78" s="1173">
        <v>37774767</v>
      </c>
      <c r="AV78" s="1173">
        <v>6492569</v>
      </c>
      <c r="AW78" s="1173">
        <v>635033673</v>
      </c>
      <c r="AX78" s="1173">
        <v>39776920</v>
      </c>
      <c r="AY78" s="1173">
        <v>3733190940</v>
      </c>
      <c r="AZ78" s="1173">
        <v>13954281</v>
      </c>
      <c r="BA78" s="1173">
        <v>14565841</v>
      </c>
      <c r="BB78" s="1173">
        <v>17802293</v>
      </c>
      <c r="BC78" s="1173">
        <v>91685653</v>
      </c>
      <c r="BD78" s="1173">
        <v>3178019</v>
      </c>
      <c r="BE78" s="1173">
        <v>8899148</v>
      </c>
      <c r="BF78" s="1173">
        <v>66101931</v>
      </c>
      <c r="BG78" s="1173">
        <v>75237536</v>
      </c>
      <c r="BH78" s="1173">
        <v>661272174</v>
      </c>
      <c r="BI78" s="1173">
        <v>39297662</v>
      </c>
      <c r="BJ78" s="1173">
        <v>26462926</v>
      </c>
      <c r="BK78" s="1118"/>
      <c r="BL78" s="1118"/>
    </row>
    <row r="79" spans="1:64" s="401" customFormat="1" x14ac:dyDescent="0.3">
      <c r="A79" s="1154">
        <v>253</v>
      </c>
      <c r="B79" s="1222">
        <v>253</v>
      </c>
      <c r="C79" s="1153">
        <v>253</v>
      </c>
      <c r="D79" s="1203" t="s">
        <v>104</v>
      </c>
      <c r="E79" s="1203"/>
      <c r="F79" s="1170">
        <v>840459</v>
      </c>
      <c r="G79" s="1171">
        <v>3107591</v>
      </c>
      <c r="H79" s="1171">
        <v>4056932</v>
      </c>
      <c r="I79" s="1171">
        <v>949851</v>
      </c>
      <c r="J79" s="1171">
        <v>4775395</v>
      </c>
      <c r="K79" s="1171">
        <v>1257700</v>
      </c>
      <c r="L79" s="1172">
        <v>1348047</v>
      </c>
      <c r="M79" s="1173">
        <v>2311213</v>
      </c>
      <c r="N79" s="1173">
        <v>2066090</v>
      </c>
      <c r="O79" s="1174">
        <v>1334934</v>
      </c>
      <c r="P79" s="1174">
        <v>1263135</v>
      </c>
      <c r="Q79" s="1174">
        <v>3181068</v>
      </c>
      <c r="R79" s="1174">
        <v>3162056</v>
      </c>
      <c r="S79" s="1174">
        <v>425214</v>
      </c>
      <c r="T79" s="1174">
        <v>48271</v>
      </c>
      <c r="U79" s="1174">
        <v>3228905</v>
      </c>
      <c r="V79" s="1174">
        <v>9858403</v>
      </c>
      <c r="W79" s="1174">
        <v>3324494</v>
      </c>
      <c r="X79" s="1174">
        <v>1278377</v>
      </c>
      <c r="Y79" s="1174">
        <v>39826521</v>
      </c>
      <c r="Z79" s="1174">
        <v>3818944</v>
      </c>
      <c r="AA79" s="1174">
        <v>713857</v>
      </c>
      <c r="AB79" s="1174">
        <v>6141169</v>
      </c>
      <c r="AC79" s="1174">
        <v>468391</v>
      </c>
      <c r="AD79" s="1173">
        <v>1010892</v>
      </c>
      <c r="AE79" s="1173">
        <v>6857492</v>
      </c>
      <c r="AF79" s="1173">
        <v>791070</v>
      </c>
      <c r="AG79" s="1173">
        <v>5632618</v>
      </c>
      <c r="AH79" s="1173">
        <v>4117614</v>
      </c>
      <c r="AI79" s="1173">
        <v>1272203</v>
      </c>
      <c r="AJ79" s="1173">
        <v>19177103</v>
      </c>
      <c r="AK79" s="1173">
        <v>7884515</v>
      </c>
      <c r="AL79" s="1173">
        <v>8563789</v>
      </c>
      <c r="AM79" s="1173">
        <v>7091710</v>
      </c>
      <c r="AN79" s="1173">
        <v>2087884</v>
      </c>
      <c r="AO79" s="1173">
        <v>699008</v>
      </c>
      <c r="AP79" s="1173">
        <v>2356900</v>
      </c>
      <c r="AQ79" s="1173">
        <v>1986320</v>
      </c>
      <c r="AR79" s="1173">
        <v>2162591</v>
      </c>
      <c r="AS79" s="1173">
        <v>2421020</v>
      </c>
      <c r="AT79" s="1173">
        <v>469889</v>
      </c>
      <c r="AU79" s="1173">
        <v>1761970</v>
      </c>
      <c r="AV79" s="1173">
        <v>737959</v>
      </c>
      <c r="AW79" s="1173">
        <v>17194566</v>
      </c>
      <c r="AX79" s="1173">
        <v>1154144</v>
      </c>
      <c r="AY79" s="1173">
        <v>22443897</v>
      </c>
      <c r="AZ79" s="1173">
        <v>769091</v>
      </c>
      <c r="BA79" s="1173">
        <v>548998</v>
      </c>
      <c r="BB79" s="1173">
        <v>1284913</v>
      </c>
      <c r="BC79" s="1173">
        <v>2319923</v>
      </c>
      <c r="BD79" s="1173">
        <v>909384</v>
      </c>
      <c r="BE79" s="1173">
        <v>2845594</v>
      </c>
      <c r="BF79" s="1173">
        <v>8073244</v>
      </c>
      <c r="BG79" s="1173">
        <v>4231076</v>
      </c>
      <c r="BH79" s="1173">
        <v>10684573</v>
      </c>
      <c r="BI79" s="1173">
        <v>1471654</v>
      </c>
      <c r="BJ79" s="1173">
        <v>2109549</v>
      </c>
      <c r="BK79" s="1118"/>
      <c r="BL79" s="1118"/>
    </row>
    <row r="80" spans="1:64" s="401" customFormat="1" x14ac:dyDescent="0.3">
      <c r="A80" s="1154">
        <v>254</v>
      </c>
      <c r="B80" s="1222">
        <v>254</v>
      </c>
      <c r="C80" s="1153">
        <v>254</v>
      </c>
      <c r="D80" s="1203" t="s">
        <v>105</v>
      </c>
      <c r="E80" s="1203"/>
      <c r="F80" s="1170">
        <v>-93081470</v>
      </c>
      <c r="G80" s="1171">
        <v>-164061428</v>
      </c>
      <c r="H80" s="1171">
        <v>-123713529</v>
      </c>
      <c r="I80" s="1171">
        <v>-49491212</v>
      </c>
      <c r="J80" s="1171">
        <v>-177435473</v>
      </c>
      <c r="K80" s="1171">
        <v>-70182810</v>
      </c>
      <c r="L80" s="1172">
        <v>-37160759</v>
      </c>
      <c r="M80" s="1173">
        <v>-51735380</v>
      </c>
      <c r="N80" s="1173">
        <v>-98365356</v>
      </c>
      <c r="O80" s="1174">
        <v>-32727155</v>
      </c>
      <c r="P80" s="1174">
        <v>-61566764</v>
      </c>
      <c r="Q80" s="1174">
        <v>-206775650</v>
      </c>
      <c r="R80" s="1174">
        <v>-89915559</v>
      </c>
      <c r="S80" s="1174">
        <v>-24111827</v>
      </c>
      <c r="T80" s="1174">
        <v>-2292127</v>
      </c>
      <c r="U80" s="1174">
        <v>-223510349</v>
      </c>
      <c r="V80" s="1174">
        <v>-432228238</v>
      </c>
      <c r="W80" s="1174">
        <v>-52866718</v>
      </c>
      <c r="X80" s="1174">
        <v>-29864970</v>
      </c>
      <c r="Y80" s="1174">
        <v>-377054935</v>
      </c>
      <c r="Z80" s="1174">
        <v>-138163568</v>
      </c>
      <c r="AA80" s="1174">
        <v>-26526581</v>
      </c>
      <c r="AB80" s="1174">
        <v>-133965730</v>
      </c>
      <c r="AC80" s="1174">
        <v>-29058282</v>
      </c>
      <c r="AD80" s="1173">
        <v>-78111515</v>
      </c>
      <c r="AE80" s="1173">
        <v>-374261448</v>
      </c>
      <c r="AF80" s="1173">
        <v>-42663622</v>
      </c>
      <c r="AG80" s="1173">
        <v>-259983904</v>
      </c>
      <c r="AH80" s="1173">
        <v>-107600338</v>
      </c>
      <c r="AI80" s="1173">
        <v>-42873024</v>
      </c>
      <c r="AJ80" s="1173">
        <v>-329447135</v>
      </c>
      <c r="AK80" s="1173">
        <v>-164037915</v>
      </c>
      <c r="AL80" s="1173">
        <v>-290235718</v>
      </c>
      <c r="AM80" s="1173">
        <v>-134265729</v>
      </c>
      <c r="AN80" s="1173">
        <v>-125514974</v>
      </c>
      <c r="AO80" s="1173">
        <v>-101061092</v>
      </c>
      <c r="AP80" s="1173">
        <v>-125333190</v>
      </c>
      <c r="AQ80" s="1173">
        <v>-101171152</v>
      </c>
      <c r="AR80" s="1173">
        <v>-121089363</v>
      </c>
      <c r="AS80" s="1173">
        <v>-33194230</v>
      </c>
      <c r="AT80" s="1173">
        <v>-42039861</v>
      </c>
      <c r="AU80" s="1173">
        <v>-62913771</v>
      </c>
      <c r="AV80" s="1173">
        <v>-13461499</v>
      </c>
      <c r="AW80" s="1173">
        <v>-663378236</v>
      </c>
      <c r="AX80" s="1173">
        <v>-96252781</v>
      </c>
      <c r="AY80" s="1173">
        <v>-2712327735</v>
      </c>
      <c r="AZ80" s="1173">
        <v>-35489298</v>
      </c>
      <c r="BA80" s="1173">
        <v>-24380903</v>
      </c>
      <c r="BB80" s="1173">
        <v>-80299693</v>
      </c>
      <c r="BC80" s="1173">
        <v>-277307215</v>
      </c>
      <c r="BD80" s="1173">
        <v>-17516982</v>
      </c>
      <c r="BE80" s="1173">
        <v>-32913226</v>
      </c>
      <c r="BF80" s="1173">
        <v>-154129926</v>
      </c>
      <c r="BG80" s="1173">
        <v>-166973003</v>
      </c>
      <c r="BH80" s="1173">
        <v>-906431299</v>
      </c>
      <c r="BI80" s="1173">
        <v>-83642769</v>
      </c>
      <c r="BJ80" s="1173">
        <v>-40404136</v>
      </c>
      <c r="BK80" s="1118"/>
      <c r="BL80" s="1118"/>
    </row>
    <row r="81" spans="1:64" s="401" customFormat="1" x14ac:dyDescent="0.3">
      <c r="A81" s="1154">
        <v>255</v>
      </c>
      <c r="B81" s="1222">
        <v>255</v>
      </c>
      <c r="C81" s="1153">
        <v>255</v>
      </c>
      <c r="D81" s="1203" t="s">
        <v>196</v>
      </c>
      <c r="E81" s="1203"/>
      <c r="F81" s="1170">
        <v>-5171135</v>
      </c>
      <c r="G81" s="1171">
        <v>3034990</v>
      </c>
      <c r="H81" s="1171">
        <v>-2128126</v>
      </c>
      <c r="I81" s="1171">
        <v>-592852</v>
      </c>
      <c r="J81" s="1171">
        <v>-2457791</v>
      </c>
      <c r="K81" s="1171">
        <v>-440379</v>
      </c>
      <c r="L81" s="1172">
        <v>-1498988</v>
      </c>
      <c r="M81" s="1173">
        <v>-413996</v>
      </c>
      <c r="N81" s="1173">
        <v>10874207</v>
      </c>
      <c r="O81" s="1174">
        <v>-719642</v>
      </c>
      <c r="P81" s="1174">
        <v>-363039</v>
      </c>
      <c r="Q81" s="1174">
        <v>64814980</v>
      </c>
      <c r="R81" s="1174">
        <v>-2394288</v>
      </c>
      <c r="S81" s="1174">
        <v>208170</v>
      </c>
      <c r="T81" s="1174">
        <v>1069747</v>
      </c>
      <c r="U81" s="1174">
        <v>-1806683</v>
      </c>
      <c r="V81" s="1174">
        <v>13650255</v>
      </c>
      <c r="W81" s="1174">
        <v>2638063</v>
      </c>
      <c r="X81" s="1174">
        <v>-470374</v>
      </c>
      <c r="Y81" s="1174">
        <v>20275218</v>
      </c>
      <c r="Z81" s="1174">
        <v>9748411</v>
      </c>
      <c r="AA81" s="1174">
        <v>-120536</v>
      </c>
      <c r="AB81" s="1174">
        <v>-5819775</v>
      </c>
      <c r="AC81" s="1174">
        <v>-816123</v>
      </c>
      <c r="AD81" s="1173">
        <v>-920243</v>
      </c>
      <c r="AE81" s="1173">
        <v>-3839244</v>
      </c>
      <c r="AF81" s="1173">
        <v>47969</v>
      </c>
      <c r="AG81" s="1173">
        <v>9906495</v>
      </c>
      <c r="AH81" s="1173">
        <v>-602371</v>
      </c>
      <c r="AI81" s="1173">
        <v>-1209528</v>
      </c>
      <c r="AJ81" s="1173">
        <v>1832146</v>
      </c>
      <c r="AK81" s="1173">
        <v>869558</v>
      </c>
      <c r="AL81" s="1173">
        <v>841235</v>
      </c>
      <c r="AM81" s="1173">
        <v>-2250075</v>
      </c>
      <c r="AN81" s="1173">
        <v>528408</v>
      </c>
      <c r="AO81" s="1173">
        <v>11939050</v>
      </c>
      <c r="AP81" s="1173">
        <v>426587</v>
      </c>
      <c r="AQ81" s="1173">
        <v>1366483</v>
      </c>
      <c r="AR81" s="1173">
        <v>12523547</v>
      </c>
      <c r="AS81" s="1173">
        <v>2413656</v>
      </c>
      <c r="AT81" s="1173">
        <v>159851</v>
      </c>
      <c r="AU81" s="1173">
        <v>849939</v>
      </c>
      <c r="AV81" s="1173">
        <v>117598</v>
      </c>
      <c r="AW81" s="1173">
        <v>18086619</v>
      </c>
      <c r="AX81" s="1173">
        <v>2183638</v>
      </c>
      <c r="AY81" s="1173">
        <v>157689819</v>
      </c>
      <c r="AZ81" s="1173">
        <v>1205628</v>
      </c>
      <c r="BA81" s="1173">
        <v>527577</v>
      </c>
      <c r="BB81" s="1173">
        <v>-2896581</v>
      </c>
      <c r="BC81" s="1173">
        <v>-2084464</v>
      </c>
      <c r="BD81" s="1173">
        <v>1708564</v>
      </c>
      <c r="BE81" s="1173">
        <v>303139</v>
      </c>
      <c r="BF81" s="1173">
        <v>1156150</v>
      </c>
      <c r="BG81" s="1173">
        <v>1892560</v>
      </c>
      <c r="BH81" s="1173">
        <v>-26439</v>
      </c>
      <c r="BI81" s="1173">
        <v>524028</v>
      </c>
      <c r="BJ81" s="1173">
        <v>736459</v>
      </c>
      <c r="BK81" s="1118"/>
      <c r="BL81" s="1118"/>
    </row>
    <row r="82" spans="1:64" s="401" customFormat="1" ht="28.8" x14ac:dyDescent="0.3">
      <c r="A82" s="1154">
        <v>274</v>
      </c>
      <c r="B82" s="1222"/>
      <c r="C82" s="1153">
        <v>274</v>
      </c>
      <c r="D82" s="1158" t="s">
        <v>308</v>
      </c>
      <c r="E82" s="1158"/>
      <c r="F82" s="1170"/>
      <c r="G82" s="1171"/>
      <c r="H82" s="1171"/>
      <c r="I82" s="1171"/>
      <c r="J82" s="1171"/>
      <c r="K82" s="1171"/>
      <c r="L82" s="1172"/>
      <c r="M82" s="1173"/>
      <c r="N82" s="1173"/>
      <c r="O82" s="1174"/>
      <c r="P82" s="1174"/>
      <c r="Q82" s="1174"/>
      <c r="R82" s="1174"/>
      <c r="S82" s="1174"/>
      <c r="T82" s="1174"/>
      <c r="U82" s="1174"/>
      <c r="V82" s="1174"/>
      <c r="W82" s="1174"/>
      <c r="X82" s="1174"/>
      <c r="Y82" s="1174"/>
      <c r="Z82" s="1174"/>
      <c r="AA82" s="1174"/>
      <c r="AB82" s="1174"/>
      <c r="AC82" s="1174"/>
      <c r="AD82" s="1173"/>
      <c r="AE82" s="1173"/>
      <c r="AF82" s="1173"/>
      <c r="AG82" s="1173"/>
      <c r="AH82" s="1173"/>
      <c r="AI82" s="1173"/>
      <c r="AJ82" s="1173"/>
      <c r="AK82" s="1173"/>
      <c r="AL82" s="1173"/>
      <c r="AM82" s="1173"/>
      <c r="AN82" s="1173"/>
      <c r="AO82" s="1173"/>
      <c r="AP82" s="1173"/>
      <c r="AQ82" s="1173"/>
      <c r="AR82" s="1173"/>
      <c r="AS82" s="1173"/>
      <c r="AT82" s="1173"/>
      <c r="AU82" s="1173"/>
      <c r="AV82" s="1173"/>
      <c r="AW82" s="1173"/>
      <c r="AX82" s="1173"/>
      <c r="AY82" s="1173"/>
      <c r="AZ82" s="1173"/>
      <c r="BA82" s="1173"/>
      <c r="BB82" s="1173"/>
      <c r="BC82" s="1173"/>
      <c r="BD82" s="1173"/>
      <c r="BE82" s="1173"/>
      <c r="BF82" s="1173"/>
      <c r="BG82" s="1173"/>
      <c r="BH82" s="1173"/>
      <c r="BI82" s="1173"/>
      <c r="BJ82" s="1173"/>
      <c r="BK82" s="1118"/>
      <c r="BL82" s="1118"/>
    </row>
    <row r="83" spans="1:64" s="401" customFormat="1" ht="26.4" x14ac:dyDescent="0.3">
      <c r="A83" s="1154">
        <v>294</v>
      </c>
      <c r="B83" s="1222"/>
      <c r="C83" s="1153">
        <v>294</v>
      </c>
      <c r="D83" s="1159" t="s">
        <v>562</v>
      </c>
      <c r="E83" s="1159"/>
      <c r="F83" s="1170"/>
      <c r="G83" s="1171"/>
      <c r="H83" s="1171"/>
      <c r="I83" s="1171"/>
      <c r="J83" s="1171"/>
      <c r="K83" s="1171"/>
      <c r="L83" s="1172"/>
      <c r="M83" s="1173"/>
      <c r="N83" s="1173"/>
      <c r="O83" s="1174"/>
      <c r="P83" s="1174"/>
      <c r="Q83" s="1174"/>
      <c r="R83" s="1174"/>
      <c r="S83" s="1174"/>
      <c r="T83" s="1174"/>
      <c r="U83" s="1174"/>
      <c r="V83" s="1174"/>
      <c r="W83" s="1174"/>
      <c r="X83" s="1174"/>
      <c r="Y83" s="1174"/>
      <c r="Z83" s="1174"/>
      <c r="AA83" s="1174"/>
      <c r="AB83" s="1174"/>
      <c r="AC83" s="1174"/>
      <c r="AD83" s="1173"/>
      <c r="AE83" s="1173"/>
      <c r="AF83" s="1173"/>
      <c r="AG83" s="1173"/>
      <c r="AH83" s="1173"/>
      <c r="AI83" s="1173"/>
      <c r="AJ83" s="1173"/>
      <c r="AK83" s="1173"/>
      <c r="AL83" s="1173"/>
      <c r="AM83" s="1173"/>
      <c r="AN83" s="1173"/>
      <c r="AO83" s="1173"/>
      <c r="AP83" s="1173"/>
      <c r="AQ83" s="1173"/>
      <c r="AR83" s="1173"/>
      <c r="AS83" s="1173"/>
      <c r="AT83" s="1173"/>
      <c r="AU83" s="1173"/>
      <c r="AV83" s="1173"/>
      <c r="AW83" s="1173"/>
      <c r="AX83" s="1173"/>
      <c r="AY83" s="1173"/>
      <c r="AZ83" s="1173"/>
      <c r="BA83" s="1173"/>
      <c r="BB83" s="1173"/>
      <c r="BC83" s="1173"/>
      <c r="BD83" s="1173"/>
      <c r="BE83" s="1173"/>
      <c r="BF83" s="1173"/>
      <c r="BG83" s="1173"/>
      <c r="BH83" s="1173"/>
      <c r="BI83" s="1173"/>
      <c r="BJ83" s="1173"/>
      <c r="BK83" s="1118"/>
      <c r="BL83" s="1118"/>
    </row>
    <row r="84" spans="1:64" s="401" customFormat="1" ht="39.6" x14ac:dyDescent="0.3">
      <c r="A84" s="1154">
        <v>314</v>
      </c>
      <c r="B84" s="1222"/>
      <c r="C84" s="1153">
        <v>314</v>
      </c>
      <c r="D84" s="1159" t="s">
        <v>309</v>
      </c>
      <c r="E84" s="1159"/>
      <c r="F84" s="1170"/>
      <c r="G84" s="1171"/>
      <c r="H84" s="1171"/>
      <c r="I84" s="1171"/>
      <c r="J84" s="1171"/>
      <c r="K84" s="1171"/>
      <c r="L84" s="1172"/>
      <c r="M84" s="1173"/>
      <c r="N84" s="1173"/>
      <c r="O84" s="1174"/>
      <c r="P84" s="1174"/>
      <c r="Q84" s="1174"/>
      <c r="R84" s="1174"/>
      <c r="S84" s="1174"/>
      <c r="T84" s="1174"/>
      <c r="U84" s="1174"/>
      <c r="V84" s="1174"/>
      <c r="W84" s="1174"/>
      <c r="X84" s="1174"/>
      <c r="Y84" s="1174"/>
      <c r="Z84" s="1174"/>
      <c r="AA84" s="1174"/>
      <c r="AB84" s="1174"/>
      <c r="AC84" s="1174"/>
      <c r="AD84" s="1173"/>
      <c r="AE84" s="1173"/>
      <c r="AF84" s="1173"/>
      <c r="AG84" s="1173"/>
      <c r="AH84" s="1173"/>
      <c r="AI84" s="1173"/>
      <c r="AJ84" s="1173"/>
      <c r="AK84" s="1173"/>
      <c r="AL84" s="1173"/>
      <c r="AM84" s="1173"/>
      <c r="AN84" s="1173"/>
      <c r="AO84" s="1173"/>
      <c r="AP84" s="1173"/>
      <c r="AQ84" s="1173"/>
      <c r="AR84" s="1173"/>
      <c r="AS84" s="1173"/>
      <c r="AT84" s="1173"/>
      <c r="AU84" s="1173"/>
      <c r="AV84" s="1173"/>
      <c r="AW84" s="1173"/>
      <c r="AX84" s="1173"/>
      <c r="AY84" s="1173"/>
      <c r="AZ84" s="1173"/>
      <c r="BA84" s="1173"/>
      <c r="BB84" s="1173"/>
      <c r="BC84" s="1173"/>
      <c r="BD84" s="1173"/>
      <c r="BE84" s="1173"/>
      <c r="BF84" s="1173"/>
      <c r="BG84" s="1173"/>
      <c r="BH84" s="1173"/>
      <c r="BI84" s="1173"/>
      <c r="BJ84" s="1173"/>
      <c r="BK84" s="1118"/>
      <c r="BL84" s="1118"/>
    </row>
    <row r="85" spans="1:64" s="401" customFormat="1" ht="39.6" x14ac:dyDescent="0.3">
      <c r="A85" s="1154">
        <v>315</v>
      </c>
      <c r="B85" s="1222"/>
      <c r="C85" s="1153">
        <v>315</v>
      </c>
      <c r="D85" s="1159" t="s">
        <v>310</v>
      </c>
      <c r="E85" s="1159"/>
      <c r="F85" s="1170"/>
      <c r="G85" s="1171"/>
      <c r="H85" s="1171"/>
      <c r="I85" s="1171"/>
      <c r="J85" s="1171"/>
      <c r="K85" s="1171"/>
      <c r="L85" s="1172"/>
      <c r="M85" s="1173"/>
      <c r="N85" s="1173"/>
      <c r="O85" s="1174"/>
      <c r="P85" s="1174"/>
      <c r="Q85" s="1174"/>
      <c r="R85" s="1174"/>
      <c r="S85" s="1174"/>
      <c r="T85" s="1174"/>
      <c r="U85" s="1174"/>
      <c r="V85" s="1174"/>
      <c r="W85" s="1174"/>
      <c r="X85" s="1174"/>
      <c r="Y85" s="1174"/>
      <c r="Z85" s="1174"/>
      <c r="AA85" s="1174"/>
      <c r="AB85" s="1174"/>
      <c r="AC85" s="1174"/>
      <c r="AD85" s="1173"/>
      <c r="AE85" s="1173"/>
      <c r="AF85" s="1173"/>
      <c r="AG85" s="1173"/>
      <c r="AH85" s="1173"/>
      <c r="AI85" s="1173"/>
      <c r="AJ85" s="1173"/>
      <c r="AK85" s="1173"/>
      <c r="AL85" s="1173"/>
      <c r="AM85" s="1173"/>
      <c r="AN85" s="1173"/>
      <c r="AO85" s="1173"/>
      <c r="AP85" s="1173"/>
      <c r="AQ85" s="1173"/>
      <c r="AR85" s="1173"/>
      <c r="AS85" s="1173"/>
      <c r="AT85" s="1173"/>
      <c r="AU85" s="1173"/>
      <c r="AV85" s="1173"/>
      <c r="AW85" s="1173"/>
      <c r="AX85" s="1173"/>
      <c r="AY85" s="1173"/>
      <c r="AZ85" s="1173"/>
      <c r="BA85" s="1173"/>
      <c r="BB85" s="1173"/>
      <c r="BC85" s="1173"/>
      <c r="BD85" s="1173"/>
      <c r="BE85" s="1173"/>
      <c r="BF85" s="1173"/>
      <c r="BG85" s="1173"/>
      <c r="BH85" s="1173"/>
      <c r="BI85" s="1173"/>
      <c r="BJ85" s="1173"/>
      <c r="BK85" s="1118"/>
      <c r="BL85" s="1118"/>
    </row>
    <row r="86" spans="1:64" s="401" customFormat="1" ht="26.4" x14ac:dyDescent="0.3">
      <c r="A86" s="1154">
        <v>316</v>
      </c>
      <c r="B86" s="1222"/>
      <c r="C86" s="1153">
        <v>316</v>
      </c>
      <c r="D86" s="1159" t="s">
        <v>311</v>
      </c>
      <c r="E86" s="1159"/>
      <c r="F86" s="1170"/>
      <c r="G86" s="1171"/>
      <c r="H86" s="1171"/>
      <c r="I86" s="1171"/>
      <c r="J86" s="1171"/>
      <c r="K86" s="1171"/>
      <c r="L86" s="1172"/>
      <c r="M86" s="1173"/>
      <c r="N86" s="1173"/>
      <c r="O86" s="1174"/>
      <c r="P86" s="1174"/>
      <c r="Q86" s="1174"/>
      <c r="R86" s="1174"/>
      <c r="S86" s="1174"/>
      <c r="T86" s="1174"/>
      <c r="U86" s="1174"/>
      <c r="V86" s="1174"/>
      <c r="W86" s="1174"/>
      <c r="X86" s="1174"/>
      <c r="Y86" s="1174"/>
      <c r="Z86" s="1174"/>
      <c r="AA86" s="1174"/>
      <c r="AB86" s="1174"/>
      <c r="AC86" s="1174"/>
      <c r="AD86" s="1173"/>
      <c r="AE86" s="1173"/>
      <c r="AF86" s="1173"/>
      <c r="AG86" s="1173"/>
      <c r="AH86" s="1173"/>
      <c r="AI86" s="1173"/>
      <c r="AJ86" s="1173"/>
      <c r="AK86" s="1173"/>
      <c r="AL86" s="1173"/>
      <c r="AM86" s="1173"/>
      <c r="AN86" s="1173"/>
      <c r="AO86" s="1173"/>
      <c r="AP86" s="1173"/>
      <c r="AQ86" s="1173"/>
      <c r="AR86" s="1173"/>
      <c r="AS86" s="1173"/>
      <c r="AT86" s="1173"/>
      <c r="AU86" s="1173"/>
      <c r="AV86" s="1173"/>
      <c r="AW86" s="1173"/>
      <c r="AX86" s="1173"/>
      <c r="AY86" s="1173"/>
      <c r="AZ86" s="1173"/>
      <c r="BA86" s="1173"/>
      <c r="BB86" s="1173"/>
      <c r="BC86" s="1173"/>
      <c r="BD86" s="1173"/>
      <c r="BE86" s="1173"/>
      <c r="BF86" s="1173"/>
      <c r="BG86" s="1173"/>
      <c r="BH86" s="1173"/>
      <c r="BI86" s="1173"/>
      <c r="BJ86" s="1173"/>
      <c r="BK86" s="1118"/>
      <c r="BL86" s="1118"/>
    </row>
    <row r="87" spans="1:64" s="401" customFormat="1" x14ac:dyDescent="0.3">
      <c r="A87" s="1154">
        <v>320</v>
      </c>
      <c r="B87" s="1222"/>
      <c r="C87" s="1153">
        <v>320</v>
      </c>
      <c r="D87" s="1203" t="s">
        <v>1410</v>
      </c>
      <c r="E87" s="1203"/>
      <c r="F87" s="1170"/>
      <c r="G87" s="1171"/>
      <c r="H87" s="1171"/>
      <c r="I87" s="1171"/>
      <c r="J87" s="1171"/>
      <c r="K87" s="1171"/>
      <c r="L87" s="1172"/>
      <c r="M87" s="1173"/>
      <c r="N87" s="1173"/>
      <c r="O87" s="1174"/>
      <c r="P87" s="1174"/>
      <c r="Q87" s="1174"/>
      <c r="R87" s="1174"/>
      <c r="S87" s="1174"/>
      <c r="T87" s="1174"/>
      <c r="U87" s="1174"/>
      <c r="V87" s="1174"/>
      <c r="W87" s="1174"/>
      <c r="X87" s="1174"/>
      <c r="Y87" s="1174"/>
      <c r="Z87" s="1174"/>
      <c r="AA87" s="1174"/>
      <c r="AB87" s="1174"/>
      <c r="AC87" s="1174"/>
      <c r="AD87" s="1173"/>
      <c r="AE87" s="1173"/>
      <c r="AF87" s="1173"/>
      <c r="AG87" s="1173"/>
      <c r="AH87" s="1173"/>
      <c r="AI87" s="1173"/>
      <c r="AJ87" s="1173"/>
      <c r="AK87" s="1173"/>
      <c r="AL87" s="1173"/>
      <c r="AM87" s="1173"/>
      <c r="AN87" s="1173"/>
      <c r="AO87" s="1173"/>
      <c r="AP87" s="1173"/>
      <c r="AQ87" s="1173"/>
      <c r="AR87" s="1173"/>
      <c r="AS87" s="1173"/>
      <c r="AT87" s="1173"/>
      <c r="AU87" s="1173"/>
      <c r="AV87" s="1173"/>
      <c r="AW87" s="1173"/>
      <c r="AX87" s="1173"/>
      <c r="AY87" s="1173"/>
      <c r="AZ87" s="1173"/>
      <c r="BA87" s="1173"/>
      <c r="BB87" s="1173"/>
      <c r="BC87" s="1173"/>
      <c r="BD87" s="1173"/>
      <c r="BE87" s="1173"/>
      <c r="BF87" s="1173"/>
      <c r="BG87" s="1173"/>
      <c r="BH87" s="1173"/>
      <c r="BI87" s="1173"/>
      <c r="BJ87" s="1173"/>
      <c r="BK87" s="1118"/>
      <c r="BL87" s="1118"/>
    </row>
    <row r="88" spans="1:64" s="401" customFormat="1" x14ac:dyDescent="0.3">
      <c r="A88" s="1154">
        <v>321</v>
      </c>
      <c r="B88" s="1222"/>
      <c r="C88" s="1153">
        <v>321</v>
      </c>
      <c r="D88" s="1203" t="s">
        <v>1411</v>
      </c>
      <c r="E88" s="1203"/>
      <c r="F88" s="1170"/>
      <c r="G88" s="1171"/>
      <c r="H88" s="1171"/>
      <c r="I88" s="1171"/>
      <c r="J88" s="1171"/>
      <c r="K88" s="1171"/>
      <c r="L88" s="1172"/>
      <c r="M88" s="1173"/>
      <c r="N88" s="1173"/>
      <c r="O88" s="1174"/>
      <c r="P88" s="1174"/>
      <c r="Q88" s="1174"/>
      <c r="R88" s="1174"/>
      <c r="S88" s="1174"/>
      <c r="T88" s="1174"/>
      <c r="U88" s="1174"/>
      <c r="V88" s="1174"/>
      <c r="W88" s="1174"/>
      <c r="X88" s="1174"/>
      <c r="Y88" s="1174"/>
      <c r="Z88" s="1174"/>
      <c r="AA88" s="1174"/>
      <c r="AB88" s="1174"/>
      <c r="AC88" s="1174"/>
      <c r="AD88" s="1173"/>
      <c r="AE88" s="1173"/>
      <c r="AF88" s="1173"/>
      <c r="AG88" s="1173"/>
      <c r="AH88" s="1173"/>
      <c r="AI88" s="1173"/>
      <c r="AJ88" s="1173"/>
      <c r="AK88" s="1173"/>
      <c r="AL88" s="1173"/>
      <c r="AM88" s="1173"/>
      <c r="AN88" s="1173"/>
      <c r="AO88" s="1173"/>
      <c r="AP88" s="1173"/>
      <c r="AQ88" s="1173"/>
      <c r="AR88" s="1173"/>
      <c r="AS88" s="1173"/>
      <c r="AT88" s="1173"/>
      <c r="AU88" s="1173"/>
      <c r="AV88" s="1173"/>
      <c r="AW88" s="1173"/>
      <c r="AX88" s="1173"/>
      <c r="AY88" s="1173"/>
      <c r="AZ88" s="1173"/>
      <c r="BA88" s="1173"/>
      <c r="BB88" s="1173"/>
      <c r="BC88" s="1173"/>
      <c r="BD88" s="1173"/>
      <c r="BE88" s="1173"/>
      <c r="BF88" s="1173"/>
      <c r="BG88" s="1173"/>
      <c r="BH88" s="1173"/>
      <c r="BI88" s="1173"/>
      <c r="BJ88" s="1173"/>
      <c r="BK88" s="1118"/>
      <c r="BL88" s="1118"/>
    </row>
    <row r="89" spans="1:64" s="401" customFormat="1" ht="28.8" x14ac:dyDescent="0.3">
      <c r="A89" s="1154">
        <v>322</v>
      </c>
      <c r="B89" s="1222"/>
      <c r="C89" s="1153">
        <v>322</v>
      </c>
      <c r="D89" s="1203" t="s">
        <v>1412</v>
      </c>
      <c r="E89" s="1203"/>
      <c r="F89" s="1170"/>
      <c r="G89" s="1171"/>
      <c r="H89" s="1171"/>
      <c r="I89" s="1171"/>
      <c r="J89" s="1171"/>
      <c r="K89" s="1171"/>
      <c r="L89" s="1172"/>
      <c r="M89" s="1173"/>
      <c r="N89" s="1173"/>
      <c r="O89" s="1174"/>
      <c r="P89" s="1174"/>
      <c r="Q89" s="1174"/>
      <c r="R89" s="1174"/>
      <c r="S89" s="1174"/>
      <c r="T89" s="1174"/>
      <c r="U89" s="1174"/>
      <c r="V89" s="1174"/>
      <c r="W89" s="1174"/>
      <c r="X89" s="1174"/>
      <c r="Y89" s="1174"/>
      <c r="Z89" s="1174"/>
      <c r="AA89" s="1174"/>
      <c r="AB89" s="1174"/>
      <c r="AC89" s="1174"/>
      <c r="AD89" s="1173"/>
      <c r="AE89" s="1173"/>
      <c r="AF89" s="1173"/>
      <c r="AG89" s="1173"/>
      <c r="AH89" s="1173"/>
      <c r="AI89" s="1173"/>
      <c r="AJ89" s="1173"/>
      <c r="AK89" s="1173"/>
      <c r="AL89" s="1173"/>
      <c r="AM89" s="1173"/>
      <c r="AN89" s="1173"/>
      <c r="AO89" s="1173"/>
      <c r="AP89" s="1173"/>
      <c r="AQ89" s="1173"/>
      <c r="AR89" s="1173"/>
      <c r="AS89" s="1173"/>
      <c r="AT89" s="1173"/>
      <c r="AU89" s="1173"/>
      <c r="AV89" s="1173"/>
      <c r="AW89" s="1173"/>
      <c r="AX89" s="1173"/>
      <c r="AY89" s="1173"/>
      <c r="AZ89" s="1173"/>
      <c r="BA89" s="1173"/>
      <c r="BB89" s="1173"/>
      <c r="BC89" s="1173"/>
      <c r="BD89" s="1173"/>
      <c r="BE89" s="1173"/>
      <c r="BF89" s="1173"/>
      <c r="BG89" s="1173"/>
      <c r="BH89" s="1173"/>
      <c r="BI89" s="1173"/>
      <c r="BJ89" s="1173"/>
      <c r="BK89" s="1118"/>
      <c r="BL89" s="1118"/>
    </row>
    <row r="90" spans="1:64" s="401" customFormat="1" x14ac:dyDescent="0.3">
      <c r="A90" s="1154">
        <v>323</v>
      </c>
      <c r="B90" s="1222"/>
      <c r="C90" s="1153">
        <v>323</v>
      </c>
      <c r="D90" s="1203" t="s">
        <v>256</v>
      </c>
      <c r="E90" s="1203"/>
      <c r="F90" s="1170"/>
      <c r="G90" s="1171"/>
      <c r="H90" s="1171"/>
      <c r="I90" s="1171"/>
      <c r="J90" s="1171"/>
      <c r="K90" s="1171"/>
      <c r="L90" s="1172"/>
      <c r="M90" s="1173"/>
      <c r="N90" s="1173"/>
      <c r="O90" s="1174"/>
      <c r="P90" s="1174"/>
      <c r="Q90" s="1174"/>
      <c r="R90" s="1174"/>
      <c r="S90" s="1174"/>
      <c r="T90" s="1174"/>
      <c r="U90" s="1174"/>
      <c r="V90" s="1174"/>
      <c r="W90" s="1174"/>
      <c r="X90" s="1174"/>
      <c r="Y90" s="1174"/>
      <c r="Z90" s="1174"/>
      <c r="AA90" s="1174"/>
      <c r="AB90" s="1174"/>
      <c r="AC90" s="1174"/>
      <c r="AD90" s="1173"/>
      <c r="AE90" s="1173"/>
      <c r="AF90" s="1173"/>
      <c r="AG90" s="1173"/>
      <c r="AH90" s="1173"/>
      <c r="AI90" s="1173"/>
      <c r="AJ90" s="1173"/>
      <c r="AK90" s="1173"/>
      <c r="AL90" s="1173"/>
      <c r="AM90" s="1173"/>
      <c r="AN90" s="1173"/>
      <c r="AO90" s="1173"/>
      <c r="AP90" s="1173"/>
      <c r="AQ90" s="1173"/>
      <c r="AR90" s="1173"/>
      <c r="AS90" s="1173"/>
      <c r="AT90" s="1173"/>
      <c r="AU90" s="1173"/>
      <c r="AV90" s="1173"/>
      <c r="AW90" s="1173"/>
      <c r="AX90" s="1173"/>
      <c r="AY90" s="1173"/>
      <c r="AZ90" s="1173"/>
      <c r="BA90" s="1173"/>
      <c r="BB90" s="1173"/>
      <c r="BC90" s="1173"/>
      <c r="BD90" s="1173"/>
      <c r="BE90" s="1173"/>
      <c r="BF90" s="1173"/>
      <c r="BG90" s="1173"/>
      <c r="BH90" s="1173"/>
      <c r="BI90" s="1173"/>
      <c r="BJ90" s="1173"/>
      <c r="BK90" s="1118"/>
      <c r="BL90" s="1118"/>
    </row>
    <row r="91" spans="1:64" s="401" customFormat="1" ht="28.8" x14ac:dyDescent="0.3">
      <c r="A91" s="1154">
        <v>324</v>
      </c>
      <c r="B91" s="1222"/>
      <c r="C91" s="1153">
        <v>324</v>
      </c>
      <c r="D91" s="1203" t="s">
        <v>1413</v>
      </c>
      <c r="E91" s="1203"/>
      <c r="F91" s="1170"/>
      <c r="G91" s="1171"/>
      <c r="H91" s="1171"/>
      <c r="I91" s="1171"/>
      <c r="J91" s="1171"/>
      <c r="K91" s="1171"/>
      <c r="L91" s="1172"/>
      <c r="M91" s="1173"/>
      <c r="N91" s="1173"/>
      <c r="O91" s="1174"/>
      <c r="P91" s="1174"/>
      <c r="Q91" s="1174"/>
      <c r="R91" s="1174"/>
      <c r="S91" s="1174"/>
      <c r="T91" s="1174"/>
      <c r="U91" s="1174"/>
      <c r="V91" s="1174"/>
      <c r="W91" s="1174"/>
      <c r="X91" s="1174"/>
      <c r="Y91" s="1174"/>
      <c r="Z91" s="1174"/>
      <c r="AA91" s="1174"/>
      <c r="AB91" s="1174"/>
      <c r="AC91" s="1174"/>
      <c r="AD91" s="1173"/>
      <c r="AE91" s="1173"/>
      <c r="AF91" s="1173"/>
      <c r="AG91" s="1173"/>
      <c r="AH91" s="1173"/>
      <c r="AI91" s="1173"/>
      <c r="AJ91" s="1173"/>
      <c r="AK91" s="1173"/>
      <c r="AL91" s="1173"/>
      <c r="AM91" s="1173"/>
      <c r="AN91" s="1173"/>
      <c r="AO91" s="1173"/>
      <c r="AP91" s="1173"/>
      <c r="AQ91" s="1173"/>
      <c r="AR91" s="1173"/>
      <c r="AS91" s="1173"/>
      <c r="AT91" s="1173"/>
      <c r="AU91" s="1173"/>
      <c r="AV91" s="1173"/>
      <c r="AW91" s="1173"/>
      <c r="AX91" s="1173"/>
      <c r="AY91" s="1173"/>
      <c r="AZ91" s="1173"/>
      <c r="BA91" s="1173"/>
      <c r="BB91" s="1173"/>
      <c r="BC91" s="1173"/>
      <c r="BD91" s="1173"/>
      <c r="BE91" s="1173"/>
      <c r="BF91" s="1173"/>
      <c r="BG91" s="1173"/>
      <c r="BH91" s="1173"/>
      <c r="BI91" s="1173"/>
      <c r="BJ91" s="1173"/>
      <c r="BK91" s="1118"/>
      <c r="BL91" s="1118"/>
    </row>
    <row r="92" spans="1:64" s="401" customFormat="1" ht="28.8" x14ac:dyDescent="0.3">
      <c r="A92" s="1154">
        <v>325</v>
      </c>
      <c r="B92" s="1222"/>
      <c r="C92" s="1153">
        <v>325</v>
      </c>
      <c r="D92" s="1203" t="s">
        <v>1414</v>
      </c>
      <c r="E92" s="1203"/>
      <c r="F92" s="1170"/>
      <c r="G92" s="1171"/>
      <c r="H92" s="1171"/>
      <c r="I92" s="1171"/>
      <c r="J92" s="1171"/>
      <c r="K92" s="1171"/>
      <c r="L92" s="1172"/>
      <c r="M92" s="1173"/>
      <c r="N92" s="1173"/>
      <c r="O92" s="1174"/>
      <c r="P92" s="1174"/>
      <c r="Q92" s="1174"/>
      <c r="R92" s="1174"/>
      <c r="S92" s="1174"/>
      <c r="T92" s="1174"/>
      <c r="U92" s="1174"/>
      <c r="V92" s="1174"/>
      <c r="W92" s="1174"/>
      <c r="X92" s="1174"/>
      <c r="Y92" s="1174"/>
      <c r="Z92" s="1174"/>
      <c r="AA92" s="1174"/>
      <c r="AB92" s="1174"/>
      <c r="AC92" s="1174"/>
      <c r="AD92" s="1173"/>
      <c r="AE92" s="1173"/>
      <c r="AF92" s="1173"/>
      <c r="AG92" s="1173"/>
      <c r="AH92" s="1173"/>
      <c r="AI92" s="1173"/>
      <c r="AJ92" s="1173"/>
      <c r="AK92" s="1173"/>
      <c r="AL92" s="1173"/>
      <c r="AM92" s="1173"/>
      <c r="AN92" s="1173"/>
      <c r="AO92" s="1173"/>
      <c r="AP92" s="1173"/>
      <c r="AQ92" s="1173"/>
      <c r="AR92" s="1173"/>
      <c r="AS92" s="1173"/>
      <c r="AT92" s="1173"/>
      <c r="AU92" s="1173"/>
      <c r="AV92" s="1173"/>
      <c r="AW92" s="1173"/>
      <c r="AX92" s="1173"/>
      <c r="AY92" s="1173"/>
      <c r="AZ92" s="1173"/>
      <c r="BA92" s="1173"/>
      <c r="BB92" s="1173"/>
      <c r="BC92" s="1173"/>
      <c r="BD92" s="1173"/>
      <c r="BE92" s="1173"/>
      <c r="BF92" s="1173"/>
      <c r="BG92" s="1173"/>
      <c r="BH92" s="1173"/>
      <c r="BI92" s="1173"/>
      <c r="BJ92" s="1173"/>
      <c r="BK92" s="1118"/>
      <c r="BL92" s="1118"/>
    </row>
    <row r="93" spans="1:64" s="401" customFormat="1" ht="26.4" x14ac:dyDescent="0.3">
      <c r="A93" s="1154">
        <v>326</v>
      </c>
      <c r="B93" s="1222"/>
      <c r="C93" s="1153">
        <v>326</v>
      </c>
      <c r="D93" s="1159" t="s">
        <v>1415</v>
      </c>
      <c r="E93" s="1159"/>
      <c r="F93" s="1170"/>
      <c r="G93" s="1171"/>
      <c r="H93" s="1171"/>
      <c r="I93" s="1171"/>
      <c r="J93" s="1171"/>
      <c r="K93" s="1171"/>
      <c r="L93" s="1172"/>
      <c r="M93" s="1173"/>
      <c r="N93" s="1173"/>
      <c r="O93" s="1174"/>
      <c r="P93" s="1174"/>
      <c r="Q93" s="1174"/>
      <c r="R93" s="1174"/>
      <c r="S93" s="1174"/>
      <c r="T93" s="1174"/>
      <c r="U93" s="1174"/>
      <c r="V93" s="1174"/>
      <c r="W93" s="1174"/>
      <c r="X93" s="1174"/>
      <c r="Y93" s="1174"/>
      <c r="Z93" s="1174"/>
      <c r="AA93" s="1174"/>
      <c r="AB93" s="1174"/>
      <c r="AC93" s="1174"/>
      <c r="AD93" s="1173"/>
      <c r="AE93" s="1173"/>
      <c r="AF93" s="1173"/>
      <c r="AG93" s="1173"/>
      <c r="AH93" s="1173"/>
      <c r="AI93" s="1173"/>
      <c r="AJ93" s="1173"/>
      <c r="AK93" s="1173"/>
      <c r="AL93" s="1173"/>
      <c r="AM93" s="1173"/>
      <c r="AN93" s="1173"/>
      <c r="AO93" s="1173"/>
      <c r="AP93" s="1173"/>
      <c r="AQ93" s="1173"/>
      <c r="AR93" s="1173"/>
      <c r="AS93" s="1173"/>
      <c r="AT93" s="1173"/>
      <c r="AU93" s="1173"/>
      <c r="AV93" s="1173"/>
      <c r="AW93" s="1173"/>
      <c r="AX93" s="1173"/>
      <c r="AY93" s="1173"/>
      <c r="AZ93" s="1173"/>
      <c r="BA93" s="1173"/>
      <c r="BB93" s="1173"/>
      <c r="BC93" s="1173"/>
      <c r="BD93" s="1173"/>
      <c r="BE93" s="1173"/>
      <c r="BF93" s="1173"/>
      <c r="BG93" s="1173"/>
      <c r="BH93" s="1173"/>
      <c r="BI93" s="1173"/>
      <c r="BJ93" s="1173"/>
      <c r="BK93" s="1118"/>
      <c r="BL93" s="1118"/>
    </row>
    <row r="94" spans="1:64" s="401" customFormat="1" x14ac:dyDescent="0.3">
      <c r="A94" s="1154">
        <v>327</v>
      </c>
      <c r="B94" s="1222"/>
      <c r="C94" s="1153">
        <v>327</v>
      </c>
      <c r="D94" s="1203" t="e">
        <v>#VALUE!</v>
      </c>
      <c r="E94" s="1203"/>
      <c r="F94" s="1170"/>
      <c r="G94" s="1171"/>
      <c r="H94" s="1171"/>
      <c r="I94" s="1171"/>
      <c r="J94" s="1171"/>
      <c r="K94" s="1171"/>
      <c r="L94" s="1172"/>
      <c r="M94" s="1173"/>
      <c r="N94" s="1173"/>
      <c r="O94" s="1174"/>
      <c r="P94" s="1174"/>
      <c r="Q94" s="1174"/>
      <c r="R94" s="1174"/>
      <c r="S94" s="1174"/>
      <c r="T94" s="1174"/>
      <c r="U94" s="1174"/>
      <c r="V94" s="1174"/>
      <c r="W94" s="1174"/>
      <c r="X94" s="1174"/>
      <c r="Y94" s="1174"/>
      <c r="Z94" s="1174"/>
      <c r="AA94" s="1174"/>
      <c r="AB94" s="1174"/>
      <c r="AC94" s="1174"/>
      <c r="AD94" s="1173"/>
      <c r="AE94" s="1173"/>
      <c r="AF94" s="1173"/>
      <c r="AG94" s="1173"/>
      <c r="AH94" s="1173"/>
      <c r="AI94" s="1173"/>
      <c r="AJ94" s="1173"/>
      <c r="AK94" s="1173"/>
      <c r="AL94" s="1173"/>
      <c r="AM94" s="1173"/>
      <c r="AN94" s="1173"/>
      <c r="AO94" s="1173"/>
      <c r="AP94" s="1173"/>
      <c r="AQ94" s="1173"/>
      <c r="AR94" s="1173"/>
      <c r="AS94" s="1173"/>
      <c r="AT94" s="1173"/>
      <c r="AU94" s="1173"/>
      <c r="AV94" s="1173"/>
      <c r="AW94" s="1173"/>
      <c r="AX94" s="1173"/>
      <c r="AY94" s="1173"/>
      <c r="AZ94" s="1173"/>
      <c r="BA94" s="1173"/>
      <c r="BB94" s="1173"/>
      <c r="BC94" s="1173"/>
      <c r="BD94" s="1173"/>
      <c r="BE94" s="1173"/>
      <c r="BF94" s="1173"/>
      <c r="BG94" s="1173"/>
      <c r="BH94" s="1173"/>
      <c r="BI94" s="1173"/>
      <c r="BJ94" s="1173"/>
      <c r="BK94" s="1118"/>
      <c r="BL94" s="1118"/>
    </row>
    <row r="95" spans="1:64" s="401" customFormat="1" x14ac:dyDescent="0.3">
      <c r="A95" s="1154">
        <v>328</v>
      </c>
      <c r="B95" s="1222"/>
      <c r="C95" s="1153">
        <v>328</v>
      </c>
      <c r="D95" s="1203" t="e">
        <v>#VALUE!</v>
      </c>
      <c r="E95" s="1203"/>
      <c r="F95" s="1170"/>
      <c r="G95" s="1171"/>
      <c r="H95" s="1171"/>
      <c r="I95" s="1171"/>
      <c r="J95" s="1171"/>
      <c r="K95" s="1171"/>
      <c r="L95" s="1172"/>
      <c r="M95" s="1173"/>
      <c r="N95" s="1173"/>
      <c r="O95" s="1174"/>
      <c r="P95" s="1174"/>
      <c r="Q95" s="1174"/>
      <c r="R95" s="1174"/>
      <c r="S95" s="1174"/>
      <c r="T95" s="1174"/>
      <c r="U95" s="1174"/>
      <c r="V95" s="1174"/>
      <c r="W95" s="1174"/>
      <c r="X95" s="1174"/>
      <c r="Y95" s="1174"/>
      <c r="Z95" s="1174"/>
      <c r="AA95" s="1174"/>
      <c r="AB95" s="1174"/>
      <c r="AC95" s="1174"/>
      <c r="AD95" s="1173"/>
      <c r="AE95" s="1173"/>
      <c r="AF95" s="1173"/>
      <c r="AG95" s="1173"/>
      <c r="AH95" s="1173"/>
      <c r="AI95" s="1173"/>
      <c r="AJ95" s="1173"/>
      <c r="AK95" s="1173"/>
      <c r="AL95" s="1173"/>
      <c r="AM95" s="1173"/>
      <c r="AN95" s="1173"/>
      <c r="AO95" s="1173"/>
      <c r="AP95" s="1173"/>
      <c r="AQ95" s="1173"/>
      <c r="AR95" s="1173"/>
      <c r="AS95" s="1173"/>
      <c r="AT95" s="1173"/>
      <c r="AU95" s="1173"/>
      <c r="AV95" s="1173"/>
      <c r="AW95" s="1173"/>
      <c r="AX95" s="1173"/>
      <c r="AY95" s="1173"/>
      <c r="AZ95" s="1173"/>
      <c r="BA95" s="1173"/>
      <c r="BB95" s="1173"/>
      <c r="BC95" s="1173"/>
      <c r="BD95" s="1173"/>
      <c r="BE95" s="1173"/>
      <c r="BF95" s="1173"/>
      <c r="BG95" s="1173"/>
      <c r="BH95" s="1173"/>
      <c r="BI95" s="1173"/>
      <c r="BJ95" s="1173"/>
      <c r="BK95" s="1118"/>
      <c r="BL95" s="1118"/>
    </row>
    <row r="96" spans="1:64" s="401" customFormat="1" x14ac:dyDescent="0.3">
      <c r="A96" s="1154">
        <v>330</v>
      </c>
      <c r="B96" s="1222"/>
      <c r="C96" s="1153">
        <v>330</v>
      </c>
      <c r="D96" s="1203" t="e">
        <v>#VALUE!</v>
      </c>
      <c r="E96" s="1203"/>
      <c r="F96" s="1170"/>
      <c r="G96" s="1171"/>
      <c r="H96" s="1171"/>
      <c r="I96" s="1171"/>
      <c r="J96" s="1171"/>
      <c r="K96" s="1171"/>
      <c r="L96" s="1172"/>
      <c r="M96" s="1173"/>
      <c r="N96" s="1173"/>
      <c r="O96" s="1174"/>
      <c r="P96" s="1174"/>
      <c r="Q96" s="1174"/>
      <c r="R96" s="1174"/>
      <c r="S96" s="1174"/>
      <c r="T96" s="1174"/>
      <c r="U96" s="1174"/>
      <c r="V96" s="1174"/>
      <c r="W96" s="1174"/>
      <c r="X96" s="1174"/>
      <c r="Y96" s="1174"/>
      <c r="Z96" s="1174"/>
      <c r="AA96" s="1174"/>
      <c r="AB96" s="1174"/>
      <c r="AC96" s="1174"/>
      <c r="AD96" s="1173"/>
      <c r="AE96" s="1173"/>
      <c r="AF96" s="1173"/>
      <c r="AG96" s="1173"/>
      <c r="AH96" s="1173"/>
      <c r="AI96" s="1173"/>
      <c r="AJ96" s="1173"/>
      <c r="AK96" s="1173"/>
      <c r="AL96" s="1173"/>
      <c r="AM96" s="1173"/>
      <c r="AN96" s="1173"/>
      <c r="AO96" s="1173"/>
      <c r="AP96" s="1173"/>
      <c r="AQ96" s="1173"/>
      <c r="AR96" s="1173"/>
      <c r="AS96" s="1173"/>
      <c r="AT96" s="1173"/>
      <c r="AU96" s="1173"/>
      <c r="AV96" s="1173"/>
      <c r="AW96" s="1173"/>
      <c r="AX96" s="1173"/>
      <c r="AY96" s="1173"/>
      <c r="AZ96" s="1173"/>
      <c r="BA96" s="1173"/>
      <c r="BB96" s="1173"/>
      <c r="BC96" s="1173"/>
      <c r="BD96" s="1173"/>
      <c r="BE96" s="1173"/>
      <c r="BF96" s="1173"/>
      <c r="BG96" s="1173"/>
      <c r="BH96" s="1173"/>
      <c r="BI96" s="1173"/>
      <c r="BJ96" s="1173"/>
      <c r="BK96" s="1118"/>
      <c r="BL96" s="1118"/>
    </row>
    <row r="97" spans="1:64" s="401" customFormat="1" x14ac:dyDescent="0.3">
      <c r="A97" s="1154">
        <v>331</v>
      </c>
      <c r="B97" s="1222"/>
      <c r="C97" s="1153">
        <v>331</v>
      </c>
      <c r="D97" s="1203" t="e">
        <v>#VALUE!</v>
      </c>
      <c r="E97" s="1203"/>
      <c r="F97" s="1170"/>
      <c r="G97" s="1171"/>
      <c r="H97" s="1171"/>
      <c r="I97" s="1171"/>
      <c r="J97" s="1171"/>
      <c r="K97" s="1171"/>
      <c r="L97" s="1172"/>
      <c r="M97" s="1173"/>
      <c r="N97" s="1173"/>
      <c r="O97" s="1174"/>
      <c r="P97" s="1174"/>
      <c r="Q97" s="1174"/>
      <c r="R97" s="1174"/>
      <c r="S97" s="1174"/>
      <c r="T97" s="1174"/>
      <c r="U97" s="1174"/>
      <c r="V97" s="1174"/>
      <c r="W97" s="1174"/>
      <c r="X97" s="1174"/>
      <c r="Y97" s="1174"/>
      <c r="Z97" s="1174"/>
      <c r="AA97" s="1174"/>
      <c r="AB97" s="1174"/>
      <c r="AC97" s="1174"/>
      <c r="AD97" s="1173"/>
      <c r="AE97" s="1173"/>
      <c r="AF97" s="1173"/>
      <c r="AG97" s="1173"/>
      <c r="AH97" s="1173"/>
      <c r="AI97" s="1173"/>
      <c r="AJ97" s="1173"/>
      <c r="AK97" s="1173"/>
      <c r="AL97" s="1173"/>
      <c r="AM97" s="1173"/>
      <c r="AN97" s="1173"/>
      <c r="AO97" s="1173"/>
      <c r="AP97" s="1173"/>
      <c r="AQ97" s="1173"/>
      <c r="AR97" s="1173"/>
      <c r="AS97" s="1173"/>
      <c r="AT97" s="1173"/>
      <c r="AU97" s="1173"/>
      <c r="AV97" s="1173"/>
      <c r="AW97" s="1173"/>
      <c r="AX97" s="1173"/>
      <c r="AY97" s="1173"/>
      <c r="AZ97" s="1173"/>
      <c r="BA97" s="1173"/>
      <c r="BB97" s="1173"/>
      <c r="BC97" s="1173"/>
      <c r="BD97" s="1173"/>
      <c r="BE97" s="1173"/>
      <c r="BF97" s="1173"/>
      <c r="BG97" s="1173"/>
      <c r="BH97" s="1173"/>
      <c r="BI97" s="1173"/>
      <c r="BJ97" s="1173"/>
      <c r="BK97" s="1152"/>
      <c r="BL97" s="1118"/>
    </row>
    <row r="98" spans="1:64" s="401" customFormat="1" x14ac:dyDescent="0.3">
      <c r="A98" s="1154">
        <v>332</v>
      </c>
      <c r="B98" s="1222"/>
      <c r="C98" s="1153">
        <v>332</v>
      </c>
      <c r="D98" s="1203" t="e">
        <v>#VALUE!</v>
      </c>
      <c r="E98" s="1203"/>
      <c r="F98" s="1170"/>
      <c r="G98" s="1171"/>
      <c r="H98" s="1171"/>
      <c r="I98" s="1171"/>
      <c r="J98" s="1171"/>
      <c r="K98" s="1171"/>
      <c r="L98" s="1172"/>
      <c r="M98" s="1173"/>
      <c r="N98" s="1173"/>
      <c r="O98" s="1174"/>
      <c r="P98" s="1174"/>
      <c r="Q98" s="1174"/>
      <c r="R98" s="1174"/>
      <c r="S98" s="1174"/>
      <c r="T98" s="1174"/>
      <c r="U98" s="1174"/>
      <c r="V98" s="1174"/>
      <c r="W98" s="1174"/>
      <c r="X98" s="1174"/>
      <c r="Y98" s="1174"/>
      <c r="Z98" s="1174"/>
      <c r="AA98" s="1174"/>
      <c r="AB98" s="1174"/>
      <c r="AC98" s="1174"/>
      <c r="AD98" s="1173"/>
      <c r="AE98" s="1173"/>
      <c r="AF98" s="1173"/>
      <c r="AG98" s="1173"/>
      <c r="AH98" s="1173"/>
      <c r="AI98" s="1173"/>
      <c r="AJ98" s="1173"/>
      <c r="AK98" s="1173"/>
      <c r="AL98" s="1173"/>
      <c r="AM98" s="1173"/>
      <c r="AN98" s="1173"/>
      <c r="AO98" s="1173"/>
      <c r="AP98" s="1173"/>
      <c r="AQ98" s="1173"/>
      <c r="AR98" s="1173"/>
      <c r="AS98" s="1173"/>
      <c r="AT98" s="1173"/>
      <c r="AU98" s="1173"/>
      <c r="AV98" s="1173"/>
      <c r="AW98" s="1173"/>
      <c r="AX98" s="1173"/>
      <c r="AY98" s="1173"/>
      <c r="AZ98" s="1173"/>
      <c r="BA98" s="1173"/>
      <c r="BB98" s="1173"/>
      <c r="BC98" s="1173"/>
      <c r="BD98" s="1173"/>
      <c r="BE98" s="1173"/>
      <c r="BF98" s="1173"/>
      <c r="BG98" s="1173"/>
      <c r="BH98" s="1173"/>
      <c r="BI98" s="1173"/>
      <c r="BJ98" s="1173"/>
      <c r="BK98" s="1152"/>
      <c r="BL98" s="1118"/>
    </row>
    <row r="99" spans="1:64" s="401" customFormat="1" ht="28.8" x14ac:dyDescent="0.3">
      <c r="A99" s="1154">
        <v>333</v>
      </c>
      <c r="B99" s="1222">
        <v>333</v>
      </c>
      <c r="C99" s="1153">
        <v>333</v>
      </c>
      <c r="D99" s="1203" t="s">
        <v>184</v>
      </c>
      <c r="E99" s="1203"/>
      <c r="F99" s="1170">
        <v>1012401</v>
      </c>
      <c r="G99" s="1171">
        <v>6745184</v>
      </c>
      <c r="H99" s="1171">
        <v>7808908</v>
      </c>
      <c r="I99" s="1171">
        <v>2282980</v>
      </c>
      <c r="J99" s="1171">
        <v>6775801</v>
      </c>
      <c r="K99" s="1171">
        <v>2715261</v>
      </c>
      <c r="L99" s="1172">
        <v>2726430</v>
      </c>
      <c r="M99" s="1173">
        <v>5678837</v>
      </c>
      <c r="N99" s="1173">
        <v>7931646</v>
      </c>
      <c r="O99" s="1174">
        <v>2470049</v>
      </c>
      <c r="P99" s="1174">
        <v>4263760</v>
      </c>
      <c r="Q99" s="1174">
        <v>9181539</v>
      </c>
      <c r="R99" s="1174">
        <v>11567789</v>
      </c>
      <c r="S99" s="1174">
        <v>2319968</v>
      </c>
      <c r="T99" s="1174">
        <v>0</v>
      </c>
      <c r="U99" s="1174">
        <v>11405886</v>
      </c>
      <c r="V99" s="1174">
        <v>37616955</v>
      </c>
      <c r="W99" s="1174">
        <v>3424958</v>
      </c>
      <c r="X99" s="1174">
        <v>2583317</v>
      </c>
      <c r="Y99" s="1174">
        <v>57777768</v>
      </c>
      <c r="Z99" s="1174">
        <v>12710188</v>
      </c>
      <c r="AA99" s="1174">
        <v>1034233</v>
      </c>
      <c r="AB99" s="1174">
        <v>11286102</v>
      </c>
      <c r="AC99" s="1174">
        <v>880512</v>
      </c>
      <c r="AD99" s="1173">
        <v>2741416</v>
      </c>
      <c r="AE99" s="1173">
        <v>22369100</v>
      </c>
      <c r="AF99" s="1173">
        <v>1554961</v>
      </c>
      <c r="AG99" s="1173">
        <v>7893822</v>
      </c>
      <c r="AH99" s="1173">
        <v>7406095</v>
      </c>
      <c r="AI99" s="1173">
        <v>3452487</v>
      </c>
      <c r="AJ99" s="1173">
        <v>25603558</v>
      </c>
      <c r="AK99" s="1173">
        <v>26832031</v>
      </c>
      <c r="AL99" s="1173">
        <v>19310671</v>
      </c>
      <c r="AM99" s="1173">
        <v>13286452</v>
      </c>
      <c r="AN99" s="1173">
        <v>5807626</v>
      </c>
      <c r="AO99" s="1173">
        <v>4011166</v>
      </c>
      <c r="AP99" s="1173">
        <v>4844664</v>
      </c>
      <c r="AQ99" s="1173">
        <v>4003838</v>
      </c>
      <c r="AR99" s="1173">
        <v>6545612</v>
      </c>
      <c r="AS99" s="1173">
        <v>4438475</v>
      </c>
      <c r="AT99" s="1173">
        <v>178060</v>
      </c>
      <c r="AU99" s="1173">
        <v>2968226</v>
      </c>
      <c r="AV99" s="1173">
        <v>1120065</v>
      </c>
      <c r="AW99" s="1173">
        <v>24818539</v>
      </c>
      <c r="AX99" s="1173">
        <v>4206406</v>
      </c>
      <c r="AY99" s="1173">
        <v>133701076</v>
      </c>
      <c r="AZ99" s="1173">
        <v>2075667</v>
      </c>
      <c r="BA99" s="1173">
        <v>833859</v>
      </c>
      <c r="BB99" s="1173">
        <v>5299925</v>
      </c>
      <c r="BC99" s="1173">
        <v>5199791</v>
      </c>
      <c r="BD99" s="1173">
        <v>1975045</v>
      </c>
      <c r="BE99" s="1173">
        <v>5443907</v>
      </c>
      <c r="BF99" s="1173">
        <v>12780214</v>
      </c>
      <c r="BG99" s="1173">
        <v>11946347</v>
      </c>
      <c r="BH99" s="1173">
        <v>27123131</v>
      </c>
      <c r="BI99" s="1173">
        <v>3475895</v>
      </c>
      <c r="BJ99" s="1173">
        <v>3522513</v>
      </c>
      <c r="BK99" s="1152"/>
      <c r="BL99" s="1118"/>
    </row>
    <row r="100" spans="1:64" s="401" customFormat="1" ht="43.2" x14ac:dyDescent="0.3">
      <c r="A100" s="1154">
        <v>334</v>
      </c>
      <c r="B100" s="1222"/>
      <c r="C100" s="1153">
        <v>334</v>
      </c>
      <c r="D100" s="1203" t="s">
        <v>1416</v>
      </c>
      <c r="E100" s="1203"/>
      <c r="F100" s="1170"/>
      <c r="G100" s="1171"/>
      <c r="H100" s="1171"/>
      <c r="I100" s="1171"/>
      <c r="J100" s="1171"/>
      <c r="K100" s="1171"/>
      <c r="L100" s="1172"/>
      <c r="M100" s="1173"/>
      <c r="N100" s="1173"/>
      <c r="O100" s="1174"/>
      <c r="P100" s="1174"/>
      <c r="Q100" s="1174"/>
      <c r="R100" s="1174"/>
      <c r="S100" s="1174"/>
      <c r="T100" s="1174"/>
      <c r="U100" s="1174"/>
      <c r="V100" s="1174"/>
      <c r="W100" s="1174"/>
      <c r="X100" s="1174"/>
      <c r="Y100" s="1174"/>
      <c r="Z100" s="1174"/>
      <c r="AA100" s="1174"/>
      <c r="AB100" s="1174"/>
      <c r="AC100" s="1174"/>
      <c r="AD100" s="1173"/>
      <c r="AE100" s="1173"/>
      <c r="AF100" s="1173"/>
      <c r="AG100" s="1173"/>
      <c r="AH100" s="1173"/>
      <c r="AI100" s="1173"/>
      <c r="AJ100" s="1173"/>
      <c r="AK100" s="1173"/>
      <c r="AL100" s="1173"/>
      <c r="AM100" s="1173"/>
      <c r="AN100" s="1173"/>
      <c r="AO100" s="1173"/>
      <c r="AP100" s="1173"/>
      <c r="AQ100" s="1173"/>
      <c r="AR100" s="1173"/>
      <c r="AS100" s="1173"/>
      <c r="AT100" s="1173"/>
      <c r="AU100" s="1173"/>
      <c r="AV100" s="1173"/>
      <c r="AW100" s="1173"/>
      <c r="AX100" s="1173"/>
      <c r="AY100" s="1173"/>
      <c r="AZ100" s="1173"/>
      <c r="BA100" s="1173"/>
      <c r="BB100" s="1173"/>
      <c r="BC100" s="1173"/>
      <c r="BD100" s="1173"/>
      <c r="BE100" s="1173"/>
      <c r="BF100" s="1173"/>
      <c r="BG100" s="1173"/>
      <c r="BH100" s="1173"/>
      <c r="BI100" s="1173"/>
      <c r="BJ100" s="1173"/>
      <c r="BK100" s="1152"/>
      <c r="BL100" s="1118"/>
    </row>
    <row r="101" spans="1:64" s="401" customFormat="1" ht="28.8" x14ac:dyDescent="0.3">
      <c r="A101" s="1154">
        <v>335</v>
      </c>
      <c r="B101" s="1222">
        <v>335</v>
      </c>
      <c r="C101" s="1153">
        <v>335</v>
      </c>
      <c r="D101" s="1203" t="s">
        <v>117</v>
      </c>
      <c r="E101" s="1203"/>
      <c r="F101" s="1170">
        <v>0</v>
      </c>
      <c r="G101" s="1171">
        <v>0</v>
      </c>
      <c r="H101" s="1171">
        <v>0</v>
      </c>
      <c r="I101" s="1171">
        <v>0</v>
      </c>
      <c r="J101" s="1171">
        <v>0</v>
      </c>
      <c r="K101" s="1171">
        <v>0</v>
      </c>
      <c r="L101" s="1172">
        <v>0</v>
      </c>
      <c r="M101" s="1173">
        <v>0</v>
      </c>
      <c r="N101" s="1173">
        <v>0</v>
      </c>
      <c r="O101" s="1174">
        <v>0</v>
      </c>
      <c r="P101" s="1174">
        <v>0</v>
      </c>
      <c r="Q101" s="1174">
        <v>0</v>
      </c>
      <c r="R101" s="1174">
        <v>0</v>
      </c>
      <c r="S101" s="1174">
        <v>5320</v>
      </c>
      <c r="T101" s="1174">
        <v>0</v>
      </c>
      <c r="U101" s="1174">
        <v>304632</v>
      </c>
      <c r="V101" s="1174">
        <v>66393</v>
      </c>
      <c r="W101" s="1174">
        <v>0</v>
      </c>
      <c r="X101" s="1174">
        <v>0</v>
      </c>
      <c r="Y101" s="1174">
        <v>0</v>
      </c>
      <c r="Z101" s="1174">
        <v>65284</v>
      </c>
      <c r="AA101" s="1174">
        <v>0</v>
      </c>
      <c r="AB101" s="1174">
        <v>0</v>
      </c>
      <c r="AC101" s="1174">
        <v>0</v>
      </c>
      <c r="AD101" s="1173">
        <v>0</v>
      </c>
      <c r="AE101" s="1173">
        <v>0</v>
      </c>
      <c r="AF101" s="1173">
        <v>376482</v>
      </c>
      <c r="AG101" s="1173">
        <v>0</v>
      </c>
      <c r="AH101" s="1173">
        <v>0</v>
      </c>
      <c r="AI101" s="1173">
        <v>929</v>
      </c>
      <c r="AJ101" s="1173">
        <v>0</v>
      </c>
      <c r="AK101" s="1173">
        <v>0</v>
      </c>
      <c r="AL101" s="1173">
        <v>0</v>
      </c>
      <c r="AM101" s="1173">
        <v>2206649</v>
      </c>
      <c r="AN101" s="1173">
        <v>0</v>
      </c>
      <c r="AO101" s="1173">
        <v>0</v>
      </c>
      <c r="AP101" s="1173">
        <v>0</v>
      </c>
      <c r="AQ101" s="1173">
        <v>276841</v>
      </c>
      <c r="AR101" s="1173">
        <v>0</v>
      </c>
      <c r="AS101" s="1173">
        <v>0</v>
      </c>
      <c r="AT101" s="1173">
        <v>0</v>
      </c>
      <c r="AU101" s="1173">
        <v>0</v>
      </c>
      <c r="AV101" s="1173">
        <v>0</v>
      </c>
      <c r="AW101" s="1173">
        <v>226339</v>
      </c>
      <c r="AX101" s="1173">
        <v>0</v>
      </c>
      <c r="AY101" s="1173">
        <v>0</v>
      </c>
      <c r="AZ101" s="1173">
        <v>0</v>
      </c>
      <c r="BA101" s="1173">
        <v>0</v>
      </c>
      <c r="BB101" s="1173">
        <v>0</v>
      </c>
      <c r="BC101" s="1173">
        <v>0</v>
      </c>
      <c r="BD101" s="1173">
        <v>0</v>
      </c>
      <c r="BE101" s="1173">
        <v>0</v>
      </c>
      <c r="BF101" s="1173">
        <v>17932</v>
      </c>
      <c r="BG101" s="1173">
        <v>3855</v>
      </c>
      <c r="BH101" s="1173">
        <v>5596674</v>
      </c>
      <c r="BI101" s="1173">
        <v>155660</v>
      </c>
      <c r="BJ101" s="1173">
        <v>0</v>
      </c>
      <c r="BK101" s="1152"/>
      <c r="BL101" s="1118"/>
    </row>
    <row r="102" spans="1:64" s="401" customFormat="1" x14ac:dyDescent="0.3">
      <c r="A102" s="1154">
        <v>336</v>
      </c>
      <c r="B102" s="1222"/>
      <c r="C102" s="1153">
        <v>336</v>
      </c>
      <c r="D102" s="1203" t="s">
        <v>382</v>
      </c>
      <c r="E102" s="1203"/>
      <c r="F102" s="1170">
        <v>266749</v>
      </c>
      <c r="G102" s="1171">
        <v>3991840</v>
      </c>
      <c r="H102" s="1171">
        <v>3329025</v>
      </c>
      <c r="I102" s="1171">
        <v>1230527</v>
      </c>
      <c r="J102" s="1171">
        <v>6342546</v>
      </c>
      <c r="K102" s="1171">
        <v>239057</v>
      </c>
      <c r="L102" s="1172">
        <v>1245958</v>
      </c>
      <c r="M102" s="1173">
        <v>1696229</v>
      </c>
      <c r="N102" s="1173">
        <v>2121612</v>
      </c>
      <c r="O102" s="1174">
        <v>1469678</v>
      </c>
      <c r="P102" s="1174">
        <v>604488</v>
      </c>
      <c r="Q102" s="1174">
        <v>3558950</v>
      </c>
      <c r="R102" s="1174">
        <v>4452096</v>
      </c>
      <c r="S102" s="1174">
        <v>577523</v>
      </c>
      <c r="T102" s="1174">
        <v>0</v>
      </c>
      <c r="U102" s="1174">
        <v>0</v>
      </c>
      <c r="V102" s="1174">
        <v>20036945</v>
      </c>
      <c r="W102" s="1174">
        <v>1206148</v>
      </c>
      <c r="X102" s="1174">
        <v>0</v>
      </c>
      <c r="Y102" s="1174">
        <v>4817295</v>
      </c>
      <c r="Z102" s="1174">
        <v>6102460</v>
      </c>
      <c r="AA102" s="1174">
        <v>671167</v>
      </c>
      <c r="AB102" s="1174">
        <v>2953438</v>
      </c>
      <c r="AC102" s="1174">
        <v>693207</v>
      </c>
      <c r="AD102" s="1173">
        <v>0</v>
      </c>
      <c r="AE102" s="1173">
        <v>8142302</v>
      </c>
      <c r="AF102" s="1173">
        <v>1034220</v>
      </c>
      <c r="AG102" s="1173">
        <v>8324350</v>
      </c>
      <c r="AH102" s="1173">
        <v>3330326</v>
      </c>
      <c r="AI102" s="1173">
        <v>852952</v>
      </c>
      <c r="AJ102" s="1173">
        <v>11542308</v>
      </c>
      <c r="AK102" s="1173">
        <v>5959184</v>
      </c>
      <c r="AL102" s="1173">
        <v>6813129</v>
      </c>
      <c r="AM102" s="1173">
        <v>0</v>
      </c>
      <c r="AN102" s="1173">
        <v>3746581</v>
      </c>
      <c r="AO102" s="1173">
        <v>5106303</v>
      </c>
      <c r="AP102" s="1173">
        <v>2180951</v>
      </c>
      <c r="AQ102" s="1173">
        <v>3196151</v>
      </c>
      <c r="AR102" s="1173">
        <v>4623211</v>
      </c>
      <c r="AS102" s="1173">
        <v>644938</v>
      </c>
      <c r="AT102" s="1173">
        <v>0</v>
      </c>
      <c r="AU102" s="1173">
        <v>1700276</v>
      </c>
      <c r="AV102" s="1173">
        <v>0</v>
      </c>
      <c r="AW102" s="1173">
        <v>25087960</v>
      </c>
      <c r="AX102" s="1173">
        <v>0</v>
      </c>
      <c r="AY102" s="1173">
        <v>82675693</v>
      </c>
      <c r="AZ102" s="1173">
        <v>369050</v>
      </c>
      <c r="BA102" s="1173">
        <v>973959</v>
      </c>
      <c r="BB102" s="1173">
        <v>2167694</v>
      </c>
      <c r="BC102" s="1173">
        <v>12934752</v>
      </c>
      <c r="BD102" s="1173">
        <v>315301</v>
      </c>
      <c r="BE102" s="1173">
        <v>971036</v>
      </c>
      <c r="BF102" s="1173">
        <v>3384738</v>
      </c>
      <c r="BG102" s="1173">
        <v>4159323</v>
      </c>
      <c r="BH102" s="1173">
        <v>0</v>
      </c>
      <c r="BI102" s="1173">
        <v>2019755</v>
      </c>
      <c r="BJ102" s="1173">
        <v>403310</v>
      </c>
      <c r="BK102" s="1152"/>
      <c r="BL102" s="1118"/>
    </row>
    <row r="103" spans="1:64" s="401" customFormat="1" ht="43.2" x14ac:dyDescent="0.3">
      <c r="A103" s="1154">
        <v>337</v>
      </c>
      <c r="B103" s="1222"/>
      <c r="C103" s="1153">
        <v>337</v>
      </c>
      <c r="D103" s="1203" t="s">
        <v>1417</v>
      </c>
      <c r="E103" s="1203"/>
      <c r="F103" s="1170"/>
      <c r="G103" s="1171"/>
      <c r="H103" s="1171"/>
      <c r="I103" s="1171"/>
      <c r="J103" s="1171"/>
      <c r="K103" s="1171"/>
      <c r="L103" s="1172"/>
      <c r="M103" s="1173"/>
      <c r="N103" s="1173"/>
      <c r="O103" s="1174"/>
      <c r="P103" s="1174"/>
      <c r="Q103" s="1174"/>
      <c r="R103" s="1174"/>
      <c r="S103" s="1174"/>
      <c r="T103" s="1174"/>
      <c r="U103" s="1174"/>
      <c r="V103" s="1174"/>
      <c r="W103" s="1174"/>
      <c r="X103" s="1174"/>
      <c r="Y103" s="1174"/>
      <c r="Z103" s="1174"/>
      <c r="AA103" s="1174"/>
      <c r="AB103" s="1174"/>
      <c r="AC103" s="1174"/>
      <c r="AD103" s="1173"/>
      <c r="AE103" s="1173"/>
      <c r="AF103" s="1173"/>
      <c r="AG103" s="1173"/>
      <c r="AH103" s="1173"/>
      <c r="AI103" s="1173"/>
      <c r="AJ103" s="1173"/>
      <c r="AK103" s="1173"/>
      <c r="AL103" s="1173"/>
      <c r="AM103" s="1173"/>
      <c r="AN103" s="1173"/>
      <c r="AO103" s="1173"/>
      <c r="AP103" s="1173"/>
      <c r="AQ103" s="1173"/>
      <c r="AR103" s="1173"/>
      <c r="AS103" s="1173"/>
      <c r="AT103" s="1173"/>
      <c r="AU103" s="1173"/>
      <c r="AV103" s="1173"/>
      <c r="AW103" s="1173"/>
      <c r="AX103" s="1173"/>
      <c r="AY103" s="1173"/>
      <c r="AZ103" s="1173"/>
      <c r="BA103" s="1173"/>
      <c r="BB103" s="1173"/>
      <c r="BC103" s="1173"/>
      <c r="BD103" s="1173"/>
      <c r="BE103" s="1173"/>
      <c r="BF103" s="1173"/>
      <c r="BG103" s="1173"/>
      <c r="BH103" s="1173"/>
      <c r="BI103" s="1173"/>
      <c r="BJ103" s="1173"/>
      <c r="BK103" s="1152"/>
      <c r="BL103" s="1118"/>
    </row>
    <row r="104" spans="1:64" s="401" customFormat="1" ht="28.8" x14ac:dyDescent="0.3">
      <c r="A104" s="1154">
        <v>338</v>
      </c>
      <c r="B104" s="1222">
        <v>338</v>
      </c>
      <c r="C104" s="1153">
        <v>338</v>
      </c>
      <c r="D104" s="1203" t="s">
        <v>116</v>
      </c>
      <c r="E104" s="1203"/>
      <c r="F104" s="1170">
        <v>111181390</v>
      </c>
      <c r="G104" s="1171">
        <v>203569288</v>
      </c>
      <c r="H104" s="1171">
        <v>150005494</v>
      </c>
      <c r="I104" s="1171">
        <v>61792763</v>
      </c>
      <c r="J104" s="1171">
        <v>210733957</v>
      </c>
      <c r="K104" s="1171">
        <v>86344781</v>
      </c>
      <c r="L104" s="1172">
        <v>48496777</v>
      </c>
      <c r="M104" s="1173">
        <v>65280193</v>
      </c>
      <c r="N104" s="1173">
        <v>122030159</v>
      </c>
      <c r="O104" s="1174">
        <v>39212287</v>
      </c>
      <c r="P104" s="1174">
        <v>76076620</v>
      </c>
      <c r="Q104" s="1174">
        <v>253406350</v>
      </c>
      <c r="R104" s="1174">
        <v>118258960</v>
      </c>
      <c r="S104" s="1174">
        <v>31365401</v>
      </c>
      <c r="T104" s="1174">
        <v>0</v>
      </c>
      <c r="U104" s="1174">
        <v>280407291</v>
      </c>
      <c r="V104" s="1174">
        <v>559644289</v>
      </c>
      <c r="W104" s="1174">
        <v>63970549</v>
      </c>
      <c r="X104" s="1174">
        <v>37730122</v>
      </c>
      <c r="Y104" s="1174">
        <v>467550247</v>
      </c>
      <c r="Z104" s="1174">
        <v>178118820</v>
      </c>
      <c r="AA104" s="1174">
        <v>32375749</v>
      </c>
      <c r="AB104" s="1174">
        <v>168812016</v>
      </c>
      <c r="AC104" s="1174">
        <v>35576683</v>
      </c>
      <c r="AD104" s="1173">
        <v>95227036</v>
      </c>
      <c r="AE104" s="1173">
        <v>458884374</v>
      </c>
      <c r="AF104" s="1173">
        <v>51187841</v>
      </c>
      <c r="AG104" s="1173">
        <v>314904058</v>
      </c>
      <c r="AH104" s="1173">
        <v>131437291</v>
      </c>
      <c r="AI104" s="1173">
        <v>55278647</v>
      </c>
      <c r="AJ104" s="1173">
        <v>400261630</v>
      </c>
      <c r="AK104" s="1173">
        <v>214194651</v>
      </c>
      <c r="AL104" s="1173">
        <v>360706291</v>
      </c>
      <c r="AM104" s="1173">
        <v>162385040</v>
      </c>
      <c r="AN104" s="1173">
        <v>153057287</v>
      </c>
      <c r="AO104" s="1173">
        <v>123351156</v>
      </c>
      <c r="AP104" s="1173">
        <v>149433303</v>
      </c>
      <c r="AQ104" s="1173">
        <v>120207264</v>
      </c>
      <c r="AR104" s="1173">
        <v>149793795</v>
      </c>
      <c r="AS104" s="1173">
        <v>46568548</v>
      </c>
      <c r="AT104" s="1173">
        <v>50249762</v>
      </c>
      <c r="AU104" s="1173">
        <v>75883860</v>
      </c>
      <c r="AV104" s="1173">
        <v>16293546</v>
      </c>
      <c r="AW104" s="1173">
        <v>811046685</v>
      </c>
      <c r="AX104" s="1173">
        <v>114365928</v>
      </c>
      <c r="AY104" s="1173">
        <v>3390075581</v>
      </c>
      <c r="AZ104" s="1173">
        <v>42215707</v>
      </c>
      <c r="BA104" s="1173">
        <v>29852640</v>
      </c>
      <c r="BB104" s="1173">
        <v>102290077</v>
      </c>
      <c r="BC104" s="1173">
        <v>334497924</v>
      </c>
      <c r="BD104" s="1173">
        <v>21288838</v>
      </c>
      <c r="BE104" s="1173">
        <v>42270070</v>
      </c>
      <c r="BF104" s="1173">
        <v>186464115</v>
      </c>
      <c r="BG104" s="1173">
        <v>206006411</v>
      </c>
      <c r="BH104" s="1173">
        <v>1109067716</v>
      </c>
      <c r="BI104" s="1173">
        <v>101724141</v>
      </c>
      <c r="BJ104" s="1173">
        <v>48536388</v>
      </c>
      <c r="BK104" s="1152"/>
      <c r="BL104" s="1118"/>
    </row>
    <row r="105" spans="1:64" s="401" customFormat="1" x14ac:dyDescent="0.3">
      <c r="A105" s="1154">
        <v>339</v>
      </c>
      <c r="B105" s="1222">
        <v>339</v>
      </c>
      <c r="C105" s="1153">
        <v>339</v>
      </c>
      <c r="D105" s="1203" t="s">
        <v>189</v>
      </c>
      <c r="E105" s="1203"/>
      <c r="F105" s="1170">
        <v>62401</v>
      </c>
      <c r="G105" s="1171">
        <v>128930</v>
      </c>
      <c r="H105" s="1171">
        <v>1267457</v>
      </c>
      <c r="I105" s="1171">
        <v>395493</v>
      </c>
      <c r="J105" s="1171">
        <v>217168</v>
      </c>
      <c r="K105" s="1171">
        <v>273510</v>
      </c>
      <c r="L105" s="1172">
        <v>55463</v>
      </c>
      <c r="M105" s="1173">
        <v>143303</v>
      </c>
      <c r="N105" s="1173">
        <v>388444</v>
      </c>
      <c r="O105" s="1174">
        <v>1181592</v>
      </c>
      <c r="P105" s="1174">
        <v>896308</v>
      </c>
      <c r="Q105" s="1174">
        <v>3995595</v>
      </c>
      <c r="R105" s="1174">
        <v>56067</v>
      </c>
      <c r="S105" s="1174">
        <v>111874</v>
      </c>
      <c r="T105" s="1174">
        <v>0</v>
      </c>
      <c r="U105" s="1174">
        <v>2555073</v>
      </c>
      <c r="V105" s="1174">
        <v>190170</v>
      </c>
      <c r="W105" s="1174">
        <v>15898</v>
      </c>
      <c r="X105" s="1174">
        <v>221648</v>
      </c>
      <c r="Y105" s="1174">
        <v>5069165</v>
      </c>
      <c r="Z105" s="1174">
        <v>1534140</v>
      </c>
      <c r="AA105" s="1174">
        <v>487655</v>
      </c>
      <c r="AB105" s="1174">
        <v>1560187</v>
      </c>
      <c r="AC105" s="1174">
        <v>301406</v>
      </c>
      <c r="AD105" s="1173">
        <v>133883</v>
      </c>
      <c r="AE105" s="1173">
        <v>0</v>
      </c>
      <c r="AF105" s="1173">
        <v>65000</v>
      </c>
      <c r="AG105" s="1173">
        <v>2173974</v>
      </c>
      <c r="AH105" s="1173">
        <v>1750170</v>
      </c>
      <c r="AI105" s="1173">
        <v>415073</v>
      </c>
      <c r="AJ105" s="1173">
        <v>9385584</v>
      </c>
      <c r="AK105" s="1173">
        <v>1160869</v>
      </c>
      <c r="AL105" s="1173">
        <v>6299602</v>
      </c>
      <c r="AM105" s="1173">
        <v>58840</v>
      </c>
      <c r="AN105" s="1173">
        <v>3167306</v>
      </c>
      <c r="AO105" s="1173">
        <v>1011830</v>
      </c>
      <c r="AP105" s="1173">
        <v>171890</v>
      </c>
      <c r="AQ105" s="1173">
        <v>3659</v>
      </c>
      <c r="AR105" s="1173">
        <v>47347</v>
      </c>
      <c r="AS105" s="1173">
        <v>181165</v>
      </c>
      <c r="AT105" s="1173">
        <v>763105</v>
      </c>
      <c r="AU105" s="1173">
        <v>1526356</v>
      </c>
      <c r="AV105" s="1173">
        <v>141487</v>
      </c>
      <c r="AW105" s="1173">
        <v>10653228</v>
      </c>
      <c r="AX105" s="1173">
        <v>403671</v>
      </c>
      <c r="AY105" s="1173">
        <v>1100760</v>
      </c>
      <c r="AZ105" s="1173">
        <v>3913</v>
      </c>
      <c r="BA105" s="1173">
        <v>204056</v>
      </c>
      <c r="BB105" s="1173">
        <v>40916</v>
      </c>
      <c r="BC105" s="1173">
        <v>2552557</v>
      </c>
      <c r="BD105" s="1173">
        <v>195640</v>
      </c>
      <c r="BE105" s="1173">
        <v>631688</v>
      </c>
      <c r="BF105" s="1173">
        <v>3240132</v>
      </c>
      <c r="BG105" s="1173">
        <v>1972941</v>
      </c>
      <c r="BH105" s="1173">
        <v>575777</v>
      </c>
      <c r="BI105" s="1173">
        <v>269725</v>
      </c>
      <c r="BJ105" s="1173">
        <v>766742</v>
      </c>
      <c r="BK105" s="1152"/>
      <c r="BL105" s="1118"/>
    </row>
    <row r="106" spans="1:64" s="401" customFormat="1" ht="28.8" x14ac:dyDescent="0.3">
      <c r="A106" s="1154">
        <v>340</v>
      </c>
      <c r="B106" s="1222"/>
      <c r="C106" s="1153">
        <v>340</v>
      </c>
      <c r="D106" s="1203" t="s">
        <v>1418</v>
      </c>
      <c r="E106" s="1203"/>
      <c r="F106" s="1170"/>
      <c r="G106" s="1171"/>
      <c r="H106" s="1171"/>
      <c r="I106" s="1171"/>
      <c r="J106" s="1171"/>
      <c r="K106" s="1171"/>
      <c r="L106" s="1172"/>
      <c r="M106" s="1173"/>
      <c r="N106" s="1173"/>
      <c r="O106" s="1174"/>
      <c r="P106" s="1174"/>
      <c r="Q106" s="1174"/>
      <c r="R106" s="1174"/>
      <c r="S106" s="1174"/>
      <c r="T106" s="1174"/>
      <c r="U106" s="1174"/>
      <c r="V106" s="1174"/>
      <c r="W106" s="1174"/>
      <c r="X106" s="1174"/>
      <c r="Y106" s="1174"/>
      <c r="Z106" s="1174"/>
      <c r="AA106" s="1174"/>
      <c r="AB106" s="1174"/>
      <c r="AC106" s="1174"/>
      <c r="AD106" s="1173"/>
      <c r="AE106" s="1173"/>
      <c r="AF106" s="1173"/>
      <c r="AG106" s="1173"/>
      <c r="AH106" s="1173"/>
      <c r="AI106" s="1173"/>
      <c r="AJ106" s="1173"/>
      <c r="AK106" s="1173"/>
      <c r="AL106" s="1173"/>
      <c r="AM106" s="1173"/>
      <c r="AN106" s="1173"/>
      <c r="AO106" s="1173"/>
      <c r="AP106" s="1173"/>
      <c r="AQ106" s="1173"/>
      <c r="AR106" s="1173"/>
      <c r="AS106" s="1173"/>
      <c r="AT106" s="1173"/>
      <c r="AU106" s="1173"/>
      <c r="AV106" s="1173"/>
      <c r="AW106" s="1173"/>
      <c r="AX106" s="1173"/>
      <c r="AY106" s="1173"/>
      <c r="AZ106" s="1173"/>
      <c r="BA106" s="1173"/>
      <c r="BB106" s="1173"/>
      <c r="BC106" s="1173"/>
      <c r="BD106" s="1173"/>
      <c r="BE106" s="1173"/>
      <c r="BF106" s="1173"/>
      <c r="BG106" s="1173"/>
      <c r="BH106" s="1173"/>
      <c r="BI106" s="1173"/>
      <c r="BJ106" s="1173"/>
      <c r="BK106" s="1152"/>
      <c r="BL106" s="1118"/>
    </row>
    <row r="107" spans="1:64" s="401" customFormat="1" x14ac:dyDescent="0.3">
      <c r="A107" s="1154">
        <v>341</v>
      </c>
      <c r="B107" s="1222">
        <v>341</v>
      </c>
      <c r="C107" s="1153">
        <v>341</v>
      </c>
      <c r="D107" s="1203" t="s">
        <v>192</v>
      </c>
      <c r="E107" s="1203"/>
      <c r="F107" s="1170">
        <v>16408557</v>
      </c>
      <c r="G107" s="1171">
        <v>32793274</v>
      </c>
      <c r="H107" s="1171">
        <v>14824591</v>
      </c>
      <c r="I107" s="1171">
        <v>8771891</v>
      </c>
      <c r="J107" s="1171">
        <v>31325999</v>
      </c>
      <c r="K107" s="1171">
        <v>14265494</v>
      </c>
      <c r="L107" s="1172">
        <v>5787763</v>
      </c>
      <c r="M107" s="1173">
        <v>8112243</v>
      </c>
      <c r="N107" s="1173">
        <v>25912980</v>
      </c>
      <c r="O107" s="1174">
        <v>4785533</v>
      </c>
      <c r="P107" s="1174">
        <v>7090091</v>
      </c>
      <c r="Q107" s="1174">
        <v>106696863</v>
      </c>
      <c r="R107" s="1174">
        <v>24621203</v>
      </c>
      <c r="S107" s="1174">
        <v>4734339</v>
      </c>
      <c r="T107" s="1174">
        <v>1105877</v>
      </c>
      <c r="U107" s="1174">
        <v>31615854</v>
      </c>
      <c r="V107" s="1174">
        <v>124346357</v>
      </c>
      <c r="W107" s="1174">
        <v>11611234</v>
      </c>
      <c r="X107" s="1174">
        <v>5417739</v>
      </c>
      <c r="Y107" s="1174">
        <v>98702140</v>
      </c>
      <c r="Z107" s="1174">
        <v>52232376</v>
      </c>
      <c r="AA107" s="1174">
        <v>4649457</v>
      </c>
      <c r="AB107" s="1174">
        <v>22981583</v>
      </c>
      <c r="AC107" s="1174">
        <v>5076001</v>
      </c>
      <c r="AD107" s="1173">
        <v>12132960</v>
      </c>
      <c r="AE107" s="1173">
        <v>48729271</v>
      </c>
      <c r="AF107" s="1173">
        <v>7820645</v>
      </c>
      <c r="AG107" s="1173">
        <v>39537333</v>
      </c>
      <c r="AH107" s="1173">
        <v>14985818</v>
      </c>
      <c r="AI107" s="1173">
        <v>6440895</v>
      </c>
      <c r="AJ107" s="1173">
        <v>22472359</v>
      </c>
      <c r="AK107" s="1173">
        <v>19211411</v>
      </c>
      <c r="AL107" s="1173">
        <v>50332966</v>
      </c>
      <c r="AM107" s="1173">
        <v>20701782</v>
      </c>
      <c r="AN107" s="1173">
        <v>15609851</v>
      </c>
      <c r="AO107" s="1173">
        <v>28382815</v>
      </c>
      <c r="AP107" s="1173">
        <v>20228993</v>
      </c>
      <c r="AQ107" s="1173">
        <v>15262584</v>
      </c>
      <c r="AR107" s="1173">
        <v>30398383</v>
      </c>
      <c r="AS107" s="1173">
        <v>9586407</v>
      </c>
      <c r="AT107" s="1173">
        <v>6465156</v>
      </c>
      <c r="AU107" s="1173">
        <v>15732099</v>
      </c>
      <c r="AV107" s="1173">
        <v>2887948</v>
      </c>
      <c r="AW107" s="1173">
        <v>147113368</v>
      </c>
      <c r="AX107" s="1173">
        <v>14661042</v>
      </c>
      <c r="AY107" s="1173">
        <v>796038187</v>
      </c>
      <c r="AZ107" s="1173">
        <v>5617162</v>
      </c>
      <c r="BA107" s="1173">
        <v>3743273</v>
      </c>
      <c r="BB107" s="1173">
        <v>18693400</v>
      </c>
      <c r="BC107" s="1173">
        <v>37125268</v>
      </c>
      <c r="BD107" s="1173">
        <v>3264797</v>
      </c>
      <c r="BE107" s="1173">
        <v>3116157</v>
      </c>
      <c r="BF107" s="1173">
        <v>21136971</v>
      </c>
      <c r="BG107" s="1173">
        <v>28600696</v>
      </c>
      <c r="BH107" s="1173">
        <v>176133541</v>
      </c>
      <c r="BI107" s="1173">
        <v>10469068</v>
      </c>
      <c r="BJ107" s="1173">
        <v>5498067</v>
      </c>
      <c r="BK107" s="1152"/>
      <c r="BL107" s="1118"/>
    </row>
    <row r="108" spans="1:64" s="401" customFormat="1" x14ac:dyDescent="0.3">
      <c r="A108" s="1154">
        <v>342</v>
      </c>
      <c r="B108" s="1222"/>
      <c r="C108" s="1153">
        <v>342</v>
      </c>
      <c r="D108" s="1154" t="s">
        <v>1486</v>
      </c>
      <c r="E108" s="1154"/>
      <c r="F108" s="1154"/>
      <c r="G108" s="1170"/>
      <c r="H108" s="1171"/>
      <c r="I108" s="1171"/>
      <c r="J108" s="1171"/>
      <c r="K108" s="1171"/>
      <c r="L108" s="1171"/>
      <c r="M108" s="1172"/>
      <c r="N108" s="1173"/>
      <c r="O108" s="1173"/>
      <c r="P108" s="1174"/>
      <c r="Q108" s="1174"/>
      <c r="R108" s="1174"/>
      <c r="S108" s="1174"/>
      <c r="T108" s="1174"/>
      <c r="U108" s="1174"/>
      <c r="V108" s="1174"/>
      <c r="W108" s="1174"/>
      <c r="X108" s="1174"/>
      <c r="Y108" s="1174"/>
      <c r="Z108" s="1174"/>
      <c r="AA108" s="1174"/>
      <c r="AB108" s="1174"/>
      <c r="AC108" s="1174"/>
      <c r="AD108" s="1174"/>
      <c r="AE108" s="1173"/>
      <c r="AF108" s="1173"/>
      <c r="AG108" s="1173"/>
      <c r="AH108" s="1173"/>
      <c r="AI108" s="1173"/>
      <c r="AJ108" s="1173"/>
      <c r="AK108" s="1173"/>
      <c r="AL108" s="1173"/>
      <c r="AM108" s="1173"/>
      <c r="AN108" s="1173"/>
      <c r="AO108" s="1173"/>
      <c r="AP108" s="1173"/>
      <c r="AQ108" s="1173"/>
      <c r="AR108" s="1173"/>
      <c r="AS108" s="1173"/>
      <c r="AT108" s="1173"/>
      <c r="AU108" s="1173"/>
      <c r="AV108" s="1173"/>
      <c r="AW108" s="1173"/>
      <c r="AX108" s="1173"/>
      <c r="AY108" s="1173"/>
      <c r="AZ108" s="1173"/>
      <c r="BA108" s="1173"/>
      <c r="BB108" s="1173"/>
      <c r="BC108" s="1173"/>
      <c r="BD108" s="1173"/>
      <c r="BE108" s="1173"/>
      <c r="BF108" s="1173"/>
      <c r="BG108" s="1173"/>
      <c r="BH108" s="1173"/>
      <c r="BI108" s="1173"/>
      <c r="BJ108" s="1173"/>
      <c r="BK108" s="1173"/>
      <c r="BL108" s="1118"/>
    </row>
    <row r="109" spans="1:64" s="401" customFormat="1" x14ac:dyDescent="0.3">
      <c r="A109" s="1154">
        <v>343</v>
      </c>
      <c r="B109" s="1222"/>
      <c r="C109" s="1153">
        <v>343</v>
      </c>
      <c r="D109" s="1154" t="s">
        <v>1487</v>
      </c>
      <c r="E109" s="1154"/>
      <c r="F109" s="1154"/>
      <c r="G109" s="1170"/>
      <c r="H109" s="1171"/>
      <c r="I109" s="1171"/>
      <c r="J109" s="1171"/>
      <c r="K109" s="1171"/>
      <c r="L109" s="1171"/>
      <c r="M109" s="1172"/>
      <c r="N109" s="1173"/>
      <c r="O109" s="1173"/>
      <c r="P109" s="1174"/>
      <c r="Q109" s="1174"/>
      <c r="R109" s="1174"/>
      <c r="S109" s="1174"/>
      <c r="T109" s="1174"/>
      <c r="U109" s="1174"/>
      <c r="V109" s="1174"/>
      <c r="W109" s="1174"/>
      <c r="X109" s="1174"/>
      <c r="Y109" s="1174"/>
      <c r="Z109" s="1174"/>
      <c r="AA109" s="1174"/>
      <c r="AB109" s="1174"/>
      <c r="AC109" s="1174"/>
      <c r="AD109" s="1174"/>
      <c r="AE109" s="1173"/>
      <c r="AF109" s="1173"/>
      <c r="AG109" s="1173"/>
      <c r="AH109" s="1173"/>
      <c r="AI109" s="1173"/>
      <c r="AJ109" s="1173"/>
      <c r="AK109" s="1173"/>
      <c r="AL109" s="1173"/>
      <c r="AM109" s="1173"/>
      <c r="AN109" s="1173"/>
      <c r="AO109" s="1173"/>
      <c r="AP109" s="1173"/>
      <c r="AQ109" s="1173"/>
      <c r="AR109" s="1173"/>
      <c r="AS109" s="1173"/>
      <c r="AT109" s="1173"/>
      <c r="AU109" s="1173"/>
      <c r="AV109" s="1173"/>
      <c r="AW109" s="1173"/>
      <c r="AX109" s="1173"/>
      <c r="AY109" s="1173"/>
      <c r="AZ109" s="1173"/>
      <c r="BA109" s="1173"/>
      <c r="BB109" s="1173"/>
      <c r="BC109" s="1173"/>
      <c r="BD109" s="1173"/>
      <c r="BE109" s="1173"/>
      <c r="BF109" s="1173"/>
      <c r="BG109" s="1173"/>
      <c r="BH109" s="1173"/>
      <c r="BI109" s="1173"/>
      <c r="BJ109" s="1173"/>
      <c r="BK109" s="1173"/>
      <c r="BL109" s="1118"/>
    </row>
    <row r="110" spans="1:64" s="401" customFormat="1" x14ac:dyDescent="0.3">
      <c r="A110" s="1154">
        <v>344</v>
      </c>
      <c r="B110" s="1222"/>
      <c r="C110" s="1153">
        <v>344</v>
      </c>
      <c r="D110" s="1154" t="s">
        <v>1488</v>
      </c>
      <c r="E110" s="1154"/>
      <c r="F110" s="1154"/>
      <c r="G110" s="1170"/>
      <c r="H110" s="1171"/>
      <c r="I110" s="1171"/>
      <c r="J110" s="1171"/>
      <c r="K110" s="1171"/>
      <c r="L110" s="1171"/>
      <c r="M110" s="1172"/>
      <c r="N110" s="1173"/>
      <c r="O110" s="1173"/>
      <c r="P110" s="1174"/>
      <c r="Q110" s="1174"/>
      <c r="R110" s="1174"/>
      <c r="S110" s="1174"/>
      <c r="T110" s="1174"/>
      <c r="U110" s="1174"/>
      <c r="V110" s="1174"/>
      <c r="W110" s="1174"/>
      <c r="X110" s="1174"/>
      <c r="Y110" s="1174"/>
      <c r="Z110" s="1174"/>
      <c r="AA110" s="1174"/>
      <c r="AB110" s="1174"/>
      <c r="AC110" s="1174"/>
      <c r="AD110" s="1174"/>
      <c r="AE110" s="1173"/>
      <c r="AF110" s="1173"/>
      <c r="AG110" s="1173"/>
      <c r="AH110" s="1173"/>
      <c r="AI110" s="1173"/>
      <c r="AJ110" s="1173"/>
      <c r="AK110" s="1173"/>
      <c r="AL110" s="1173"/>
      <c r="AM110" s="1173"/>
      <c r="AN110" s="1173"/>
      <c r="AO110" s="1173"/>
      <c r="AP110" s="1173"/>
      <c r="AQ110" s="1173"/>
      <c r="AR110" s="1173"/>
      <c r="AS110" s="1173"/>
      <c r="AT110" s="1173"/>
      <c r="AU110" s="1173"/>
      <c r="AV110" s="1173"/>
      <c r="AW110" s="1173"/>
      <c r="AX110" s="1173"/>
      <c r="AY110" s="1173"/>
      <c r="AZ110" s="1173"/>
      <c r="BA110" s="1173"/>
      <c r="BB110" s="1173"/>
      <c r="BC110" s="1173"/>
      <c r="BD110" s="1173"/>
      <c r="BE110" s="1173"/>
      <c r="BF110" s="1173"/>
      <c r="BG110" s="1173"/>
      <c r="BH110" s="1173"/>
      <c r="BI110" s="1173"/>
      <c r="BJ110" s="1173"/>
      <c r="BK110" s="1173"/>
      <c r="BL110" s="1118"/>
    </row>
    <row r="111" spans="1:64" s="401" customFormat="1" x14ac:dyDescent="0.3">
      <c r="A111" s="1154">
        <v>346</v>
      </c>
      <c r="B111" s="1222"/>
      <c r="C111" s="1153">
        <v>346</v>
      </c>
      <c r="D111" s="1154" t="s">
        <v>1489</v>
      </c>
      <c r="E111" s="1154"/>
      <c r="F111" s="1154"/>
      <c r="G111" s="1170"/>
      <c r="H111" s="1171"/>
      <c r="I111" s="1171"/>
      <c r="J111" s="1171"/>
      <c r="K111" s="1171"/>
      <c r="L111" s="1171"/>
      <c r="M111" s="1172"/>
      <c r="N111" s="1173"/>
      <c r="O111" s="1173"/>
      <c r="P111" s="1174"/>
      <c r="Q111" s="1174"/>
      <c r="R111" s="1174"/>
      <c r="S111" s="1174"/>
      <c r="T111" s="1174"/>
      <c r="U111" s="1174"/>
      <c r="V111" s="1174"/>
      <c r="W111" s="1174"/>
      <c r="X111" s="1174"/>
      <c r="Y111" s="1174"/>
      <c r="Z111" s="1174"/>
      <c r="AA111" s="1174"/>
      <c r="AB111" s="1174"/>
      <c r="AC111" s="1174"/>
      <c r="AD111" s="1174"/>
      <c r="AE111" s="1173"/>
      <c r="AF111" s="1173"/>
      <c r="AG111" s="1173"/>
      <c r="AH111" s="1173"/>
      <c r="AI111" s="1173"/>
      <c r="AJ111" s="1173"/>
      <c r="AK111" s="1173"/>
      <c r="AL111" s="1173"/>
      <c r="AM111" s="1173"/>
      <c r="AN111" s="1173"/>
      <c r="AO111" s="1173"/>
      <c r="AP111" s="1173"/>
      <c r="AQ111" s="1173"/>
      <c r="AR111" s="1173"/>
      <c r="AS111" s="1173"/>
      <c r="AT111" s="1173"/>
      <c r="AU111" s="1173"/>
      <c r="AV111" s="1173"/>
      <c r="AW111" s="1173"/>
      <c r="AX111" s="1173"/>
      <c r="AY111" s="1173"/>
      <c r="AZ111" s="1173"/>
      <c r="BA111" s="1173"/>
      <c r="BB111" s="1173"/>
      <c r="BC111" s="1173"/>
      <c r="BD111" s="1173"/>
      <c r="BE111" s="1173"/>
      <c r="BF111" s="1173"/>
      <c r="BG111" s="1173"/>
      <c r="BH111" s="1173"/>
      <c r="BI111" s="1173"/>
      <c r="BJ111" s="1173"/>
      <c r="BK111" s="1173"/>
      <c r="BL111" s="1118"/>
    </row>
    <row r="112" spans="1:64" s="401" customFormat="1" x14ac:dyDescent="0.3">
      <c r="A112" s="1154">
        <v>347</v>
      </c>
      <c r="B112" s="1222"/>
      <c r="C112" s="1153">
        <v>347</v>
      </c>
      <c r="D112" s="1154" t="s">
        <v>1490</v>
      </c>
      <c r="E112" s="1154"/>
      <c r="F112" s="1154"/>
      <c r="G112" s="1170"/>
      <c r="H112" s="1171"/>
      <c r="I112" s="1171"/>
      <c r="J112" s="1171"/>
      <c r="K112" s="1171"/>
      <c r="L112" s="1171"/>
      <c r="M112" s="1172"/>
      <c r="N112" s="1173"/>
      <c r="O112" s="1173"/>
      <c r="P112" s="1174"/>
      <c r="Q112" s="1174"/>
      <c r="R112" s="1174"/>
      <c r="S112" s="1174"/>
      <c r="T112" s="1174"/>
      <c r="U112" s="1174"/>
      <c r="V112" s="1174"/>
      <c r="W112" s="1174"/>
      <c r="X112" s="1174"/>
      <c r="Y112" s="1174"/>
      <c r="Z112" s="1174"/>
      <c r="AA112" s="1174"/>
      <c r="AB112" s="1174"/>
      <c r="AC112" s="1174"/>
      <c r="AD112" s="1174"/>
      <c r="AE112" s="1173"/>
      <c r="AF112" s="1173"/>
      <c r="AG112" s="1173"/>
      <c r="AH112" s="1173"/>
      <c r="AI112" s="1173"/>
      <c r="AJ112" s="1173"/>
      <c r="AK112" s="1173"/>
      <c r="AL112" s="1173"/>
      <c r="AM112" s="1173"/>
      <c r="AN112" s="1173"/>
      <c r="AO112" s="1173"/>
      <c r="AP112" s="1173"/>
      <c r="AQ112" s="1173"/>
      <c r="AR112" s="1173"/>
      <c r="AS112" s="1173"/>
      <c r="AT112" s="1173"/>
      <c r="AU112" s="1173"/>
      <c r="AV112" s="1173"/>
      <c r="AW112" s="1173"/>
      <c r="AX112" s="1173"/>
      <c r="AY112" s="1173"/>
      <c r="AZ112" s="1173"/>
      <c r="BA112" s="1173"/>
      <c r="BB112" s="1173"/>
      <c r="BC112" s="1173"/>
      <c r="BD112" s="1173"/>
      <c r="BE112" s="1173"/>
      <c r="BF112" s="1173"/>
      <c r="BG112" s="1173"/>
      <c r="BH112" s="1173"/>
      <c r="BI112" s="1173"/>
      <c r="BJ112" s="1173"/>
      <c r="BK112" s="1173"/>
      <c r="BL112" s="1118"/>
    </row>
    <row r="113" spans="1:64" s="401" customFormat="1" x14ac:dyDescent="0.3">
      <c r="A113" s="1154">
        <v>349</v>
      </c>
      <c r="B113" s="1222"/>
      <c r="C113" s="1153">
        <v>349</v>
      </c>
      <c r="D113" s="1154" t="s">
        <v>1491</v>
      </c>
      <c r="E113" s="1154"/>
      <c r="F113" s="1154"/>
      <c r="G113" s="1170"/>
      <c r="H113" s="1171"/>
      <c r="I113" s="1171"/>
      <c r="J113" s="1171"/>
      <c r="K113" s="1171"/>
      <c r="L113" s="1171"/>
      <c r="M113" s="1172"/>
      <c r="N113" s="1173"/>
      <c r="O113" s="1173"/>
      <c r="P113" s="1174"/>
      <c r="Q113" s="1174"/>
      <c r="R113" s="1174"/>
      <c r="S113" s="1174"/>
      <c r="T113" s="1174"/>
      <c r="U113" s="1174"/>
      <c r="V113" s="1174"/>
      <c r="W113" s="1174"/>
      <c r="X113" s="1174"/>
      <c r="Y113" s="1174"/>
      <c r="Z113" s="1174"/>
      <c r="AA113" s="1174"/>
      <c r="AB113" s="1174"/>
      <c r="AC113" s="1174"/>
      <c r="AD113" s="1174"/>
      <c r="AE113" s="1173"/>
      <c r="AF113" s="1173"/>
      <c r="AG113" s="1173"/>
      <c r="AH113" s="1173"/>
      <c r="AI113" s="1173"/>
      <c r="AJ113" s="1173"/>
      <c r="AK113" s="1173"/>
      <c r="AL113" s="1173"/>
      <c r="AM113" s="1173"/>
      <c r="AN113" s="1173"/>
      <c r="AO113" s="1173"/>
      <c r="AP113" s="1173"/>
      <c r="AQ113" s="1173"/>
      <c r="AR113" s="1173"/>
      <c r="AS113" s="1173"/>
      <c r="AT113" s="1173"/>
      <c r="AU113" s="1173"/>
      <c r="AV113" s="1173"/>
      <c r="AW113" s="1173"/>
      <c r="AX113" s="1173"/>
      <c r="AY113" s="1173"/>
      <c r="AZ113" s="1173"/>
      <c r="BA113" s="1173"/>
      <c r="BB113" s="1173"/>
      <c r="BC113" s="1173"/>
      <c r="BD113" s="1173"/>
      <c r="BE113" s="1173"/>
      <c r="BF113" s="1173"/>
      <c r="BG113" s="1173"/>
      <c r="BH113" s="1173"/>
      <c r="BI113" s="1173"/>
      <c r="BJ113" s="1173"/>
      <c r="BK113" s="1173"/>
      <c r="BL113" s="1118"/>
    </row>
    <row r="114" spans="1:64" s="401" customFormat="1" x14ac:dyDescent="0.3">
      <c r="A114" s="1154">
        <v>350</v>
      </c>
      <c r="B114" s="1222"/>
      <c r="C114" s="1153">
        <v>350</v>
      </c>
      <c r="D114" s="1154" t="s">
        <v>1492</v>
      </c>
      <c r="E114" s="1154"/>
      <c r="F114" s="1154"/>
      <c r="G114" s="1170"/>
      <c r="H114" s="1171"/>
      <c r="I114" s="1171"/>
      <c r="J114" s="1171"/>
      <c r="K114" s="1171"/>
      <c r="L114" s="1171"/>
      <c r="M114" s="1172"/>
      <c r="N114" s="1173"/>
      <c r="O114" s="1173"/>
      <c r="P114" s="1174"/>
      <c r="Q114" s="1174"/>
      <c r="R114" s="1174"/>
      <c r="S114" s="1174"/>
      <c r="T114" s="1174"/>
      <c r="U114" s="1174"/>
      <c r="V114" s="1174"/>
      <c r="W114" s="1174"/>
      <c r="X114" s="1174"/>
      <c r="Y114" s="1174"/>
      <c r="Z114" s="1174"/>
      <c r="AA114" s="1174"/>
      <c r="AB114" s="1174"/>
      <c r="AC114" s="1174"/>
      <c r="AD114" s="1174"/>
      <c r="AE114" s="1173"/>
      <c r="AF114" s="1173"/>
      <c r="AG114" s="1173"/>
      <c r="AH114" s="1173"/>
      <c r="AI114" s="1173"/>
      <c r="AJ114" s="1173"/>
      <c r="AK114" s="1173"/>
      <c r="AL114" s="1173"/>
      <c r="AM114" s="1173"/>
      <c r="AN114" s="1173"/>
      <c r="AO114" s="1173"/>
      <c r="AP114" s="1173"/>
      <c r="AQ114" s="1173"/>
      <c r="AR114" s="1173"/>
      <c r="AS114" s="1173"/>
      <c r="AT114" s="1173"/>
      <c r="AU114" s="1173"/>
      <c r="AV114" s="1173"/>
      <c r="AW114" s="1173"/>
      <c r="AX114" s="1173"/>
      <c r="AY114" s="1173"/>
      <c r="AZ114" s="1173"/>
      <c r="BA114" s="1173"/>
      <c r="BB114" s="1173"/>
      <c r="BC114" s="1173"/>
      <c r="BD114" s="1173"/>
      <c r="BE114" s="1173"/>
      <c r="BF114" s="1173"/>
      <c r="BG114" s="1173"/>
      <c r="BH114" s="1173"/>
      <c r="BI114" s="1173"/>
      <c r="BJ114" s="1173"/>
      <c r="BK114" s="1173"/>
      <c r="BL114" s="1118"/>
    </row>
    <row r="115" spans="1:64" s="401" customFormat="1" x14ac:dyDescent="0.3">
      <c r="A115" s="1154">
        <v>351</v>
      </c>
      <c r="B115" s="1222"/>
      <c r="C115" s="1153">
        <v>351</v>
      </c>
      <c r="D115" s="1154" t="s">
        <v>1493</v>
      </c>
      <c r="E115" s="1154"/>
      <c r="F115" s="1154"/>
      <c r="G115" s="1170"/>
      <c r="H115" s="1171"/>
      <c r="I115" s="1171"/>
      <c r="J115" s="1171"/>
      <c r="K115" s="1171"/>
      <c r="L115" s="1171"/>
      <c r="M115" s="1172"/>
      <c r="N115" s="1173"/>
      <c r="O115" s="1173"/>
      <c r="P115" s="1174"/>
      <c r="Q115" s="1174"/>
      <c r="R115" s="1174"/>
      <c r="S115" s="1174"/>
      <c r="T115" s="1174"/>
      <c r="U115" s="1174"/>
      <c r="V115" s="1174"/>
      <c r="W115" s="1174"/>
      <c r="X115" s="1174"/>
      <c r="Y115" s="1174"/>
      <c r="Z115" s="1174"/>
      <c r="AA115" s="1174"/>
      <c r="AB115" s="1174"/>
      <c r="AC115" s="1174"/>
      <c r="AD115" s="1174"/>
      <c r="AE115" s="1173"/>
      <c r="AF115" s="1173"/>
      <c r="AG115" s="1173"/>
      <c r="AH115" s="1173"/>
      <c r="AI115" s="1173"/>
      <c r="AJ115" s="1173"/>
      <c r="AK115" s="1173"/>
      <c r="AL115" s="1173"/>
      <c r="AM115" s="1173"/>
      <c r="AN115" s="1173"/>
      <c r="AO115" s="1173"/>
      <c r="AP115" s="1173"/>
      <c r="AQ115" s="1173"/>
      <c r="AR115" s="1173"/>
      <c r="AS115" s="1173"/>
      <c r="AT115" s="1173"/>
      <c r="AU115" s="1173"/>
      <c r="AV115" s="1173"/>
      <c r="AW115" s="1173"/>
      <c r="AX115" s="1173"/>
      <c r="AY115" s="1173"/>
      <c r="AZ115" s="1173"/>
      <c r="BA115" s="1173"/>
      <c r="BB115" s="1173"/>
      <c r="BC115" s="1173"/>
      <c r="BD115" s="1173"/>
      <c r="BE115" s="1173"/>
      <c r="BF115" s="1173"/>
      <c r="BG115" s="1173"/>
      <c r="BH115" s="1173"/>
      <c r="BI115" s="1173"/>
      <c r="BJ115" s="1173"/>
      <c r="BK115" s="1173"/>
      <c r="BL115" s="1118"/>
    </row>
    <row r="116" spans="1:64" s="401" customFormat="1" x14ac:dyDescent="0.3">
      <c r="A116" s="1154">
        <v>352</v>
      </c>
      <c r="B116" s="1222"/>
      <c r="C116" s="1153">
        <v>352</v>
      </c>
      <c r="D116" s="1154" t="s">
        <v>1494</v>
      </c>
      <c r="E116" s="1154"/>
      <c r="F116" s="1154"/>
      <c r="G116" s="1170"/>
      <c r="H116" s="1171"/>
      <c r="I116" s="1171"/>
      <c r="J116" s="1171"/>
      <c r="K116" s="1171"/>
      <c r="L116" s="1171"/>
      <c r="M116" s="1172"/>
      <c r="N116" s="1173"/>
      <c r="O116" s="1173"/>
      <c r="P116" s="1174"/>
      <c r="Q116" s="1174"/>
      <c r="R116" s="1174"/>
      <c r="S116" s="1174"/>
      <c r="T116" s="1174"/>
      <c r="U116" s="1174"/>
      <c r="V116" s="1174"/>
      <c r="W116" s="1174"/>
      <c r="X116" s="1174"/>
      <c r="Y116" s="1174"/>
      <c r="Z116" s="1174"/>
      <c r="AA116" s="1174"/>
      <c r="AB116" s="1174"/>
      <c r="AC116" s="1174"/>
      <c r="AD116" s="1174"/>
      <c r="AE116" s="1173"/>
      <c r="AF116" s="1173"/>
      <c r="AG116" s="1173"/>
      <c r="AH116" s="1173"/>
      <c r="AI116" s="1173"/>
      <c r="AJ116" s="1173"/>
      <c r="AK116" s="1173"/>
      <c r="AL116" s="1173"/>
      <c r="AM116" s="1173"/>
      <c r="AN116" s="1173"/>
      <c r="AO116" s="1173"/>
      <c r="AP116" s="1173"/>
      <c r="AQ116" s="1173"/>
      <c r="AR116" s="1173"/>
      <c r="AS116" s="1173"/>
      <c r="AT116" s="1173"/>
      <c r="AU116" s="1173"/>
      <c r="AV116" s="1173"/>
      <c r="AW116" s="1173"/>
      <c r="AX116" s="1173"/>
      <c r="AY116" s="1173"/>
      <c r="AZ116" s="1173"/>
      <c r="BA116" s="1173"/>
      <c r="BB116" s="1173"/>
      <c r="BC116" s="1173"/>
      <c r="BD116" s="1173"/>
      <c r="BE116" s="1173"/>
      <c r="BF116" s="1173"/>
      <c r="BG116" s="1173"/>
      <c r="BH116" s="1173"/>
      <c r="BI116" s="1173"/>
      <c r="BJ116" s="1173"/>
      <c r="BK116" s="1173"/>
      <c r="BL116" s="1118"/>
    </row>
    <row r="117" spans="1:64" s="401" customFormat="1" x14ac:dyDescent="0.3">
      <c r="A117" s="1154">
        <v>353</v>
      </c>
      <c r="B117" s="1222"/>
      <c r="C117" s="1153">
        <v>353</v>
      </c>
      <c r="D117" s="1154" t="s">
        <v>1495</v>
      </c>
      <c r="E117" s="1154"/>
      <c r="F117" s="1154"/>
      <c r="G117" s="1170"/>
      <c r="H117" s="1171"/>
      <c r="I117" s="1171"/>
      <c r="J117" s="1171"/>
      <c r="K117" s="1171"/>
      <c r="L117" s="1171"/>
      <c r="M117" s="1172"/>
      <c r="N117" s="1173"/>
      <c r="O117" s="1173"/>
      <c r="P117" s="1174"/>
      <c r="Q117" s="1174"/>
      <c r="R117" s="1174"/>
      <c r="S117" s="1174"/>
      <c r="T117" s="1174"/>
      <c r="U117" s="1174"/>
      <c r="V117" s="1174"/>
      <c r="W117" s="1174"/>
      <c r="X117" s="1174"/>
      <c r="Y117" s="1174"/>
      <c r="Z117" s="1174"/>
      <c r="AA117" s="1174"/>
      <c r="AB117" s="1174"/>
      <c r="AC117" s="1174"/>
      <c r="AD117" s="1174"/>
      <c r="AE117" s="1173"/>
      <c r="AF117" s="1173"/>
      <c r="AG117" s="1173"/>
      <c r="AH117" s="1173"/>
      <c r="AI117" s="1173"/>
      <c r="AJ117" s="1173"/>
      <c r="AK117" s="1173"/>
      <c r="AL117" s="1173"/>
      <c r="AM117" s="1173"/>
      <c r="AN117" s="1173"/>
      <c r="AO117" s="1173"/>
      <c r="AP117" s="1173"/>
      <c r="AQ117" s="1173"/>
      <c r="AR117" s="1173"/>
      <c r="AS117" s="1173"/>
      <c r="AT117" s="1173"/>
      <c r="AU117" s="1173"/>
      <c r="AV117" s="1173"/>
      <c r="AW117" s="1173"/>
      <c r="AX117" s="1173"/>
      <c r="AY117" s="1173"/>
      <c r="AZ117" s="1173"/>
      <c r="BA117" s="1173"/>
      <c r="BB117" s="1173"/>
      <c r="BC117" s="1173"/>
      <c r="BD117" s="1173"/>
      <c r="BE117" s="1173"/>
      <c r="BF117" s="1173"/>
      <c r="BG117" s="1173"/>
      <c r="BH117" s="1173"/>
      <c r="BI117" s="1173"/>
      <c r="BJ117" s="1173"/>
      <c r="BK117" s="1173"/>
      <c r="BL117" s="1118"/>
    </row>
    <row r="118" spans="1:64" s="401" customFormat="1" x14ac:dyDescent="0.3">
      <c r="A118" s="1154">
        <v>356</v>
      </c>
      <c r="B118" s="1222"/>
      <c r="C118" s="1153">
        <v>356</v>
      </c>
      <c r="D118" s="1154" t="s">
        <v>1496</v>
      </c>
      <c r="E118" s="1154"/>
      <c r="F118" s="1154"/>
      <c r="G118" s="1170"/>
      <c r="H118" s="1171"/>
      <c r="I118" s="1171"/>
      <c r="J118" s="1171"/>
      <c r="K118" s="1171"/>
      <c r="L118" s="1171"/>
      <c r="M118" s="1172"/>
      <c r="N118" s="1173"/>
      <c r="O118" s="1173"/>
      <c r="P118" s="1174"/>
      <c r="Q118" s="1174"/>
      <c r="R118" s="1174"/>
      <c r="S118" s="1174"/>
      <c r="T118" s="1174"/>
      <c r="U118" s="1174"/>
      <c r="V118" s="1174"/>
      <c r="W118" s="1174"/>
      <c r="X118" s="1174"/>
      <c r="Y118" s="1174"/>
      <c r="Z118" s="1174"/>
      <c r="AA118" s="1174"/>
      <c r="AB118" s="1174"/>
      <c r="AC118" s="1174"/>
      <c r="AD118" s="1174"/>
      <c r="AE118" s="1173"/>
      <c r="AF118" s="1173"/>
      <c r="AG118" s="1173"/>
      <c r="AH118" s="1173"/>
      <c r="AI118" s="1173"/>
      <c r="AJ118" s="1173"/>
      <c r="AK118" s="1173"/>
      <c r="AL118" s="1173"/>
      <c r="AM118" s="1173"/>
      <c r="AN118" s="1173"/>
      <c r="AO118" s="1173"/>
      <c r="AP118" s="1173"/>
      <c r="AQ118" s="1173"/>
      <c r="AR118" s="1173"/>
      <c r="AS118" s="1173"/>
      <c r="AT118" s="1173"/>
      <c r="AU118" s="1173"/>
      <c r="AV118" s="1173"/>
      <c r="AW118" s="1173"/>
      <c r="AX118" s="1173"/>
      <c r="AY118" s="1173"/>
      <c r="AZ118" s="1173"/>
      <c r="BA118" s="1173"/>
      <c r="BB118" s="1173"/>
      <c r="BC118" s="1173"/>
      <c r="BD118" s="1173"/>
      <c r="BE118" s="1173"/>
      <c r="BF118" s="1173"/>
      <c r="BG118" s="1173"/>
      <c r="BH118" s="1173"/>
      <c r="BI118" s="1173"/>
      <c r="BJ118" s="1173"/>
      <c r="BK118" s="1173"/>
      <c r="BL118" s="1118"/>
    </row>
    <row r="119" spans="1:64" s="401" customFormat="1" x14ac:dyDescent="0.3">
      <c r="A119" s="1154">
        <v>357</v>
      </c>
      <c r="B119" s="1222"/>
      <c r="C119" s="1153">
        <v>357</v>
      </c>
      <c r="D119" s="1154" t="s">
        <v>1497</v>
      </c>
      <c r="E119" s="1154"/>
      <c r="F119" s="1154"/>
      <c r="G119" s="1170"/>
      <c r="H119" s="1171"/>
      <c r="I119" s="1171"/>
      <c r="J119" s="1171"/>
      <c r="K119" s="1171"/>
      <c r="L119" s="1171"/>
      <c r="M119" s="1172"/>
      <c r="N119" s="1173"/>
      <c r="O119" s="1173"/>
      <c r="P119" s="1174"/>
      <c r="Q119" s="1174"/>
      <c r="R119" s="1174"/>
      <c r="S119" s="1174"/>
      <c r="T119" s="1174"/>
      <c r="U119" s="1174"/>
      <c r="V119" s="1174"/>
      <c r="W119" s="1174"/>
      <c r="X119" s="1174"/>
      <c r="Y119" s="1174"/>
      <c r="Z119" s="1174"/>
      <c r="AA119" s="1174"/>
      <c r="AB119" s="1174"/>
      <c r="AC119" s="1174"/>
      <c r="AD119" s="1174"/>
      <c r="AE119" s="1173"/>
      <c r="AF119" s="1173"/>
      <c r="AG119" s="1173"/>
      <c r="AH119" s="1173"/>
      <c r="AI119" s="1173"/>
      <c r="AJ119" s="1173"/>
      <c r="AK119" s="1173"/>
      <c r="AL119" s="1173"/>
      <c r="AM119" s="1173"/>
      <c r="AN119" s="1173"/>
      <c r="AO119" s="1173"/>
      <c r="AP119" s="1173"/>
      <c r="AQ119" s="1173"/>
      <c r="AR119" s="1173"/>
      <c r="AS119" s="1173"/>
      <c r="AT119" s="1173"/>
      <c r="AU119" s="1173"/>
      <c r="AV119" s="1173"/>
      <c r="AW119" s="1173"/>
      <c r="AX119" s="1173"/>
      <c r="AY119" s="1173"/>
      <c r="AZ119" s="1173"/>
      <c r="BA119" s="1173"/>
      <c r="BB119" s="1173"/>
      <c r="BC119" s="1173"/>
      <c r="BD119" s="1173"/>
      <c r="BE119" s="1173"/>
      <c r="BF119" s="1173"/>
      <c r="BG119" s="1173"/>
      <c r="BH119" s="1173"/>
      <c r="BI119" s="1173"/>
      <c r="BJ119" s="1173"/>
      <c r="BK119" s="1173"/>
      <c r="BL119" s="1118"/>
    </row>
    <row r="120" spans="1:64" s="401" customFormat="1" x14ac:dyDescent="0.3">
      <c r="A120" s="1154">
        <v>359</v>
      </c>
      <c r="B120" s="1222"/>
      <c r="C120" s="1153">
        <v>359</v>
      </c>
      <c r="D120" s="1154" t="s">
        <v>1498</v>
      </c>
      <c r="E120" s="1154"/>
      <c r="F120" s="1154"/>
      <c r="G120" s="1170"/>
      <c r="H120" s="1171"/>
      <c r="I120" s="1171"/>
      <c r="J120" s="1171"/>
      <c r="K120" s="1171"/>
      <c r="L120" s="1171"/>
      <c r="M120" s="1172"/>
      <c r="N120" s="1173"/>
      <c r="O120" s="1173"/>
      <c r="P120" s="1174"/>
      <c r="Q120" s="1174"/>
      <c r="R120" s="1174"/>
      <c r="S120" s="1174"/>
      <c r="T120" s="1174"/>
      <c r="U120" s="1174"/>
      <c r="V120" s="1174"/>
      <c r="W120" s="1174"/>
      <c r="X120" s="1174"/>
      <c r="Y120" s="1174"/>
      <c r="Z120" s="1174"/>
      <c r="AA120" s="1174"/>
      <c r="AB120" s="1174"/>
      <c r="AC120" s="1174"/>
      <c r="AD120" s="1174"/>
      <c r="AE120" s="1173"/>
      <c r="AF120" s="1173"/>
      <c r="AG120" s="1173"/>
      <c r="AH120" s="1173"/>
      <c r="AI120" s="1173"/>
      <c r="AJ120" s="1173"/>
      <c r="AK120" s="1173"/>
      <c r="AL120" s="1173"/>
      <c r="AM120" s="1173"/>
      <c r="AN120" s="1173"/>
      <c r="AO120" s="1173"/>
      <c r="AP120" s="1173"/>
      <c r="AQ120" s="1173"/>
      <c r="AR120" s="1173"/>
      <c r="AS120" s="1173"/>
      <c r="AT120" s="1173"/>
      <c r="AU120" s="1173"/>
      <c r="AV120" s="1173"/>
      <c r="AW120" s="1173"/>
      <c r="AX120" s="1173"/>
      <c r="AY120" s="1173"/>
      <c r="AZ120" s="1173"/>
      <c r="BA120" s="1173"/>
      <c r="BB120" s="1173"/>
      <c r="BC120" s="1173"/>
      <c r="BD120" s="1173"/>
      <c r="BE120" s="1173"/>
      <c r="BF120" s="1173"/>
      <c r="BG120" s="1173"/>
      <c r="BH120" s="1173"/>
      <c r="BI120" s="1173"/>
      <c r="BJ120" s="1173"/>
      <c r="BK120" s="1173"/>
      <c r="BL120" s="1118"/>
    </row>
    <row r="121" spans="1:64" s="401" customFormat="1" x14ac:dyDescent="0.3">
      <c r="A121" s="1154">
        <v>360</v>
      </c>
      <c r="B121" s="1222"/>
      <c r="C121" s="1153">
        <v>360</v>
      </c>
      <c r="D121" s="1154" t="s">
        <v>1499</v>
      </c>
      <c r="E121" s="1154"/>
      <c r="F121" s="1154"/>
      <c r="G121" s="1170"/>
      <c r="H121" s="1171"/>
      <c r="I121" s="1171"/>
      <c r="J121" s="1171"/>
      <c r="K121" s="1171"/>
      <c r="L121" s="1171"/>
      <c r="M121" s="1172"/>
      <c r="N121" s="1173"/>
      <c r="O121" s="1173"/>
      <c r="P121" s="1174"/>
      <c r="Q121" s="1174"/>
      <c r="R121" s="1174"/>
      <c r="S121" s="1174"/>
      <c r="T121" s="1174"/>
      <c r="U121" s="1174"/>
      <c r="V121" s="1174"/>
      <c r="W121" s="1174"/>
      <c r="X121" s="1174"/>
      <c r="Y121" s="1174"/>
      <c r="Z121" s="1174"/>
      <c r="AA121" s="1174"/>
      <c r="AB121" s="1174"/>
      <c r="AC121" s="1174"/>
      <c r="AD121" s="1174"/>
      <c r="AE121" s="1173"/>
      <c r="AF121" s="1173"/>
      <c r="AG121" s="1173"/>
      <c r="AH121" s="1173"/>
      <c r="AI121" s="1173"/>
      <c r="AJ121" s="1173"/>
      <c r="AK121" s="1173"/>
      <c r="AL121" s="1173"/>
      <c r="AM121" s="1173"/>
      <c r="AN121" s="1173"/>
      <c r="AO121" s="1173"/>
      <c r="AP121" s="1173"/>
      <c r="AQ121" s="1173"/>
      <c r="AR121" s="1173"/>
      <c r="AS121" s="1173"/>
      <c r="AT121" s="1173"/>
      <c r="AU121" s="1173"/>
      <c r="AV121" s="1173"/>
      <c r="AW121" s="1173"/>
      <c r="AX121" s="1173"/>
      <c r="AY121" s="1173"/>
      <c r="AZ121" s="1173"/>
      <c r="BA121" s="1173"/>
      <c r="BB121" s="1173"/>
      <c r="BC121" s="1173"/>
      <c r="BD121" s="1173"/>
      <c r="BE121" s="1173"/>
      <c r="BF121" s="1173"/>
      <c r="BG121" s="1173"/>
      <c r="BH121" s="1173"/>
      <c r="BI121" s="1173"/>
      <c r="BJ121" s="1173"/>
      <c r="BK121" s="1173"/>
      <c r="BL121" s="1118"/>
    </row>
    <row r="122" spans="1:64" s="401" customFormat="1" x14ac:dyDescent="0.3">
      <c r="A122" s="1154">
        <v>361</v>
      </c>
      <c r="B122" s="1222"/>
      <c r="C122" s="1153">
        <v>361</v>
      </c>
      <c r="D122" s="1154" t="s">
        <v>1500</v>
      </c>
      <c r="E122" s="1154"/>
      <c r="F122" s="1154"/>
      <c r="G122" s="1170"/>
      <c r="H122" s="1171"/>
      <c r="I122" s="1171"/>
      <c r="J122" s="1171"/>
      <c r="K122" s="1171"/>
      <c r="L122" s="1171"/>
      <c r="M122" s="1172"/>
      <c r="N122" s="1173"/>
      <c r="O122" s="1173"/>
      <c r="P122" s="1174"/>
      <c r="Q122" s="1174"/>
      <c r="R122" s="1174"/>
      <c r="S122" s="1174"/>
      <c r="T122" s="1174"/>
      <c r="U122" s="1174"/>
      <c r="V122" s="1174"/>
      <c r="W122" s="1174"/>
      <c r="X122" s="1174"/>
      <c r="Y122" s="1174"/>
      <c r="Z122" s="1174"/>
      <c r="AA122" s="1174"/>
      <c r="AB122" s="1174"/>
      <c r="AC122" s="1174"/>
      <c r="AD122" s="1174"/>
      <c r="AE122" s="1173"/>
      <c r="AF122" s="1173"/>
      <c r="AG122" s="1173"/>
      <c r="AH122" s="1173"/>
      <c r="AI122" s="1173"/>
      <c r="AJ122" s="1173"/>
      <c r="AK122" s="1173"/>
      <c r="AL122" s="1173"/>
      <c r="AM122" s="1173"/>
      <c r="AN122" s="1173"/>
      <c r="AO122" s="1173"/>
      <c r="AP122" s="1173"/>
      <c r="AQ122" s="1173"/>
      <c r="AR122" s="1173"/>
      <c r="AS122" s="1173"/>
      <c r="AT122" s="1173"/>
      <c r="AU122" s="1173"/>
      <c r="AV122" s="1173"/>
      <c r="AW122" s="1173"/>
      <c r="AX122" s="1173"/>
      <c r="AY122" s="1173"/>
      <c r="AZ122" s="1173"/>
      <c r="BA122" s="1173"/>
      <c r="BB122" s="1173"/>
      <c r="BC122" s="1173"/>
      <c r="BD122" s="1173"/>
      <c r="BE122" s="1173"/>
      <c r="BF122" s="1173"/>
      <c r="BG122" s="1173"/>
      <c r="BH122" s="1173"/>
      <c r="BI122" s="1173"/>
      <c r="BJ122" s="1173"/>
      <c r="BK122" s="1173"/>
      <c r="BL122" s="1118"/>
    </row>
    <row r="123" spans="1:64" s="401" customFormat="1" x14ac:dyDescent="0.3">
      <c r="A123" s="1154">
        <v>362</v>
      </c>
      <c r="B123" s="1222"/>
      <c r="C123" s="1153">
        <v>362</v>
      </c>
      <c r="D123" s="1154" t="s">
        <v>1501</v>
      </c>
      <c r="E123" s="1154"/>
      <c r="F123" s="1154"/>
      <c r="G123" s="1170"/>
      <c r="H123" s="1171"/>
      <c r="I123" s="1171"/>
      <c r="J123" s="1171"/>
      <c r="K123" s="1171"/>
      <c r="L123" s="1171"/>
      <c r="M123" s="1172"/>
      <c r="N123" s="1173"/>
      <c r="O123" s="1173"/>
      <c r="P123" s="1174"/>
      <c r="Q123" s="1174"/>
      <c r="R123" s="1174"/>
      <c r="S123" s="1174"/>
      <c r="T123" s="1174"/>
      <c r="U123" s="1174"/>
      <c r="V123" s="1174"/>
      <c r="W123" s="1174"/>
      <c r="X123" s="1174"/>
      <c r="Y123" s="1174"/>
      <c r="Z123" s="1174"/>
      <c r="AA123" s="1174"/>
      <c r="AB123" s="1174"/>
      <c r="AC123" s="1174"/>
      <c r="AD123" s="1174"/>
      <c r="AE123" s="1173"/>
      <c r="AF123" s="1173"/>
      <c r="AG123" s="1173"/>
      <c r="AH123" s="1173"/>
      <c r="AI123" s="1173"/>
      <c r="AJ123" s="1173"/>
      <c r="AK123" s="1173"/>
      <c r="AL123" s="1173"/>
      <c r="AM123" s="1173"/>
      <c r="AN123" s="1173"/>
      <c r="AO123" s="1173"/>
      <c r="AP123" s="1173"/>
      <c r="AQ123" s="1173"/>
      <c r="AR123" s="1173"/>
      <c r="AS123" s="1173"/>
      <c r="AT123" s="1173"/>
      <c r="AU123" s="1173"/>
      <c r="AV123" s="1173"/>
      <c r="AW123" s="1173"/>
      <c r="AX123" s="1173"/>
      <c r="AY123" s="1173"/>
      <c r="AZ123" s="1173"/>
      <c r="BA123" s="1173"/>
      <c r="BB123" s="1173"/>
      <c r="BC123" s="1173"/>
      <c r="BD123" s="1173"/>
      <c r="BE123" s="1173"/>
      <c r="BF123" s="1173"/>
      <c r="BG123" s="1173"/>
      <c r="BH123" s="1173"/>
      <c r="BI123" s="1173"/>
      <c r="BJ123" s="1173"/>
      <c r="BK123" s="1173"/>
      <c r="BL123" s="1118"/>
    </row>
    <row r="124" spans="1:64" s="401" customFormat="1" x14ac:dyDescent="0.3">
      <c r="A124" s="1154">
        <v>363</v>
      </c>
      <c r="B124" s="1222"/>
      <c r="C124" s="1153">
        <v>363</v>
      </c>
      <c r="D124" s="1154" t="s">
        <v>1502</v>
      </c>
      <c r="E124" s="1154"/>
      <c r="F124" s="1154"/>
      <c r="G124" s="1170"/>
      <c r="H124" s="1171"/>
      <c r="I124" s="1171"/>
      <c r="J124" s="1171"/>
      <c r="K124" s="1171"/>
      <c r="L124" s="1171"/>
      <c r="M124" s="1172"/>
      <c r="N124" s="1173"/>
      <c r="O124" s="1173"/>
      <c r="P124" s="1174"/>
      <c r="Q124" s="1174"/>
      <c r="R124" s="1174"/>
      <c r="S124" s="1174"/>
      <c r="T124" s="1174"/>
      <c r="U124" s="1174"/>
      <c r="V124" s="1174"/>
      <c r="W124" s="1174"/>
      <c r="X124" s="1174"/>
      <c r="Y124" s="1174"/>
      <c r="Z124" s="1174"/>
      <c r="AA124" s="1174"/>
      <c r="AB124" s="1174"/>
      <c r="AC124" s="1174"/>
      <c r="AD124" s="1174"/>
      <c r="AE124" s="1173"/>
      <c r="AF124" s="1173"/>
      <c r="AG124" s="1173"/>
      <c r="AH124" s="1173"/>
      <c r="AI124" s="1173"/>
      <c r="AJ124" s="1173"/>
      <c r="AK124" s="1173"/>
      <c r="AL124" s="1173"/>
      <c r="AM124" s="1173"/>
      <c r="AN124" s="1173"/>
      <c r="AO124" s="1173"/>
      <c r="AP124" s="1173"/>
      <c r="AQ124" s="1173"/>
      <c r="AR124" s="1173"/>
      <c r="AS124" s="1173"/>
      <c r="AT124" s="1173"/>
      <c r="AU124" s="1173"/>
      <c r="AV124" s="1173"/>
      <c r="AW124" s="1173"/>
      <c r="AX124" s="1173"/>
      <c r="AY124" s="1173"/>
      <c r="AZ124" s="1173"/>
      <c r="BA124" s="1173"/>
      <c r="BB124" s="1173"/>
      <c r="BC124" s="1173"/>
      <c r="BD124" s="1173"/>
      <c r="BE124" s="1173"/>
      <c r="BF124" s="1173"/>
      <c r="BG124" s="1173"/>
      <c r="BH124" s="1173"/>
      <c r="BI124" s="1173"/>
      <c r="BJ124" s="1173"/>
      <c r="BK124" s="1173"/>
      <c r="BL124" s="1118"/>
    </row>
    <row r="125" spans="1:64" s="401" customFormat="1" x14ac:dyDescent="0.3">
      <c r="A125" s="1154">
        <v>364</v>
      </c>
      <c r="B125" s="1222"/>
      <c r="C125" s="1153">
        <v>364</v>
      </c>
      <c r="D125" s="1154" t="s">
        <v>1503</v>
      </c>
      <c r="E125" s="1154"/>
      <c r="F125" s="1154"/>
      <c r="G125" s="1170"/>
      <c r="H125" s="1171"/>
      <c r="I125" s="1171"/>
      <c r="J125" s="1171"/>
      <c r="K125" s="1171"/>
      <c r="L125" s="1171"/>
      <c r="M125" s="1172"/>
      <c r="N125" s="1173"/>
      <c r="O125" s="1173"/>
      <c r="P125" s="1174"/>
      <c r="Q125" s="1174"/>
      <c r="R125" s="1174"/>
      <c r="S125" s="1174"/>
      <c r="T125" s="1174"/>
      <c r="U125" s="1174"/>
      <c r="V125" s="1174"/>
      <c r="W125" s="1174"/>
      <c r="X125" s="1174"/>
      <c r="Y125" s="1174"/>
      <c r="Z125" s="1174"/>
      <c r="AA125" s="1174"/>
      <c r="AB125" s="1174"/>
      <c r="AC125" s="1174"/>
      <c r="AD125" s="1174"/>
      <c r="AE125" s="1173"/>
      <c r="AF125" s="1173"/>
      <c r="AG125" s="1173"/>
      <c r="AH125" s="1173"/>
      <c r="AI125" s="1173"/>
      <c r="AJ125" s="1173"/>
      <c r="AK125" s="1173"/>
      <c r="AL125" s="1173"/>
      <c r="AM125" s="1173"/>
      <c r="AN125" s="1173"/>
      <c r="AO125" s="1173"/>
      <c r="AP125" s="1173"/>
      <c r="AQ125" s="1173"/>
      <c r="AR125" s="1173"/>
      <c r="AS125" s="1173"/>
      <c r="AT125" s="1173"/>
      <c r="AU125" s="1173"/>
      <c r="AV125" s="1173"/>
      <c r="AW125" s="1173"/>
      <c r="AX125" s="1173"/>
      <c r="AY125" s="1173"/>
      <c r="AZ125" s="1173"/>
      <c r="BA125" s="1173"/>
      <c r="BB125" s="1173"/>
      <c r="BC125" s="1173"/>
      <c r="BD125" s="1173"/>
      <c r="BE125" s="1173"/>
      <c r="BF125" s="1173"/>
      <c r="BG125" s="1173"/>
      <c r="BH125" s="1173"/>
      <c r="BI125" s="1173"/>
      <c r="BJ125" s="1173"/>
      <c r="BK125" s="1173"/>
      <c r="BL125" s="1118"/>
    </row>
    <row r="126" spans="1:64" s="401" customFormat="1" x14ac:dyDescent="0.3">
      <c r="A126" s="1154">
        <v>365</v>
      </c>
      <c r="B126" s="1222"/>
      <c r="C126" s="1153">
        <v>365</v>
      </c>
      <c r="D126" s="1154" t="s">
        <v>1504</v>
      </c>
      <c r="E126" s="1154"/>
      <c r="F126" s="1154"/>
      <c r="G126" s="1170"/>
      <c r="H126" s="1171"/>
      <c r="I126" s="1171"/>
      <c r="J126" s="1171"/>
      <c r="K126" s="1171"/>
      <c r="L126" s="1171"/>
      <c r="M126" s="1172"/>
      <c r="N126" s="1173"/>
      <c r="O126" s="1173"/>
      <c r="P126" s="1174"/>
      <c r="Q126" s="1174"/>
      <c r="R126" s="1174"/>
      <c r="S126" s="1174"/>
      <c r="T126" s="1174"/>
      <c r="U126" s="1174"/>
      <c r="V126" s="1174"/>
      <c r="W126" s="1174"/>
      <c r="X126" s="1174"/>
      <c r="Y126" s="1174"/>
      <c r="Z126" s="1174"/>
      <c r="AA126" s="1174"/>
      <c r="AB126" s="1174"/>
      <c r="AC126" s="1174"/>
      <c r="AD126" s="1174"/>
      <c r="AE126" s="1173"/>
      <c r="AF126" s="1173"/>
      <c r="AG126" s="1173"/>
      <c r="AH126" s="1173"/>
      <c r="AI126" s="1173"/>
      <c r="AJ126" s="1173"/>
      <c r="AK126" s="1173"/>
      <c r="AL126" s="1173"/>
      <c r="AM126" s="1173"/>
      <c r="AN126" s="1173"/>
      <c r="AO126" s="1173"/>
      <c r="AP126" s="1173"/>
      <c r="AQ126" s="1173"/>
      <c r="AR126" s="1173"/>
      <c r="AS126" s="1173"/>
      <c r="AT126" s="1173"/>
      <c r="AU126" s="1173"/>
      <c r="AV126" s="1173"/>
      <c r="AW126" s="1173"/>
      <c r="AX126" s="1173"/>
      <c r="AY126" s="1173"/>
      <c r="AZ126" s="1173"/>
      <c r="BA126" s="1173"/>
      <c r="BB126" s="1173"/>
      <c r="BC126" s="1173"/>
      <c r="BD126" s="1173"/>
      <c r="BE126" s="1173"/>
      <c r="BF126" s="1173"/>
      <c r="BG126" s="1173"/>
      <c r="BH126" s="1173"/>
      <c r="BI126" s="1173"/>
      <c r="BJ126" s="1173"/>
      <c r="BK126" s="1173"/>
      <c r="BL126" s="1118"/>
    </row>
    <row r="127" spans="1:64" s="401" customFormat="1" x14ac:dyDescent="0.3">
      <c r="A127" s="1154">
        <v>366</v>
      </c>
      <c r="B127" s="1222"/>
      <c r="C127" s="1153">
        <v>366</v>
      </c>
      <c r="D127" s="1154" t="s">
        <v>1505</v>
      </c>
      <c r="E127" s="1154"/>
      <c r="F127" s="1154"/>
      <c r="G127" s="1170"/>
      <c r="H127" s="1171"/>
      <c r="I127" s="1171"/>
      <c r="J127" s="1171"/>
      <c r="K127" s="1171"/>
      <c r="L127" s="1171"/>
      <c r="M127" s="1172"/>
      <c r="N127" s="1173"/>
      <c r="O127" s="1173"/>
      <c r="P127" s="1174"/>
      <c r="Q127" s="1174"/>
      <c r="R127" s="1174"/>
      <c r="S127" s="1174"/>
      <c r="T127" s="1174"/>
      <c r="U127" s="1174"/>
      <c r="V127" s="1174"/>
      <c r="W127" s="1174"/>
      <c r="X127" s="1174"/>
      <c r="Y127" s="1174"/>
      <c r="Z127" s="1174"/>
      <c r="AA127" s="1174"/>
      <c r="AB127" s="1174"/>
      <c r="AC127" s="1174"/>
      <c r="AD127" s="1174"/>
      <c r="AE127" s="1173"/>
      <c r="AF127" s="1173"/>
      <c r="AG127" s="1173"/>
      <c r="AH127" s="1173"/>
      <c r="AI127" s="1173"/>
      <c r="AJ127" s="1173"/>
      <c r="AK127" s="1173"/>
      <c r="AL127" s="1173"/>
      <c r="AM127" s="1173"/>
      <c r="AN127" s="1173"/>
      <c r="AO127" s="1173"/>
      <c r="AP127" s="1173"/>
      <c r="AQ127" s="1173"/>
      <c r="AR127" s="1173"/>
      <c r="AS127" s="1173"/>
      <c r="AT127" s="1173"/>
      <c r="AU127" s="1173"/>
      <c r="AV127" s="1173"/>
      <c r="AW127" s="1173"/>
      <c r="AX127" s="1173"/>
      <c r="AY127" s="1173"/>
      <c r="AZ127" s="1173"/>
      <c r="BA127" s="1173"/>
      <c r="BB127" s="1173"/>
      <c r="BC127" s="1173"/>
      <c r="BD127" s="1173"/>
      <c r="BE127" s="1173"/>
      <c r="BF127" s="1173"/>
      <c r="BG127" s="1173"/>
      <c r="BH127" s="1173"/>
      <c r="BI127" s="1173"/>
      <c r="BJ127" s="1173"/>
      <c r="BK127" s="1173"/>
      <c r="BL127" s="1118"/>
    </row>
    <row r="128" spans="1:64" s="401" customFormat="1" x14ac:dyDescent="0.3">
      <c r="A128" s="1154">
        <v>367</v>
      </c>
      <c r="B128" s="1222"/>
      <c r="C128" s="1153">
        <v>367</v>
      </c>
      <c r="D128" s="1154" t="s">
        <v>1506</v>
      </c>
      <c r="E128" s="1154"/>
      <c r="F128" s="1154"/>
      <c r="G128" s="1170"/>
      <c r="H128" s="1171"/>
      <c r="I128" s="1171"/>
      <c r="J128" s="1171"/>
      <c r="K128" s="1171"/>
      <c r="L128" s="1171"/>
      <c r="M128" s="1172"/>
      <c r="N128" s="1173"/>
      <c r="O128" s="1173"/>
      <c r="P128" s="1174"/>
      <c r="Q128" s="1174"/>
      <c r="R128" s="1174"/>
      <c r="S128" s="1174"/>
      <c r="T128" s="1174"/>
      <c r="U128" s="1174"/>
      <c r="V128" s="1174"/>
      <c r="W128" s="1174"/>
      <c r="X128" s="1174"/>
      <c r="Y128" s="1174"/>
      <c r="Z128" s="1174"/>
      <c r="AA128" s="1174"/>
      <c r="AB128" s="1174"/>
      <c r="AC128" s="1174"/>
      <c r="AD128" s="1174"/>
      <c r="AE128" s="1173"/>
      <c r="AF128" s="1173"/>
      <c r="AG128" s="1173"/>
      <c r="AH128" s="1173"/>
      <c r="AI128" s="1173"/>
      <c r="AJ128" s="1173"/>
      <c r="AK128" s="1173"/>
      <c r="AL128" s="1173"/>
      <c r="AM128" s="1173"/>
      <c r="AN128" s="1173"/>
      <c r="AO128" s="1173"/>
      <c r="AP128" s="1173"/>
      <c r="AQ128" s="1173"/>
      <c r="AR128" s="1173"/>
      <c r="AS128" s="1173"/>
      <c r="AT128" s="1173"/>
      <c r="AU128" s="1173"/>
      <c r="AV128" s="1173"/>
      <c r="AW128" s="1173"/>
      <c r="AX128" s="1173"/>
      <c r="AY128" s="1173"/>
      <c r="AZ128" s="1173"/>
      <c r="BA128" s="1173"/>
      <c r="BB128" s="1173"/>
      <c r="BC128" s="1173"/>
      <c r="BD128" s="1173"/>
      <c r="BE128" s="1173"/>
      <c r="BF128" s="1173"/>
      <c r="BG128" s="1173"/>
      <c r="BH128" s="1173"/>
      <c r="BI128" s="1173"/>
      <c r="BJ128" s="1173"/>
      <c r="BK128" s="1173"/>
      <c r="BL128" s="1118"/>
    </row>
    <row r="129" spans="1:65" s="401" customFormat="1" x14ac:dyDescent="0.3">
      <c r="A129" s="1154">
        <v>368</v>
      </c>
      <c r="B129" s="1222"/>
      <c r="C129" s="1153">
        <v>368</v>
      </c>
      <c r="D129" s="1154" t="s">
        <v>1507</v>
      </c>
      <c r="E129" s="1154"/>
      <c r="F129" s="1154"/>
      <c r="G129" s="1170"/>
      <c r="H129" s="1171"/>
      <c r="I129" s="1171"/>
      <c r="J129" s="1171"/>
      <c r="K129" s="1171"/>
      <c r="L129" s="1171"/>
      <c r="M129" s="1172"/>
      <c r="N129" s="1173"/>
      <c r="O129" s="1173"/>
      <c r="P129" s="1174"/>
      <c r="Q129" s="1174"/>
      <c r="R129" s="1174"/>
      <c r="S129" s="1174"/>
      <c r="T129" s="1174"/>
      <c r="U129" s="1174"/>
      <c r="V129" s="1174"/>
      <c r="W129" s="1174"/>
      <c r="X129" s="1174"/>
      <c r="Y129" s="1174"/>
      <c r="Z129" s="1174"/>
      <c r="AA129" s="1174"/>
      <c r="AB129" s="1174"/>
      <c r="AC129" s="1174"/>
      <c r="AD129" s="1174"/>
      <c r="AE129" s="1173"/>
      <c r="AF129" s="1173"/>
      <c r="AG129" s="1173"/>
      <c r="AH129" s="1173"/>
      <c r="AI129" s="1173"/>
      <c r="AJ129" s="1173"/>
      <c r="AK129" s="1173"/>
      <c r="AL129" s="1173"/>
      <c r="AM129" s="1173"/>
      <c r="AN129" s="1173"/>
      <c r="AO129" s="1173"/>
      <c r="AP129" s="1173"/>
      <c r="AQ129" s="1173"/>
      <c r="AR129" s="1173"/>
      <c r="AS129" s="1173"/>
      <c r="AT129" s="1173"/>
      <c r="AU129" s="1173"/>
      <c r="AV129" s="1173"/>
      <c r="AW129" s="1173"/>
      <c r="AX129" s="1173"/>
      <c r="AY129" s="1173"/>
      <c r="AZ129" s="1173"/>
      <c r="BA129" s="1173"/>
      <c r="BB129" s="1173"/>
      <c r="BC129" s="1173"/>
      <c r="BD129" s="1173"/>
      <c r="BE129" s="1173"/>
      <c r="BF129" s="1173"/>
      <c r="BG129" s="1173"/>
      <c r="BH129" s="1173"/>
      <c r="BI129" s="1173"/>
      <c r="BJ129" s="1173"/>
      <c r="BK129" s="1173"/>
      <c r="BL129" s="1118"/>
      <c r="BM129" s="1108"/>
    </row>
    <row r="130" spans="1:65" s="401" customFormat="1" x14ac:dyDescent="0.3">
      <c r="A130" s="1154">
        <v>369</v>
      </c>
      <c r="B130" s="1222"/>
      <c r="C130" s="1153">
        <v>369</v>
      </c>
      <c r="D130" s="1154" t="s">
        <v>1508</v>
      </c>
      <c r="E130" s="1154"/>
      <c r="F130" s="1154"/>
      <c r="G130" s="1170"/>
      <c r="H130" s="1171"/>
      <c r="I130" s="1171"/>
      <c r="J130" s="1171"/>
      <c r="K130" s="1171"/>
      <c r="L130" s="1171"/>
      <c r="M130" s="1172"/>
      <c r="N130" s="1173"/>
      <c r="O130" s="1173"/>
      <c r="P130" s="1174"/>
      <c r="Q130" s="1174"/>
      <c r="R130" s="1174"/>
      <c r="S130" s="1174"/>
      <c r="T130" s="1174"/>
      <c r="U130" s="1174"/>
      <c r="V130" s="1174"/>
      <c r="W130" s="1174"/>
      <c r="X130" s="1174"/>
      <c r="Y130" s="1174"/>
      <c r="Z130" s="1174"/>
      <c r="AA130" s="1174"/>
      <c r="AB130" s="1174"/>
      <c r="AC130" s="1174"/>
      <c r="AD130" s="1174"/>
      <c r="AE130" s="1173"/>
      <c r="AF130" s="1173"/>
      <c r="AG130" s="1173"/>
      <c r="AH130" s="1173"/>
      <c r="AI130" s="1173"/>
      <c r="AJ130" s="1173"/>
      <c r="AK130" s="1173"/>
      <c r="AL130" s="1173"/>
      <c r="AM130" s="1173"/>
      <c r="AN130" s="1173"/>
      <c r="AO130" s="1173"/>
      <c r="AP130" s="1173"/>
      <c r="AQ130" s="1173"/>
      <c r="AR130" s="1173"/>
      <c r="AS130" s="1173"/>
      <c r="AT130" s="1173"/>
      <c r="AU130" s="1173"/>
      <c r="AV130" s="1173"/>
      <c r="AW130" s="1173"/>
      <c r="AX130" s="1173"/>
      <c r="AY130" s="1173"/>
      <c r="AZ130" s="1173"/>
      <c r="BA130" s="1173"/>
      <c r="BB130" s="1173"/>
      <c r="BC130" s="1173"/>
      <c r="BD130" s="1173"/>
      <c r="BE130" s="1173"/>
      <c r="BF130" s="1173"/>
      <c r="BG130" s="1173"/>
      <c r="BH130" s="1173"/>
      <c r="BI130" s="1173"/>
      <c r="BJ130" s="1173"/>
      <c r="BK130" s="1173"/>
      <c r="BL130" s="1118"/>
      <c r="BM130" s="1108"/>
    </row>
    <row r="131" spans="1:65" s="401" customFormat="1" x14ac:dyDescent="0.3">
      <c r="A131" s="1154">
        <v>370</v>
      </c>
      <c r="B131" s="1222"/>
      <c r="C131" s="1153">
        <v>370</v>
      </c>
      <c r="D131" s="1154" t="s">
        <v>1509</v>
      </c>
      <c r="E131" s="1154"/>
      <c r="F131" s="1154"/>
      <c r="G131" s="1170"/>
      <c r="H131" s="1171"/>
      <c r="I131" s="1171"/>
      <c r="J131" s="1171"/>
      <c r="K131" s="1171"/>
      <c r="L131" s="1171"/>
      <c r="M131" s="1172"/>
      <c r="N131" s="1173"/>
      <c r="O131" s="1173"/>
      <c r="P131" s="1174"/>
      <c r="Q131" s="1174"/>
      <c r="R131" s="1174"/>
      <c r="S131" s="1174"/>
      <c r="T131" s="1174"/>
      <c r="U131" s="1174"/>
      <c r="V131" s="1174"/>
      <c r="W131" s="1174"/>
      <c r="X131" s="1174"/>
      <c r="Y131" s="1174"/>
      <c r="Z131" s="1174"/>
      <c r="AA131" s="1174"/>
      <c r="AB131" s="1174"/>
      <c r="AC131" s="1174"/>
      <c r="AD131" s="1174"/>
      <c r="AE131" s="1173"/>
      <c r="AF131" s="1173"/>
      <c r="AG131" s="1173"/>
      <c r="AH131" s="1173"/>
      <c r="AI131" s="1173"/>
      <c r="AJ131" s="1173"/>
      <c r="AK131" s="1173"/>
      <c r="AL131" s="1173"/>
      <c r="AM131" s="1173"/>
      <c r="AN131" s="1173"/>
      <c r="AO131" s="1173"/>
      <c r="AP131" s="1173"/>
      <c r="AQ131" s="1173"/>
      <c r="AR131" s="1173"/>
      <c r="AS131" s="1173"/>
      <c r="AT131" s="1173"/>
      <c r="AU131" s="1173"/>
      <c r="AV131" s="1173"/>
      <c r="AW131" s="1173"/>
      <c r="AX131" s="1173"/>
      <c r="AY131" s="1173"/>
      <c r="AZ131" s="1173"/>
      <c r="BA131" s="1173"/>
      <c r="BB131" s="1173"/>
      <c r="BC131" s="1173"/>
      <c r="BD131" s="1173"/>
      <c r="BE131" s="1173"/>
      <c r="BF131" s="1173"/>
      <c r="BG131" s="1173"/>
      <c r="BH131" s="1173"/>
      <c r="BI131" s="1173"/>
      <c r="BJ131" s="1173"/>
      <c r="BK131" s="1173"/>
      <c r="BL131" s="1118"/>
      <c r="BM131" s="1108"/>
    </row>
    <row r="132" spans="1:65" s="401" customFormat="1" x14ac:dyDescent="0.3">
      <c r="A132" s="1154">
        <v>371</v>
      </c>
      <c r="B132" s="1222"/>
      <c r="C132" s="1153">
        <v>371</v>
      </c>
      <c r="D132" s="1154" t="s">
        <v>1510</v>
      </c>
      <c r="E132" s="1154"/>
      <c r="F132" s="1154"/>
      <c r="G132" s="1170"/>
      <c r="H132" s="1171"/>
      <c r="I132" s="1171"/>
      <c r="J132" s="1171"/>
      <c r="K132" s="1171"/>
      <c r="L132" s="1171"/>
      <c r="M132" s="1172"/>
      <c r="N132" s="1173"/>
      <c r="O132" s="1173"/>
      <c r="P132" s="1174"/>
      <c r="Q132" s="1174"/>
      <c r="R132" s="1174"/>
      <c r="S132" s="1174"/>
      <c r="T132" s="1174"/>
      <c r="U132" s="1174"/>
      <c r="V132" s="1174"/>
      <c r="W132" s="1174"/>
      <c r="X132" s="1174"/>
      <c r="Y132" s="1174"/>
      <c r="Z132" s="1174"/>
      <c r="AA132" s="1174"/>
      <c r="AB132" s="1174"/>
      <c r="AC132" s="1174"/>
      <c r="AD132" s="1174"/>
      <c r="AE132" s="1173"/>
      <c r="AF132" s="1173"/>
      <c r="AG132" s="1173"/>
      <c r="AH132" s="1173"/>
      <c r="AI132" s="1173"/>
      <c r="AJ132" s="1173"/>
      <c r="AK132" s="1173"/>
      <c r="AL132" s="1173"/>
      <c r="AM132" s="1173"/>
      <c r="AN132" s="1173"/>
      <c r="AO132" s="1173"/>
      <c r="AP132" s="1173"/>
      <c r="AQ132" s="1173"/>
      <c r="AR132" s="1173"/>
      <c r="AS132" s="1173"/>
      <c r="AT132" s="1173"/>
      <c r="AU132" s="1173"/>
      <c r="AV132" s="1173"/>
      <c r="AW132" s="1173"/>
      <c r="AX132" s="1173"/>
      <c r="AY132" s="1173"/>
      <c r="AZ132" s="1173"/>
      <c r="BA132" s="1173"/>
      <c r="BB132" s="1173"/>
      <c r="BC132" s="1173"/>
      <c r="BD132" s="1173"/>
      <c r="BE132" s="1173"/>
      <c r="BF132" s="1173"/>
      <c r="BG132" s="1173"/>
      <c r="BH132" s="1173"/>
      <c r="BI132" s="1173"/>
      <c r="BJ132" s="1173"/>
      <c r="BK132" s="1173"/>
      <c r="BL132" s="1118"/>
      <c r="BM132" s="1108"/>
    </row>
    <row r="133" spans="1:65" s="401" customFormat="1" x14ac:dyDescent="0.3">
      <c r="A133" s="1154">
        <v>373</v>
      </c>
      <c r="B133" s="1222"/>
      <c r="C133" s="1153">
        <v>373</v>
      </c>
      <c r="D133" s="1154" t="s">
        <v>1511</v>
      </c>
      <c r="E133" s="1154"/>
      <c r="F133" s="1154"/>
      <c r="G133" s="1170"/>
      <c r="H133" s="1171"/>
      <c r="I133" s="1171"/>
      <c r="J133" s="1171"/>
      <c r="K133" s="1171"/>
      <c r="L133" s="1171"/>
      <c r="M133" s="1172"/>
      <c r="N133" s="1173"/>
      <c r="O133" s="1173"/>
      <c r="P133" s="1174"/>
      <c r="Q133" s="1174"/>
      <c r="R133" s="1174"/>
      <c r="S133" s="1174"/>
      <c r="T133" s="1174"/>
      <c r="U133" s="1174"/>
      <c r="V133" s="1174"/>
      <c r="W133" s="1174"/>
      <c r="X133" s="1174"/>
      <c r="Y133" s="1174"/>
      <c r="Z133" s="1174"/>
      <c r="AA133" s="1174"/>
      <c r="AB133" s="1174"/>
      <c r="AC133" s="1174"/>
      <c r="AD133" s="1174"/>
      <c r="AE133" s="1173"/>
      <c r="AF133" s="1173"/>
      <c r="AG133" s="1173"/>
      <c r="AH133" s="1173"/>
      <c r="AI133" s="1173"/>
      <c r="AJ133" s="1173"/>
      <c r="AK133" s="1173"/>
      <c r="AL133" s="1173"/>
      <c r="AM133" s="1173"/>
      <c r="AN133" s="1173"/>
      <c r="AO133" s="1173"/>
      <c r="AP133" s="1173"/>
      <c r="AQ133" s="1173"/>
      <c r="AR133" s="1173"/>
      <c r="AS133" s="1173"/>
      <c r="AT133" s="1173"/>
      <c r="AU133" s="1173"/>
      <c r="AV133" s="1173"/>
      <c r="AW133" s="1173"/>
      <c r="AX133" s="1173"/>
      <c r="AY133" s="1173"/>
      <c r="AZ133" s="1173"/>
      <c r="BA133" s="1173"/>
      <c r="BB133" s="1173"/>
      <c r="BC133" s="1173"/>
      <c r="BD133" s="1173"/>
      <c r="BE133" s="1173"/>
      <c r="BF133" s="1173"/>
      <c r="BG133" s="1173"/>
      <c r="BH133" s="1173"/>
      <c r="BI133" s="1173"/>
      <c r="BJ133" s="1173"/>
      <c r="BK133" s="1173"/>
      <c r="BL133" s="1118"/>
      <c r="BM133" s="1108"/>
    </row>
    <row r="134" spans="1:65" s="401" customFormat="1" x14ac:dyDescent="0.3">
      <c r="A134" s="1154">
        <v>375</v>
      </c>
      <c r="B134" s="1222"/>
      <c r="C134" s="1153">
        <v>375</v>
      </c>
      <c r="D134" s="1154" t="s">
        <v>1512</v>
      </c>
      <c r="E134" s="1154"/>
      <c r="F134" s="1154"/>
      <c r="G134" s="1170"/>
      <c r="H134" s="1171"/>
      <c r="I134" s="1171"/>
      <c r="J134" s="1171"/>
      <c r="K134" s="1171"/>
      <c r="L134" s="1171"/>
      <c r="M134" s="1172"/>
      <c r="N134" s="1173"/>
      <c r="O134" s="1173"/>
      <c r="P134" s="1174"/>
      <c r="Q134" s="1174"/>
      <c r="R134" s="1174"/>
      <c r="S134" s="1174"/>
      <c r="T134" s="1174"/>
      <c r="U134" s="1174"/>
      <c r="V134" s="1174"/>
      <c r="W134" s="1174"/>
      <c r="X134" s="1174"/>
      <c r="Y134" s="1174"/>
      <c r="Z134" s="1174"/>
      <c r="AA134" s="1174"/>
      <c r="AB134" s="1174"/>
      <c r="AC134" s="1174"/>
      <c r="AD134" s="1174"/>
      <c r="AE134" s="1173"/>
      <c r="AF134" s="1173"/>
      <c r="AG134" s="1173"/>
      <c r="AH134" s="1173"/>
      <c r="AI134" s="1173"/>
      <c r="AJ134" s="1173"/>
      <c r="AK134" s="1173"/>
      <c r="AL134" s="1173"/>
      <c r="AM134" s="1173"/>
      <c r="AN134" s="1173"/>
      <c r="AO134" s="1173"/>
      <c r="AP134" s="1173"/>
      <c r="AQ134" s="1173"/>
      <c r="AR134" s="1173"/>
      <c r="AS134" s="1173"/>
      <c r="AT134" s="1173"/>
      <c r="AU134" s="1173"/>
      <c r="AV134" s="1173"/>
      <c r="AW134" s="1173"/>
      <c r="AX134" s="1173"/>
      <c r="AY134" s="1173"/>
      <c r="AZ134" s="1173"/>
      <c r="BA134" s="1173"/>
      <c r="BB134" s="1173"/>
      <c r="BC134" s="1173"/>
      <c r="BD134" s="1173"/>
      <c r="BE134" s="1173"/>
      <c r="BF134" s="1173"/>
      <c r="BG134" s="1173"/>
      <c r="BH134" s="1173"/>
      <c r="BI134" s="1173"/>
      <c r="BJ134" s="1173"/>
      <c r="BK134" s="1173"/>
      <c r="BL134" s="1118"/>
      <c r="BM134" s="1108"/>
    </row>
    <row r="135" spans="1:65" s="401" customFormat="1" ht="28.8" x14ac:dyDescent="0.3">
      <c r="A135" s="1154">
        <v>376</v>
      </c>
      <c r="B135" s="1222">
        <v>376</v>
      </c>
      <c r="C135" s="1153">
        <v>376</v>
      </c>
      <c r="D135" s="1203" t="s">
        <v>108</v>
      </c>
      <c r="E135" s="1203"/>
      <c r="F135" s="1170">
        <v>0</v>
      </c>
      <c r="G135" s="1171">
        <v>0</v>
      </c>
      <c r="H135" s="1171">
        <v>0</v>
      </c>
      <c r="I135" s="1171">
        <v>0</v>
      </c>
      <c r="J135" s="1171">
        <v>-3372338</v>
      </c>
      <c r="K135" s="1171">
        <v>0</v>
      </c>
      <c r="L135" s="1172">
        <v>0</v>
      </c>
      <c r="M135" s="1173">
        <v>0</v>
      </c>
      <c r="N135" s="1173">
        <v>0</v>
      </c>
      <c r="O135" s="1174">
        <v>0</v>
      </c>
      <c r="P135" s="1174">
        <v>0</v>
      </c>
      <c r="Q135" s="1174">
        <v>0</v>
      </c>
      <c r="R135" s="1174">
        <v>0</v>
      </c>
      <c r="S135" s="1174">
        <v>0</v>
      </c>
      <c r="T135" s="1174">
        <v>0</v>
      </c>
      <c r="U135" s="1174">
        <v>0</v>
      </c>
      <c r="V135" s="1174">
        <v>0</v>
      </c>
      <c r="W135" s="1174">
        <v>0</v>
      </c>
      <c r="X135" s="1174">
        <v>0</v>
      </c>
      <c r="Y135" s="1174">
        <v>0</v>
      </c>
      <c r="Z135" s="1174">
        <v>0</v>
      </c>
      <c r="AA135" s="1174">
        <v>0</v>
      </c>
      <c r="AB135" s="1174">
        <v>0</v>
      </c>
      <c r="AC135" s="1174">
        <v>-180</v>
      </c>
      <c r="AD135" s="1173">
        <v>0</v>
      </c>
      <c r="AE135" s="1173">
        <v>0</v>
      </c>
      <c r="AF135" s="1173">
        <v>0</v>
      </c>
      <c r="AG135" s="1173">
        <v>0</v>
      </c>
      <c r="AH135" s="1173">
        <v>0</v>
      </c>
      <c r="AI135" s="1173">
        <v>0</v>
      </c>
      <c r="AJ135" s="1173">
        <v>0</v>
      </c>
      <c r="AK135" s="1173">
        <v>0</v>
      </c>
      <c r="AL135" s="1173">
        <v>608462</v>
      </c>
      <c r="AM135" s="1173">
        <v>0</v>
      </c>
      <c r="AN135" s="1173">
        <v>0</v>
      </c>
      <c r="AO135" s="1173">
        <v>0</v>
      </c>
      <c r="AP135" s="1173">
        <v>0</v>
      </c>
      <c r="AQ135" s="1173">
        <v>0</v>
      </c>
      <c r="AR135" s="1173">
        <v>0</v>
      </c>
      <c r="AS135" s="1173">
        <v>0</v>
      </c>
      <c r="AT135" s="1173">
        <v>0</v>
      </c>
      <c r="AU135" s="1173">
        <v>0</v>
      </c>
      <c r="AV135" s="1173">
        <v>0</v>
      </c>
      <c r="AW135" s="1173">
        <v>0</v>
      </c>
      <c r="AX135" s="1173">
        <v>0</v>
      </c>
      <c r="AY135" s="1173">
        <v>0</v>
      </c>
      <c r="AZ135" s="1173">
        <v>0</v>
      </c>
      <c r="BA135" s="1173">
        <v>2</v>
      </c>
      <c r="BB135" s="1173">
        <v>0</v>
      </c>
      <c r="BC135" s="1173">
        <v>-5475169</v>
      </c>
      <c r="BD135" s="1173">
        <v>0</v>
      </c>
      <c r="BE135" s="1173">
        <v>0</v>
      </c>
      <c r="BF135" s="1173">
        <v>0</v>
      </c>
      <c r="BG135" s="1173">
        <v>0</v>
      </c>
      <c r="BH135" s="1173">
        <v>0</v>
      </c>
      <c r="BI135" s="1173">
        <v>0</v>
      </c>
      <c r="BJ135" s="1173">
        <v>0</v>
      </c>
      <c r="BK135" s="1152"/>
      <c r="BL135" s="1118"/>
      <c r="BM135" s="1108"/>
    </row>
    <row r="136" spans="1:65" s="401" customFormat="1" x14ac:dyDescent="0.3">
      <c r="A136" s="1154">
        <v>377</v>
      </c>
      <c r="B136" s="1222"/>
      <c r="C136" s="1153">
        <v>377</v>
      </c>
      <c r="D136" s="1203" t="e">
        <v>#VALUE!</v>
      </c>
      <c r="E136" s="1203"/>
      <c r="F136" s="1170"/>
      <c r="G136" s="1171"/>
      <c r="H136" s="1171"/>
      <c r="I136" s="1171"/>
      <c r="J136" s="1171"/>
      <c r="K136" s="1171"/>
      <c r="L136" s="1172"/>
      <c r="M136" s="1173"/>
      <c r="N136" s="1173"/>
      <c r="O136" s="1174"/>
      <c r="P136" s="1174"/>
      <c r="Q136" s="1174"/>
      <c r="R136" s="1174"/>
      <c r="S136" s="1174"/>
      <c r="T136" s="1174"/>
      <c r="U136" s="1174"/>
      <c r="V136" s="1174"/>
      <c r="W136" s="1174"/>
      <c r="X136" s="1174"/>
      <c r="Y136" s="1174"/>
      <c r="Z136" s="1174"/>
      <c r="AA136" s="1174"/>
      <c r="AB136" s="1174"/>
      <c r="AC136" s="1174"/>
      <c r="AD136" s="1173"/>
      <c r="AE136" s="1173"/>
      <c r="AF136" s="1173"/>
      <c r="AG136" s="1173"/>
      <c r="AH136" s="1173"/>
      <c r="AI136" s="1173"/>
      <c r="AJ136" s="1173"/>
      <c r="AK136" s="1173"/>
      <c r="AL136" s="1173"/>
      <c r="AM136" s="1173"/>
      <c r="AN136" s="1173"/>
      <c r="AO136" s="1173"/>
      <c r="AP136" s="1173"/>
      <c r="AQ136" s="1173"/>
      <c r="AR136" s="1173"/>
      <c r="AS136" s="1173"/>
      <c r="AT136" s="1173"/>
      <c r="AU136" s="1173"/>
      <c r="AV136" s="1173"/>
      <c r="AW136" s="1173"/>
      <c r="AX136" s="1173"/>
      <c r="AY136" s="1173"/>
      <c r="AZ136" s="1173"/>
      <c r="BA136" s="1173"/>
      <c r="BB136" s="1173"/>
      <c r="BC136" s="1173"/>
      <c r="BD136" s="1173"/>
      <c r="BE136" s="1173"/>
      <c r="BF136" s="1173"/>
      <c r="BG136" s="1173"/>
      <c r="BH136" s="1173"/>
      <c r="BI136" s="1173"/>
      <c r="BJ136" s="1173"/>
      <c r="BK136" s="1152"/>
      <c r="BL136" s="1118"/>
      <c r="BM136" s="1118"/>
    </row>
    <row r="137" spans="1:65" s="401" customFormat="1" ht="28.8" x14ac:dyDescent="0.3">
      <c r="A137" s="1154">
        <v>378</v>
      </c>
      <c r="B137" s="1222"/>
      <c r="C137" s="1153">
        <v>378</v>
      </c>
      <c r="D137" s="1158" t="s">
        <v>1513</v>
      </c>
      <c r="E137" s="1158"/>
      <c r="F137" s="1170"/>
      <c r="G137" s="1171"/>
      <c r="H137" s="1171"/>
      <c r="I137" s="1171"/>
      <c r="J137" s="1171"/>
      <c r="K137" s="1171"/>
      <c r="L137" s="1172"/>
      <c r="M137" s="1173"/>
      <c r="N137" s="1173"/>
      <c r="O137" s="1174"/>
      <c r="P137" s="1174"/>
      <c r="Q137" s="1174"/>
      <c r="R137" s="1174"/>
      <c r="S137" s="1174"/>
      <c r="T137" s="1174"/>
      <c r="U137" s="1174"/>
      <c r="V137" s="1174"/>
      <c r="W137" s="1174"/>
      <c r="X137" s="1174"/>
      <c r="Y137" s="1174"/>
      <c r="Z137" s="1174"/>
      <c r="AA137" s="1174"/>
      <c r="AB137" s="1174"/>
      <c r="AC137" s="1174"/>
      <c r="AD137" s="1173"/>
      <c r="AE137" s="1173"/>
      <c r="AF137" s="1173"/>
      <c r="AG137" s="1173"/>
      <c r="AH137" s="1173"/>
      <c r="AI137" s="1173"/>
      <c r="AJ137" s="1173"/>
      <c r="AK137" s="1173"/>
      <c r="AL137" s="1173"/>
      <c r="AM137" s="1173"/>
      <c r="AN137" s="1173"/>
      <c r="AO137" s="1173"/>
      <c r="AP137" s="1173"/>
      <c r="AQ137" s="1173"/>
      <c r="AR137" s="1173"/>
      <c r="AS137" s="1173"/>
      <c r="AT137" s="1173"/>
      <c r="AU137" s="1173"/>
      <c r="AV137" s="1173"/>
      <c r="AW137" s="1173"/>
      <c r="AX137" s="1173"/>
      <c r="AY137" s="1173"/>
      <c r="AZ137" s="1173"/>
      <c r="BA137" s="1173"/>
      <c r="BB137" s="1173"/>
      <c r="BC137" s="1173"/>
      <c r="BD137" s="1173"/>
      <c r="BE137" s="1173"/>
      <c r="BF137" s="1173"/>
      <c r="BG137" s="1173"/>
      <c r="BH137" s="1173"/>
      <c r="BI137" s="1173"/>
      <c r="BJ137" s="1173"/>
      <c r="BK137" s="1152"/>
      <c r="BL137" s="1118"/>
      <c r="BM137" s="1118"/>
    </row>
    <row r="138" spans="1:65" s="401" customFormat="1" ht="28.8" x14ac:dyDescent="0.3">
      <c r="A138" s="1154">
        <v>379</v>
      </c>
      <c r="B138" s="1222">
        <v>379</v>
      </c>
      <c r="C138" s="1153">
        <v>379</v>
      </c>
      <c r="D138" s="1203" t="s">
        <v>118</v>
      </c>
      <c r="E138" s="1203"/>
      <c r="F138" s="1170">
        <v>525946</v>
      </c>
      <c r="G138" s="1171">
        <v>4945897</v>
      </c>
      <c r="H138" s="1171">
        <v>3430939</v>
      </c>
      <c r="I138" s="1171">
        <v>1667873</v>
      </c>
      <c r="J138" s="1171">
        <v>3314450</v>
      </c>
      <c r="K138" s="1171">
        <v>1568578</v>
      </c>
      <c r="L138" s="1172">
        <v>893507</v>
      </c>
      <c r="M138" s="1173">
        <v>3250664</v>
      </c>
      <c r="N138" s="1173">
        <v>6380867</v>
      </c>
      <c r="O138" s="1174">
        <v>1081407</v>
      </c>
      <c r="P138" s="1174">
        <v>3236774</v>
      </c>
      <c r="Q138" s="1174">
        <v>4500188</v>
      </c>
      <c r="R138" s="1174">
        <v>2713069</v>
      </c>
      <c r="S138" s="1174">
        <v>1508092</v>
      </c>
      <c r="T138" s="1174">
        <v>0</v>
      </c>
      <c r="U138" s="1174">
        <v>7323374</v>
      </c>
      <c r="V138" s="1174">
        <v>35832481</v>
      </c>
      <c r="W138" s="1174">
        <v>2802108</v>
      </c>
      <c r="X138" s="1174">
        <v>1067404</v>
      </c>
      <c r="Y138" s="1174">
        <v>19290238</v>
      </c>
      <c r="Z138" s="1174">
        <v>8099065</v>
      </c>
      <c r="AA138" s="1174">
        <v>480079</v>
      </c>
      <c r="AB138" s="1174">
        <v>4568313</v>
      </c>
      <c r="AC138" s="1174">
        <v>442296</v>
      </c>
      <c r="AD138" s="1173">
        <v>1852713</v>
      </c>
      <c r="AE138" s="1173">
        <v>10757195</v>
      </c>
      <c r="AF138" s="1173">
        <v>787956</v>
      </c>
      <c r="AG138" s="1173">
        <v>8848647</v>
      </c>
      <c r="AH138" s="1173">
        <v>3661729</v>
      </c>
      <c r="AI138" s="1173">
        <v>1672985</v>
      </c>
      <c r="AJ138" s="1173">
        <v>9027837</v>
      </c>
      <c r="AK138" s="1173">
        <v>17154894</v>
      </c>
      <c r="AL138" s="1173">
        <v>8114448</v>
      </c>
      <c r="AM138" s="1173">
        <v>4904782</v>
      </c>
      <c r="AN138" s="1173">
        <v>5363960</v>
      </c>
      <c r="AO138" s="1173">
        <v>3621860</v>
      </c>
      <c r="AP138" s="1173">
        <v>911291</v>
      </c>
      <c r="AQ138" s="1173">
        <v>1295589</v>
      </c>
      <c r="AR138" s="1173">
        <v>3510158</v>
      </c>
      <c r="AS138" s="1173">
        <v>58403</v>
      </c>
      <c r="AT138" s="1173">
        <v>186438</v>
      </c>
      <c r="AU138" s="1173">
        <v>1341503</v>
      </c>
      <c r="AV138" s="1173">
        <v>354988</v>
      </c>
      <c r="AW138" s="1173">
        <v>6433372</v>
      </c>
      <c r="AX138" s="1173">
        <v>1377309</v>
      </c>
      <c r="AY138" s="1173">
        <v>111380968</v>
      </c>
      <c r="AZ138" s="1173">
        <v>1093879</v>
      </c>
      <c r="BA138" s="1173">
        <v>1090161</v>
      </c>
      <c r="BB138" s="1173">
        <v>4621499</v>
      </c>
      <c r="BC138" s="1173">
        <v>1543771</v>
      </c>
      <c r="BD138" s="1173">
        <v>964280</v>
      </c>
      <c r="BE138" s="1173">
        <v>1575149</v>
      </c>
      <c r="BF138" s="1173">
        <v>10626821</v>
      </c>
      <c r="BG138" s="1173">
        <v>8922525</v>
      </c>
      <c r="BH138" s="1173">
        <v>15062515</v>
      </c>
      <c r="BI138" s="1173">
        <v>1795555</v>
      </c>
      <c r="BJ138" s="1173">
        <v>1449705</v>
      </c>
      <c r="BK138" s="1152"/>
      <c r="BL138" s="1118"/>
      <c r="BM138" s="1108"/>
    </row>
    <row r="139" spans="1:65" s="401" customFormat="1" ht="28.8" x14ac:dyDescent="0.3">
      <c r="A139" s="1154">
        <v>380</v>
      </c>
      <c r="B139" s="1222">
        <v>380</v>
      </c>
      <c r="C139" s="1153">
        <v>380</v>
      </c>
      <c r="D139" s="1203" t="s">
        <v>121</v>
      </c>
      <c r="E139" s="1203"/>
      <c r="F139" s="1170">
        <v>0</v>
      </c>
      <c r="G139" s="1171">
        <v>0</v>
      </c>
      <c r="H139" s="1171">
        <v>44446</v>
      </c>
      <c r="I139" s="1171">
        <v>0</v>
      </c>
      <c r="J139" s="1171">
        <v>0</v>
      </c>
      <c r="K139" s="1171">
        <v>0</v>
      </c>
      <c r="L139" s="1172">
        <v>0</v>
      </c>
      <c r="M139" s="1173">
        <v>0</v>
      </c>
      <c r="N139" s="1173">
        <v>0</v>
      </c>
      <c r="O139" s="1174">
        <v>0</v>
      </c>
      <c r="P139" s="1174">
        <v>0</v>
      </c>
      <c r="Q139" s="1174">
        <v>0</v>
      </c>
      <c r="R139" s="1174">
        <v>43075</v>
      </c>
      <c r="S139" s="1174">
        <v>0</v>
      </c>
      <c r="T139" s="1174">
        <v>0</v>
      </c>
      <c r="U139" s="1174">
        <v>0</v>
      </c>
      <c r="V139" s="1174">
        <v>0</v>
      </c>
      <c r="W139" s="1174">
        <v>0</v>
      </c>
      <c r="X139" s="1174">
        <v>0</v>
      </c>
      <c r="Y139" s="1174">
        <v>0</v>
      </c>
      <c r="Z139" s="1174">
        <v>0</v>
      </c>
      <c r="AA139" s="1174">
        <v>0</v>
      </c>
      <c r="AB139" s="1174">
        <v>0</v>
      </c>
      <c r="AC139" s="1174">
        <v>0</v>
      </c>
      <c r="AD139" s="1173">
        <v>0</v>
      </c>
      <c r="AE139" s="1173">
        <v>0</v>
      </c>
      <c r="AF139" s="1173">
        <v>0</v>
      </c>
      <c r="AG139" s="1173">
        <v>38497</v>
      </c>
      <c r="AH139" s="1173">
        <v>0</v>
      </c>
      <c r="AI139" s="1173">
        <v>0</v>
      </c>
      <c r="AJ139" s="1173">
        <v>0</v>
      </c>
      <c r="AK139" s="1173">
        <v>0</v>
      </c>
      <c r="AL139" s="1173">
        <v>0</v>
      </c>
      <c r="AM139" s="1173">
        <v>0</v>
      </c>
      <c r="AN139" s="1173">
        <v>0</v>
      </c>
      <c r="AO139" s="1173">
        <v>0</v>
      </c>
      <c r="AP139" s="1173">
        <v>0</v>
      </c>
      <c r="AQ139" s="1173">
        <v>0</v>
      </c>
      <c r="AR139" s="1173">
        <v>0</v>
      </c>
      <c r="AS139" s="1173">
        <v>0</v>
      </c>
      <c r="AT139" s="1173">
        <v>0</v>
      </c>
      <c r="AU139" s="1173">
        <v>0</v>
      </c>
      <c r="AV139" s="1173">
        <v>0</v>
      </c>
      <c r="AW139" s="1173">
        <v>0</v>
      </c>
      <c r="AX139" s="1173">
        <v>0</v>
      </c>
      <c r="AY139" s="1173">
        <v>0</v>
      </c>
      <c r="AZ139" s="1173">
        <v>0</v>
      </c>
      <c r="BA139" s="1173">
        <v>16488</v>
      </c>
      <c r="BB139" s="1173">
        <v>0</v>
      </c>
      <c r="BC139" s="1173">
        <v>0</v>
      </c>
      <c r="BD139" s="1173">
        <v>0</v>
      </c>
      <c r="BE139" s="1173">
        <v>0</v>
      </c>
      <c r="BF139" s="1173">
        <v>0</v>
      </c>
      <c r="BG139" s="1173">
        <v>0</v>
      </c>
      <c r="BH139" s="1173">
        <v>0</v>
      </c>
      <c r="BI139" s="1173">
        <v>0</v>
      </c>
      <c r="BJ139" s="1173">
        <v>0</v>
      </c>
      <c r="BK139" s="1152"/>
      <c r="BL139" s="1118"/>
      <c r="BM139" s="1108"/>
    </row>
    <row r="140" spans="1:65" s="401" customFormat="1" x14ac:dyDescent="0.3">
      <c r="A140" s="1154">
        <v>381</v>
      </c>
      <c r="B140" s="1222"/>
      <c r="C140" s="1153">
        <v>381</v>
      </c>
      <c r="D140" s="1203" t="e">
        <v>#VALUE!</v>
      </c>
      <c r="E140" s="1203"/>
      <c r="F140" s="1170"/>
      <c r="G140" s="1171"/>
      <c r="H140" s="1171"/>
      <c r="I140" s="1171"/>
      <c r="J140" s="1171"/>
      <c r="K140" s="1171"/>
      <c r="L140" s="1172"/>
      <c r="M140" s="1173"/>
      <c r="N140" s="1173"/>
      <c r="O140" s="1174"/>
      <c r="P140" s="1174"/>
      <c r="Q140" s="1174"/>
      <c r="R140" s="1174"/>
      <c r="S140" s="1174"/>
      <c r="T140" s="1174"/>
      <c r="U140" s="1174"/>
      <c r="V140" s="1174"/>
      <c r="W140" s="1174"/>
      <c r="X140" s="1174"/>
      <c r="Y140" s="1174"/>
      <c r="Z140" s="1174"/>
      <c r="AA140" s="1174"/>
      <c r="AB140" s="1174"/>
      <c r="AC140" s="1174"/>
      <c r="AD140" s="1173"/>
      <c r="AE140" s="1173"/>
      <c r="AF140" s="1173"/>
      <c r="AG140" s="1173"/>
      <c r="AH140" s="1173"/>
      <c r="AI140" s="1173"/>
      <c r="AJ140" s="1173"/>
      <c r="AK140" s="1173"/>
      <c r="AL140" s="1173"/>
      <c r="AM140" s="1173"/>
      <c r="AN140" s="1173"/>
      <c r="AO140" s="1173"/>
      <c r="AP140" s="1173"/>
      <c r="AQ140" s="1173"/>
      <c r="AR140" s="1173"/>
      <c r="AS140" s="1173"/>
      <c r="AT140" s="1173"/>
      <c r="AU140" s="1173"/>
      <c r="AV140" s="1173"/>
      <c r="AW140" s="1173"/>
      <c r="AX140" s="1173"/>
      <c r="AY140" s="1173"/>
      <c r="AZ140" s="1173"/>
      <c r="BA140" s="1173"/>
      <c r="BB140" s="1173"/>
      <c r="BC140" s="1173"/>
      <c r="BD140" s="1173"/>
      <c r="BE140" s="1173"/>
      <c r="BF140" s="1173"/>
      <c r="BG140" s="1173"/>
      <c r="BH140" s="1173"/>
      <c r="BI140" s="1173"/>
      <c r="BJ140" s="1173"/>
      <c r="BK140" s="1152"/>
      <c r="BL140" s="1118"/>
      <c r="BM140" s="1108"/>
    </row>
    <row r="141" spans="1:65" s="401" customFormat="1" x14ac:dyDescent="0.3">
      <c r="A141" s="1154">
        <v>382</v>
      </c>
      <c r="B141" s="1222"/>
      <c r="C141" s="1153">
        <v>382</v>
      </c>
      <c r="D141" s="1158" t="s">
        <v>1419</v>
      </c>
      <c r="E141" s="1158"/>
      <c r="F141" s="1170"/>
      <c r="G141" s="1171"/>
      <c r="H141" s="1171"/>
      <c r="I141" s="1171"/>
      <c r="J141" s="1171"/>
      <c r="K141" s="1171"/>
      <c r="L141" s="1172"/>
      <c r="M141" s="1173"/>
      <c r="N141" s="1173"/>
      <c r="O141" s="1174"/>
      <c r="P141" s="1174"/>
      <c r="Q141" s="1174"/>
      <c r="R141" s="1174"/>
      <c r="S141" s="1174"/>
      <c r="T141" s="1174"/>
      <c r="U141" s="1174"/>
      <c r="V141" s="1174"/>
      <c r="W141" s="1174"/>
      <c r="X141" s="1174"/>
      <c r="Y141" s="1174"/>
      <c r="Z141" s="1174"/>
      <c r="AA141" s="1174"/>
      <c r="AB141" s="1174"/>
      <c r="AC141" s="1174"/>
      <c r="AD141" s="1173"/>
      <c r="AE141" s="1173"/>
      <c r="AF141" s="1173"/>
      <c r="AG141" s="1173"/>
      <c r="AH141" s="1173"/>
      <c r="AI141" s="1173"/>
      <c r="AJ141" s="1173"/>
      <c r="AK141" s="1173"/>
      <c r="AL141" s="1173"/>
      <c r="AM141" s="1173"/>
      <c r="AN141" s="1173"/>
      <c r="AO141" s="1173"/>
      <c r="AP141" s="1173"/>
      <c r="AQ141" s="1173"/>
      <c r="AR141" s="1173"/>
      <c r="AS141" s="1173"/>
      <c r="AT141" s="1173"/>
      <c r="AU141" s="1173"/>
      <c r="AV141" s="1173"/>
      <c r="AW141" s="1173"/>
      <c r="AX141" s="1173"/>
      <c r="AY141" s="1173"/>
      <c r="AZ141" s="1173"/>
      <c r="BA141" s="1173"/>
      <c r="BB141" s="1173"/>
      <c r="BC141" s="1173"/>
      <c r="BD141" s="1173"/>
      <c r="BE141" s="1173"/>
      <c r="BF141" s="1173"/>
      <c r="BG141" s="1173"/>
      <c r="BH141" s="1173"/>
      <c r="BI141" s="1173"/>
      <c r="BJ141" s="1173"/>
      <c r="BK141" s="1152"/>
      <c r="BL141" s="1118"/>
      <c r="BM141" s="1108"/>
    </row>
    <row r="142" spans="1:65" s="401" customFormat="1" x14ac:dyDescent="0.3">
      <c r="A142" s="1154">
        <v>383</v>
      </c>
      <c r="B142" s="1222"/>
      <c r="C142" s="1153">
        <v>383</v>
      </c>
      <c r="D142" s="1203" t="e">
        <v>#VALUE!</v>
      </c>
      <c r="E142" s="1203"/>
      <c r="F142" s="1170"/>
      <c r="G142" s="1171"/>
      <c r="H142" s="1171"/>
      <c r="I142" s="1171"/>
      <c r="J142" s="1171"/>
      <c r="K142" s="1171"/>
      <c r="L142" s="1172"/>
      <c r="M142" s="1173"/>
      <c r="N142" s="1173"/>
      <c r="O142" s="1174"/>
      <c r="P142" s="1174"/>
      <c r="Q142" s="1174"/>
      <c r="R142" s="1174"/>
      <c r="S142" s="1174"/>
      <c r="T142" s="1174"/>
      <c r="U142" s="1174"/>
      <c r="V142" s="1174"/>
      <c r="W142" s="1174"/>
      <c r="X142" s="1174"/>
      <c r="Y142" s="1174"/>
      <c r="Z142" s="1174"/>
      <c r="AA142" s="1174"/>
      <c r="AB142" s="1174"/>
      <c r="AC142" s="1174"/>
      <c r="AD142" s="1173"/>
      <c r="AE142" s="1173"/>
      <c r="AF142" s="1173"/>
      <c r="AG142" s="1173"/>
      <c r="AH142" s="1173"/>
      <c r="AI142" s="1173"/>
      <c r="AJ142" s="1173"/>
      <c r="AK142" s="1173"/>
      <c r="AL142" s="1173"/>
      <c r="AM142" s="1173"/>
      <c r="AN142" s="1173"/>
      <c r="AO142" s="1173"/>
      <c r="AP142" s="1173"/>
      <c r="AQ142" s="1173"/>
      <c r="AR142" s="1173"/>
      <c r="AS142" s="1173"/>
      <c r="AT142" s="1173"/>
      <c r="AU142" s="1173"/>
      <c r="AV142" s="1173"/>
      <c r="AW142" s="1173"/>
      <c r="AX142" s="1173"/>
      <c r="AY142" s="1173"/>
      <c r="AZ142" s="1173"/>
      <c r="BA142" s="1173"/>
      <c r="BB142" s="1173"/>
      <c r="BC142" s="1173"/>
      <c r="BD142" s="1173"/>
      <c r="BE142" s="1173"/>
      <c r="BF142" s="1173"/>
      <c r="BG142" s="1173"/>
      <c r="BH142" s="1173"/>
      <c r="BI142" s="1173"/>
      <c r="BJ142" s="1173"/>
      <c r="BK142" s="1152"/>
      <c r="BL142" s="1118"/>
      <c r="BM142" s="1108"/>
    </row>
    <row r="143" spans="1:65" s="401" customFormat="1" ht="28.8" x14ac:dyDescent="0.3">
      <c r="A143" s="1154">
        <v>384</v>
      </c>
      <c r="B143" s="1222"/>
      <c r="C143" s="1153">
        <v>384</v>
      </c>
      <c r="D143" s="1158" t="s">
        <v>124</v>
      </c>
      <c r="E143" s="1158"/>
      <c r="F143" s="1170"/>
      <c r="G143" s="1171"/>
      <c r="H143" s="1171"/>
      <c r="I143" s="1171"/>
      <c r="J143" s="1171"/>
      <c r="K143" s="1171"/>
      <c r="L143" s="1172"/>
      <c r="M143" s="1173"/>
      <c r="N143" s="1173"/>
      <c r="O143" s="1174"/>
      <c r="P143" s="1174"/>
      <c r="Q143" s="1174"/>
      <c r="R143" s="1174"/>
      <c r="S143" s="1174"/>
      <c r="T143" s="1174"/>
      <c r="U143" s="1174"/>
      <c r="V143" s="1174"/>
      <c r="W143" s="1174"/>
      <c r="X143" s="1174"/>
      <c r="Y143" s="1174"/>
      <c r="Z143" s="1174"/>
      <c r="AA143" s="1174"/>
      <c r="AB143" s="1174"/>
      <c r="AC143" s="1174"/>
      <c r="AD143" s="1173"/>
      <c r="AE143" s="1173"/>
      <c r="AF143" s="1173"/>
      <c r="AG143" s="1173"/>
      <c r="AH143" s="1173"/>
      <c r="AI143" s="1173"/>
      <c r="AJ143" s="1173"/>
      <c r="AK143" s="1173"/>
      <c r="AL143" s="1173"/>
      <c r="AM143" s="1173"/>
      <c r="AN143" s="1173"/>
      <c r="AO143" s="1173"/>
      <c r="AP143" s="1173"/>
      <c r="AQ143" s="1173"/>
      <c r="AR143" s="1173"/>
      <c r="AS143" s="1173"/>
      <c r="AT143" s="1173"/>
      <c r="AU143" s="1173"/>
      <c r="AV143" s="1173"/>
      <c r="AW143" s="1173"/>
      <c r="AX143" s="1173"/>
      <c r="AY143" s="1173"/>
      <c r="AZ143" s="1173"/>
      <c r="BA143" s="1173"/>
      <c r="BB143" s="1173"/>
      <c r="BC143" s="1173"/>
      <c r="BD143" s="1173"/>
      <c r="BE143" s="1173"/>
      <c r="BF143" s="1173"/>
      <c r="BG143" s="1173"/>
      <c r="BH143" s="1173"/>
      <c r="BI143" s="1173"/>
      <c r="BJ143" s="1173"/>
      <c r="BK143" s="1152"/>
      <c r="BL143" s="1118"/>
      <c r="BM143" s="1108"/>
    </row>
    <row r="144" spans="1:65" s="401" customFormat="1" ht="28.8" x14ac:dyDescent="0.3">
      <c r="A144" s="1154">
        <v>385</v>
      </c>
      <c r="B144" s="1222">
        <v>385</v>
      </c>
      <c r="C144" s="1153">
        <v>385</v>
      </c>
      <c r="D144" s="1203" t="s">
        <v>115</v>
      </c>
      <c r="E144" s="1203"/>
      <c r="F144" s="1170">
        <v>96435492</v>
      </c>
      <c r="G144" s="1171">
        <v>154701536</v>
      </c>
      <c r="H144" s="1171">
        <v>106600502</v>
      </c>
      <c r="I144" s="1171">
        <v>33938843</v>
      </c>
      <c r="J144" s="1171">
        <v>143069640</v>
      </c>
      <c r="K144" s="1171">
        <v>81996222</v>
      </c>
      <c r="L144" s="1172">
        <v>42629025</v>
      </c>
      <c r="M144" s="1173">
        <v>43475377</v>
      </c>
      <c r="N144" s="1173">
        <v>101176233</v>
      </c>
      <c r="O144" s="1174">
        <v>29952935</v>
      </c>
      <c r="P144" s="1174">
        <v>51611476</v>
      </c>
      <c r="Q144" s="1174">
        <v>247448541</v>
      </c>
      <c r="R144" s="1174">
        <v>82459204</v>
      </c>
      <c r="S144" s="1174">
        <v>36082265</v>
      </c>
      <c r="T144" s="1174">
        <v>0</v>
      </c>
      <c r="U144" s="1174">
        <v>199941554</v>
      </c>
      <c r="V144" s="1174">
        <v>437916512</v>
      </c>
      <c r="W144" s="1174">
        <v>62700355</v>
      </c>
      <c r="X144" s="1174">
        <v>29861723</v>
      </c>
      <c r="Y144" s="1174">
        <v>385778955</v>
      </c>
      <c r="Z144" s="1174">
        <v>123386363</v>
      </c>
      <c r="AA144" s="1174">
        <v>12699040</v>
      </c>
      <c r="AB144" s="1174">
        <v>213918644</v>
      </c>
      <c r="AC144" s="1174">
        <v>29602120</v>
      </c>
      <c r="AD144" s="1173">
        <v>39891166</v>
      </c>
      <c r="AE144" s="1173">
        <v>287396396</v>
      </c>
      <c r="AF144" s="1173">
        <v>23923696</v>
      </c>
      <c r="AG144" s="1173">
        <v>207364115</v>
      </c>
      <c r="AH144" s="1173">
        <v>78250114</v>
      </c>
      <c r="AI144" s="1173">
        <v>44427001</v>
      </c>
      <c r="AJ144" s="1173">
        <v>208289072</v>
      </c>
      <c r="AK144" s="1173">
        <v>126601474</v>
      </c>
      <c r="AL144" s="1173">
        <v>207034100</v>
      </c>
      <c r="AM144" s="1173">
        <v>116570060</v>
      </c>
      <c r="AN144" s="1173">
        <v>128627354</v>
      </c>
      <c r="AO144" s="1173">
        <v>88563420</v>
      </c>
      <c r="AP144" s="1173">
        <v>78061233</v>
      </c>
      <c r="AQ144" s="1173">
        <v>94973674</v>
      </c>
      <c r="AR144" s="1173">
        <v>114805353</v>
      </c>
      <c r="AS144" s="1173">
        <v>37551848</v>
      </c>
      <c r="AT144" s="1173">
        <v>27116471</v>
      </c>
      <c r="AU144" s="1173">
        <v>52506826</v>
      </c>
      <c r="AV144" s="1173">
        <v>10062575</v>
      </c>
      <c r="AW144" s="1173">
        <v>799896688</v>
      </c>
      <c r="AX144" s="1173">
        <v>59044211</v>
      </c>
      <c r="AY144" s="1173">
        <v>4433382683</v>
      </c>
      <c r="AZ144" s="1173">
        <v>21449781</v>
      </c>
      <c r="BA144" s="1173">
        <v>20586576</v>
      </c>
      <c r="BB144" s="1173">
        <v>41077590</v>
      </c>
      <c r="BC144" s="1173">
        <v>151196285</v>
      </c>
      <c r="BD144" s="1173">
        <v>7859259</v>
      </c>
      <c r="BE144" s="1173">
        <v>21101586</v>
      </c>
      <c r="BF144" s="1173">
        <v>106509363</v>
      </c>
      <c r="BG144" s="1173">
        <v>118502020</v>
      </c>
      <c r="BH144" s="1173">
        <v>874593164</v>
      </c>
      <c r="BI144" s="1173">
        <v>58850688</v>
      </c>
      <c r="BJ144" s="1173">
        <v>36704727</v>
      </c>
      <c r="BK144" s="1152"/>
      <c r="BL144" s="1118"/>
      <c r="BM144" s="1108"/>
    </row>
    <row r="145" spans="1:64" s="401" customFormat="1" x14ac:dyDescent="0.3">
      <c r="A145" s="1154">
        <v>386</v>
      </c>
      <c r="B145" s="1222">
        <v>386</v>
      </c>
      <c r="C145" s="1153">
        <v>386</v>
      </c>
      <c r="D145" s="1203" t="s">
        <v>193</v>
      </c>
      <c r="E145" s="1203"/>
      <c r="F145" s="1170">
        <v>0</v>
      </c>
      <c r="G145" s="1171">
        <v>0</v>
      </c>
      <c r="H145" s="1171">
        <v>0</v>
      </c>
      <c r="I145" s="1171">
        <v>0</v>
      </c>
      <c r="J145" s="1171">
        <v>0</v>
      </c>
      <c r="K145" s="1171">
        <v>0</v>
      </c>
      <c r="L145" s="1172">
        <v>0</v>
      </c>
      <c r="M145" s="1173">
        <v>0</v>
      </c>
      <c r="N145" s="1173">
        <v>0</v>
      </c>
      <c r="O145" s="1174">
        <v>0</v>
      </c>
      <c r="P145" s="1174">
        <v>0</v>
      </c>
      <c r="Q145" s="1174">
        <v>4532</v>
      </c>
      <c r="R145" s="1174">
        <v>0</v>
      </c>
      <c r="S145" s="1174">
        <v>0</v>
      </c>
      <c r="T145" s="1174">
        <v>0</v>
      </c>
      <c r="U145" s="1174">
        <v>0</v>
      </c>
      <c r="V145" s="1174">
        <v>67090</v>
      </c>
      <c r="W145" s="1174">
        <v>0</v>
      </c>
      <c r="X145" s="1174">
        <v>0</v>
      </c>
      <c r="Y145" s="1174">
        <v>0</v>
      </c>
      <c r="Z145" s="1174">
        <v>0</v>
      </c>
      <c r="AA145" s="1174">
        <v>0</v>
      </c>
      <c r="AB145" s="1174">
        <v>0</v>
      </c>
      <c r="AC145" s="1174">
        <v>0</v>
      </c>
      <c r="AD145" s="1173">
        <v>0</v>
      </c>
      <c r="AE145" s="1173">
        <v>0</v>
      </c>
      <c r="AF145" s="1173">
        <v>0</v>
      </c>
      <c r="AG145" s="1173">
        <v>0</v>
      </c>
      <c r="AH145" s="1173">
        <v>0</v>
      </c>
      <c r="AI145" s="1173">
        <v>0</v>
      </c>
      <c r="AJ145" s="1173">
        <v>0</v>
      </c>
      <c r="AK145" s="1173">
        <v>0</v>
      </c>
      <c r="AL145" s="1173">
        <v>0</v>
      </c>
      <c r="AM145" s="1173">
        <v>0</v>
      </c>
      <c r="AN145" s="1173">
        <v>0</v>
      </c>
      <c r="AO145" s="1173">
        <v>0</v>
      </c>
      <c r="AP145" s="1173">
        <v>0</v>
      </c>
      <c r="AQ145" s="1173">
        <v>0</v>
      </c>
      <c r="AR145" s="1173">
        <v>0</v>
      </c>
      <c r="AS145" s="1173">
        <v>0</v>
      </c>
      <c r="AT145" s="1173">
        <v>0</v>
      </c>
      <c r="AU145" s="1173">
        <v>0</v>
      </c>
      <c r="AV145" s="1173">
        <v>0</v>
      </c>
      <c r="AW145" s="1173">
        <v>0</v>
      </c>
      <c r="AX145" s="1173">
        <v>0</v>
      </c>
      <c r="AY145" s="1173">
        <v>0</v>
      </c>
      <c r="AZ145" s="1173">
        <v>0</v>
      </c>
      <c r="BA145" s="1173">
        <v>0</v>
      </c>
      <c r="BB145" s="1173">
        <v>0</v>
      </c>
      <c r="BC145" s="1173">
        <v>0</v>
      </c>
      <c r="BD145" s="1173">
        <v>0</v>
      </c>
      <c r="BE145" s="1173">
        <v>0</v>
      </c>
      <c r="BF145" s="1173">
        <v>0</v>
      </c>
      <c r="BG145" s="1173">
        <v>0</v>
      </c>
      <c r="BH145" s="1173">
        <v>0</v>
      </c>
      <c r="BI145" s="1173">
        <v>0</v>
      </c>
      <c r="BJ145" s="1173">
        <v>0</v>
      </c>
      <c r="BK145" s="1118"/>
      <c r="BL145" s="1118"/>
    </row>
    <row r="146" spans="1:64" s="401" customFormat="1" x14ac:dyDescent="0.3">
      <c r="A146" s="1154">
        <v>387</v>
      </c>
      <c r="B146" s="1222">
        <v>387</v>
      </c>
      <c r="C146" s="1153">
        <v>387</v>
      </c>
      <c r="D146" s="1203" t="s">
        <v>194</v>
      </c>
      <c r="E146" s="1203"/>
      <c r="F146" s="1170">
        <v>244658</v>
      </c>
      <c r="G146" s="1171">
        <v>302292</v>
      </c>
      <c r="H146" s="1171">
        <v>309316</v>
      </c>
      <c r="I146" s="1171">
        <v>94451</v>
      </c>
      <c r="J146" s="1171">
        <v>157078</v>
      </c>
      <c r="K146" s="1171">
        <v>78900</v>
      </c>
      <c r="L146" s="1172">
        <v>69361</v>
      </c>
      <c r="M146" s="1173">
        <v>89700</v>
      </c>
      <c r="N146" s="1173">
        <v>56135</v>
      </c>
      <c r="O146" s="1174">
        <v>105347</v>
      </c>
      <c r="P146" s="1174">
        <v>112775</v>
      </c>
      <c r="Q146" s="1174">
        <v>0</v>
      </c>
      <c r="R146" s="1174">
        <v>193396</v>
      </c>
      <c r="S146" s="1174">
        <v>48374</v>
      </c>
      <c r="T146" s="1174">
        <v>0</v>
      </c>
      <c r="U146" s="1174">
        <v>107017</v>
      </c>
      <c r="V146" s="1174">
        <v>493359</v>
      </c>
      <c r="W146" s="1174">
        <v>98498</v>
      </c>
      <c r="X146" s="1174">
        <v>47172</v>
      </c>
      <c r="Y146" s="1174">
        <v>45000</v>
      </c>
      <c r="Z146" s="1174">
        <v>258528</v>
      </c>
      <c r="AA146" s="1174">
        <v>0</v>
      </c>
      <c r="AB146" s="1174">
        <v>107949</v>
      </c>
      <c r="AC146" s="1174">
        <v>110156</v>
      </c>
      <c r="AD146" s="1173">
        <v>216351</v>
      </c>
      <c r="AE146" s="1173">
        <v>365648</v>
      </c>
      <c r="AF146" s="1173">
        <v>101366</v>
      </c>
      <c r="AG146" s="1173">
        <v>267726</v>
      </c>
      <c r="AH146" s="1173">
        <v>156599</v>
      </c>
      <c r="AI146" s="1173">
        <v>159188</v>
      </c>
      <c r="AJ146" s="1173">
        <v>821000</v>
      </c>
      <c r="AK146" s="1173">
        <v>402868</v>
      </c>
      <c r="AL146" s="1173">
        <v>577970</v>
      </c>
      <c r="AM146" s="1173">
        <v>45000</v>
      </c>
      <c r="AN146" s="1173">
        <v>56154</v>
      </c>
      <c r="AO146" s="1173">
        <v>279583</v>
      </c>
      <c r="AP146" s="1173">
        <v>102529</v>
      </c>
      <c r="AQ146" s="1173">
        <v>45000</v>
      </c>
      <c r="AR146" s="1173">
        <v>167749</v>
      </c>
      <c r="AS146" s="1173">
        <v>61381</v>
      </c>
      <c r="AT146" s="1173">
        <v>45902</v>
      </c>
      <c r="AU146" s="1173">
        <v>439532</v>
      </c>
      <c r="AV146" s="1173">
        <v>91057</v>
      </c>
      <c r="AW146" s="1173">
        <v>1261703</v>
      </c>
      <c r="AX146" s="1173">
        <v>0</v>
      </c>
      <c r="AY146" s="1173">
        <v>2448756</v>
      </c>
      <c r="AZ146" s="1173">
        <v>105559</v>
      </c>
      <c r="BA146" s="1173">
        <v>172113</v>
      </c>
      <c r="BB146" s="1173">
        <v>111993</v>
      </c>
      <c r="BC146" s="1173">
        <v>37674</v>
      </c>
      <c r="BD146" s="1173">
        <v>63180</v>
      </c>
      <c r="BE146" s="1173">
        <v>51625</v>
      </c>
      <c r="BF146" s="1173">
        <v>341921</v>
      </c>
      <c r="BG146" s="1173">
        <v>426164</v>
      </c>
      <c r="BH146" s="1173">
        <v>0</v>
      </c>
      <c r="BI146" s="1173">
        <v>125518</v>
      </c>
      <c r="BJ146" s="1173">
        <v>53191</v>
      </c>
      <c r="BK146" s="1118"/>
      <c r="BL146" s="1118"/>
    </row>
    <row r="147" spans="1:64" s="401" customFormat="1" x14ac:dyDescent="0.3">
      <c r="A147" s="1154">
        <v>388</v>
      </c>
      <c r="B147" s="1222">
        <v>388</v>
      </c>
      <c r="C147" s="1153">
        <v>388</v>
      </c>
      <c r="D147" s="1203" t="s">
        <v>188</v>
      </c>
      <c r="E147" s="1203"/>
      <c r="F147" s="1170">
        <v>60604249</v>
      </c>
      <c r="G147" s="1171">
        <v>98052394</v>
      </c>
      <c r="H147" s="1171">
        <v>82223647</v>
      </c>
      <c r="I147" s="1171">
        <v>33242888</v>
      </c>
      <c r="J147" s="1171">
        <v>109400935</v>
      </c>
      <c r="K147" s="1171">
        <v>48781910</v>
      </c>
      <c r="L147" s="1172">
        <v>28244673</v>
      </c>
      <c r="M147" s="1173">
        <v>36378770</v>
      </c>
      <c r="N147" s="1173">
        <v>65382191</v>
      </c>
      <c r="O147" s="1174">
        <v>22670299</v>
      </c>
      <c r="P147" s="1174">
        <v>42220726</v>
      </c>
      <c r="Q147" s="1174">
        <v>134179257</v>
      </c>
      <c r="R147" s="1174">
        <v>65022229</v>
      </c>
      <c r="S147" s="1174">
        <v>18922964</v>
      </c>
      <c r="T147" s="1174">
        <v>0</v>
      </c>
      <c r="U147" s="1174">
        <v>144870535</v>
      </c>
      <c r="V147" s="1174">
        <v>300310748</v>
      </c>
      <c r="W147" s="1174">
        <v>29983740</v>
      </c>
      <c r="X147" s="1174">
        <v>24058694</v>
      </c>
      <c r="Y147" s="1174">
        <v>268321007</v>
      </c>
      <c r="Z147" s="1174">
        <v>96599906</v>
      </c>
      <c r="AA147" s="1174">
        <v>19120058</v>
      </c>
      <c r="AB147" s="1174">
        <v>100517065</v>
      </c>
      <c r="AC147" s="1174">
        <v>19808371</v>
      </c>
      <c r="AD147" s="1173">
        <v>48738731</v>
      </c>
      <c r="AE147" s="1173">
        <v>241622389</v>
      </c>
      <c r="AF147" s="1173">
        <v>26787119</v>
      </c>
      <c r="AG147" s="1173">
        <v>150488199</v>
      </c>
      <c r="AH147" s="1173">
        <v>72042398</v>
      </c>
      <c r="AI147" s="1173">
        <v>28682697</v>
      </c>
      <c r="AJ147" s="1173">
        <v>206902708</v>
      </c>
      <c r="AK147" s="1173">
        <v>115614234</v>
      </c>
      <c r="AL147" s="1173">
        <v>193226741</v>
      </c>
      <c r="AM147" s="1173">
        <v>91993483</v>
      </c>
      <c r="AN147" s="1173">
        <v>77759593</v>
      </c>
      <c r="AO147" s="1173">
        <v>65417587</v>
      </c>
      <c r="AP147" s="1173">
        <v>82905316</v>
      </c>
      <c r="AQ147" s="1173">
        <v>61878915</v>
      </c>
      <c r="AR147" s="1173">
        <v>75638135</v>
      </c>
      <c r="AS147" s="1173">
        <v>23708543</v>
      </c>
      <c r="AT147" s="1173">
        <v>25928492</v>
      </c>
      <c r="AU147" s="1173">
        <v>41510151</v>
      </c>
      <c r="AV147" s="1173">
        <v>9360544</v>
      </c>
      <c r="AW147" s="1173">
        <v>414110898</v>
      </c>
      <c r="AX147" s="1173">
        <v>60135670</v>
      </c>
      <c r="AY147" s="1173">
        <v>1757724427</v>
      </c>
      <c r="AZ147" s="1173">
        <v>23414718</v>
      </c>
      <c r="BA147" s="1173">
        <v>17059022</v>
      </c>
      <c r="BB147" s="1173">
        <v>54928161</v>
      </c>
      <c r="BC147" s="1173">
        <v>183689150</v>
      </c>
      <c r="BD147" s="1173">
        <v>10815477</v>
      </c>
      <c r="BE147" s="1173">
        <v>22650589</v>
      </c>
      <c r="BF147" s="1173">
        <v>91899044</v>
      </c>
      <c r="BG147" s="1173">
        <v>106224938</v>
      </c>
      <c r="BH147" s="1173">
        <v>580483923</v>
      </c>
      <c r="BI147" s="1173">
        <v>50781035</v>
      </c>
      <c r="BJ147" s="1173">
        <v>24163999</v>
      </c>
      <c r="BK147" s="1118"/>
      <c r="BL147" s="1118"/>
    </row>
    <row r="148" spans="1:64" s="401" customFormat="1" x14ac:dyDescent="0.3">
      <c r="A148" s="1154">
        <v>389</v>
      </c>
      <c r="B148" s="1222">
        <v>389</v>
      </c>
      <c r="C148" s="1153">
        <v>389</v>
      </c>
      <c r="D148" s="1203" t="s">
        <v>195</v>
      </c>
      <c r="E148" s="1203"/>
      <c r="F148" s="1170">
        <v>0</v>
      </c>
      <c r="G148" s="1171">
        <v>0</v>
      </c>
      <c r="H148" s="1171">
        <v>0</v>
      </c>
      <c r="I148" s="1171">
        <v>0</v>
      </c>
      <c r="J148" s="1171">
        <v>0</v>
      </c>
      <c r="K148" s="1171">
        <v>0</v>
      </c>
      <c r="L148" s="1172">
        <v>0</v>
      </c>
      <c r="M148" s="1173">
        <v>-77204</v>
      </c>
      <c r="N148" s="1173">
        <v>0</v>
      </c>
      <c r="O148" s="1174">
        <v>0</v>
      </c>
      <c r="P148" s="1174">
        <v>0</v>
      </c>
      <c r="Q148" s="1174">
        <v>0</v>
      </c>
      <c r="R148" s="1174">
        <v>0</v>
      </c>
      <c r="S148" s="1174">
        <v>0</v>
      </c>
      <c r="T148" s="1174">
        <v>0</v>
      </c>
      <c r="U148" s="1174">
        <v>0</v>
      </c>
      <c r="V148" s="1174">
        <v>0</v>
      </c>
      <c r="W148" s="1174">
        <v>0</v>
      </c>
      <c r="X148" s="1174">
        <v>0</v>
      </c>
      <c r="Y148" s="1174">
        <v>0</v>
      </c>
      <c r="Z148" s="1174">
        <v>0</v>
      </c>
      <c r="AA148" s="1174">
        <v>0</v>
      </c>
      <c r="AB148" s="1174">
        <v>-18529</v>
      </c>
      <c r="AC148" s="1174">
        <v>0</v>
      </c>
      <c r="AD148" s="1173">
        <v>0</v>
      </c>
      <c r="AE148" s="1173">
        <v>0</v>
      </c>
      <c r="AF148" s="1173">
        <v>0</v>
      </c>
      <c r="AG148" s="1173">
        <v>0</v>
      </c>
      <c r="AH148" s="1173">
        <v>0</v>
      </c>
      <c r="AI148" s="1173">
        <v>0</v>
      </c>
      <c r="AJ148" s="1173">
        <v>0</v>
      </c>
      <c r="AK148" s="1173">
        <v>0</v>
      </c>
      <c r="AL148" s="1173">
        <v>0</v>
      </c>
      <c r="AM148" s="1173">
        <v>0</v>
      </c>
      <c r="AN148" s="1173">
        <v>0</v>
      </c>
      <c r="AO148" s="1173">
        <v>0</v>
      </c>
      <c r="AP148" s="1173">
        <v>0</v>
      </c>
      <c r="AQ148" s="1173">
        <v>0</v>
      </c>
      <c r="AR148" s="1173">
        <v>0</v>
      </c>
      <c r="AS148" s="1173">
        <v>0</v>
      </c>
      <c r="AT148" s="1173">
        <v>0</v>
      </c>
      <c r="AU148" s="1173">
        <v>0</v>
      </c>
      <c r="AV148" s="1173">
        <v>0</v>
      </c>
      <c r="AW148" s="1173">
        <v>0</v>
      </c>
      <c r="AX148" s="1173">
        <v>0</v>
      </c>
      <c r="AY148" s="1173">
        <v>0</v>
      </c>
      <c r="AZ148" s="1173">
        <v>0</v>
      </c>
      <c r="BA148" s="1173">
        <v>0</v>
      </c>
      <c r="BB148" s="1173">
        <v>0</v>
      </c>
      <c r="BC148" s="1173">
        <v>0</v>
      </c>
      <c r="BD148" s="1173">
        <v>0</v>
      </c>
      <c r="BE148" s="1173">
        <v>-511468</v>
      </c>
      <c r="BF148" s="1173">
        <v>0</v>
      </c>
      <c r="BG148" s="1173">
        <v>0</v>
      </c>
      <c r="BH148" s="1173">
        <v>0</v>
      </c>
      <c r="BI148" s="1173">
        <v>0</v>
      </c>
      <c r="BJ148" s="1173">
        <v>0</v>
      </c>
      <c r="BK148" s="1118"/>
      <c r="BL148" s="1118"/>
    </row>
    <row r="149" spans="1:64" s="401" customFormat="1" x14ac:dyDescent="0.3">
      <c r="A149" s="1154">
        <v>391</v>
      </c>
      <c r="B149" s="1222">
        <v>391</v>
      </c>
      <c r="C149" s="1153">
        <v>391</v>
      </c>
      <c r="D149" s="1203" t="s">
        <v>200</v>
      </c>
      <c r="E149" s="1203"/>
      <c r="F149" s="1170">
        <v>20968</v>
      </c>
      <c r="G149" s="1171">
        <v>405457</v>
      </c>
      <c r="H149" s="1171">
        <v>7064</v>
      </c>
      <c r="I149" s="1171">
        <v>31561</v>
      </c>
      <c r="J149" s="1171">
        <v>413660</v>
      </c>
      <c r="K149" s="1171">
        <v>24165</v>
      </c>
      <c r="L149" s="1172">
        <v>28369</v>
      </c>
      <c r="M149" s="1173">
        <v>41901</v>
      </c>
      <c r="N149" s="1173">
        <v>334496</v>
      </c>
      <c r="O149" s="1174">
        <v>2776</v>
      </c>
      <c r="P149" s="1174">
        <v>64394</v>
      </c>
      <c r="Q149" s="1174">
        <v>503725</v>
      </c>
      <c r="R149" s="1174">
        <v>123698</v>
      </c>
      <c r="S149" s="1174">
        <v>65842</v>
      </c>
      <c r="T149" s="1174">
        <v>0</v>
      </c>
      <c r="U149" s="1174">
        <v>49541</v>
      </c>
      <c r="V149" s="1174">
        <v>1963096</v>
      </c>
      <c r="W149" s="1174">
        <v>189811</v>
      </c>
      <c r="X149" s="1174">
        <v>733382</v>
      </c>
      <c r="Y149" s="1174">
        <v>34577</v>
      </c>
      <c r="Z149" s="1174">
        <v>150952</v>
      </c>
      <c r="AA149" s="1174">
        <v>0</v>
      </c>
      <c r="AB149" s="1174">
        <v>80695</v>
      </c>
      <c r="AC149" s="1174">
        <v>91615</v>
      </c>
      <c r="AD149" s="1173">
        <v>0</v>
      </c>
      <c r="AE149" s="1173">
        <v>426224</v>
      </c>
      <c r="AF149" s="1173">
        <v>7415</v>
      </c>
      <c r="AG149" s="1173">
        <v>435947</v>
      </c>
      <c r="AH149" s="1173">
        <v>3032</v>
      </c>
      <c r="AI149" s="1173">
        <v>30373</v>
      </c>
      <c r="AJ149" s="1173">
        <v>204220</v>
      </c>
      <c r="AK149" s="1173">
        <v>31681</v>
      </c>
      <c r="AL149" s="1173">
        <v>34732</v>
      </c>
      <c r="AM149" s="1173">
        <v>31160</v>
      </c>
      <c r="AN149" s="1173">
        <v>202740</v>
      </c>
      <c r="AO149" s="1173">
        <v>73777</v>
      </c>
      <c r="AP149" s="1173">
        <v>2312</v>
      </c>
      <c r="AQ149" s="1173">
        <v>162837</v>
      </c>
      <c r="AR149" s="1173">
        <v>10931</v>
      </c>
      <c r="AS149" s="1173">
        <v>0</v>
      </c>
      <c r="AT149" s="1173">
        <v>173098</v>
      </c>
      <c r="AU149" s="1173">
        <v>43452</v>
      </c>
      <c r="AV149" s="1173">
        <v>12229</v>
      </c>
      <c r="AW149" s="1173">
        <v>430361</v>
      </c>
      <c r="AX149" s="1173">
        <v>29405</v>
      </c>
      <c r="AY149" s="1173">
        <v>5005418</v>
      </c>
      <c r="AZ149" s="1173">
        <v>166377</v>
      </c>
      <c r="BA149" s="1173">
        <v>103540</v>
      </c>
      <c r="BB149" s="1173">
        <v>130065</v>
      </c>
      <c r="BC149" s="1173">
        <v>2776</v>
      </c>
      <c r="BD149" s="1173">
        <v>73140</v>
      </c>
      <c r="BE149" s="1173">
        <v>5808</v>
      </c>
      <c r="BF149" s="1173">
        <v>305654</v>
      </c>
      <c r="BG149" s="1173">
        <v>14358</v>
      </c>
      <c r="BH149" s="1173">
        <v>892871</v>
      </c>
      <c r="BI149" s="1173">
        <v>8473</v>
      </c>
      <c r="BJ149" s="1173">
        <v>42248</v>
      </c>
      <c r="BK149" s="1118"/>
      <c r="BL149" s="1118"/>
    </row>
    <row r="150" spans="1:64" s="401" customFormat="1" ht="28.8" x14ac:dyDescent="0.3">
      <c r="A150" s="1154">
        <v>500</v>
      </c>
      <c r="B150" s="1222">
        <v>500</v>
      </c>
      <c r="C150" s="1153">
        <v>500</v>
      </c>
      <c r="D150" s="1203" t="s">
        <v>183</v>
      </c>
      <c r="E150" s="1203"/>
      <c r="F150" s="1170">
        <v>0</v>
      </c>
      <c r="G150" s="1171">
        <v>0</v>
      </c>
      <c r="H150" s="1171">
        <v>0</v>
      </c>
      <c r="I150" s="1171">
        <v>0</v>
      </c>
      <c r="J150" s="1171">
        <v>0</v>
      </c>
      <c r="K150" s="1171">
        <v>0</v>
      </c>
      <c r="L150" s="1172">
        <v>0</v>
      </c>
      <c r="M150" s="1173">
        <v>94342</v>
      </c>
      <c r="N150" s="1173">
        <v>0</v>
      </c>
      <c r="O150" s="1174">
        <v>0</v>
      </c>
      <c r="P150" s="1174">
        <v>0</v>
      </c>
      <c r="Q150" s="1174">
        <v>0</v>
      </c>
      <c r="R150" s="1174">
        <v>0</v>
      </c>
      <c r="S150" s="1174">
        <v>0</v>
      </c>
      <c r="T150" s="1174">
        <v>0</v>
      </c>
      <c r="U150" s="1174">
        <v>0</v>
      </c>
      <c r="V150" s="1174">
        <v>0</v>
      </c>
      <c r="W150" s="1174">
        <v>2227309</v>
      </c>
      <c r="X150" s="1174">
        <v>0</v>
      </c>
      <c r="Y150" s="1174">
        <v>0</v>
      </c>
      <c r="Z150" s="1174">
        <v>0</v>
      </c>
      <c r="AA150" s="1174">
        <v>0</v>
      </c>
      <c r="AB150" s="1174">
        <v>0</v>
      </c>
      <c r="AC150" s="1174">
        <v>0</v>
      </c>
      <c r="AD150" s="1173">
        <v>0</v>
      </c>
      <c r="AE150" s="1173">
        <v>0</v>
      </c>
      <c r="AF150" s="1173">
        <v>102829</v>
      </c>
      <c r="AG150" s="1173">
        <v>0</v>
      </c>
      <c r="AH150" s="1173">
        <v>0</v>
      </c>
      <c r="AI150" s="1173">
        <v>0</v>
      </c>
      <c r="AJ150" s="1173">
        <v>0</v>
      </c>
      <c r="AK150" s="1173">
        <v>0</v>
      </c>
      <c r="AL150" s="1173">
        <v>0</v>
      </c>
      <c r="AM150" s="1173">
        <v>0</v>
      </c>
      <c r="AN150" s="1173">
        <v>0</v>
      </c>
      <c r="AO150" s="1173">
        <v>0</v>
      </c>
      <c r="AP150" s="1173">
        <v>0</v>
      </c>
      <c r="AQ150" s="1173">
        <v>0</v>
      </c>
      <c r="AR150" s="1173">
        <v>0</v>
      </c>
      <c r="AS150" s="1173">
        <v>1998020</v>
      </c>
      <c r="AT150" s="1173">
        <v>0</v>
      </c>
      <c r="AU150" s="1173">
        <v>0</v>
      </c>
      <c r="AV150" s="1173">
        <v>13001</v>
      </c>
      <c r="AW150" s="1173">
        <v>0</v>
      </c>
      <c r="AX150" s="1173">
        <v>208107</v>
      </c>
      <c r="AY150" s="1173">
        <v>1170115</v>
      </c>
      <c r="AZ150" s="1173">
        <v>0</v>
      </c>
      <c r="BA150" s="1173">
        <v>0</v>
      </c>
      <c r="BB150" s="1173">
        <v>0</v>
      </c>
      <c r="BC150" s="1173">
        <v>0</v>
      </c>
      <c r="BD150" s="1173">
        <v>0</v>
      </c>
      <c r="BE150" s="1173">
        <v>0</v>
      </c>
      <c r="BF150" s="1173">
        <v>0</v>
      </c>
      <c r="BG150" s="1173">
        <v>0</v>
      </c>
      <c r="BH150" s="1173">
        <v>0</v>
      </c>
      <c r="BI150" s="1173">
        <v>0</v>
      </c>
      <c r="BJ150" s="1173">
        <v>0</v>
      </c>
      <c r="BK150" s="1118"/>
      <c r="BL150" s="1118"/>
    </row>
    <row r="151" spans="1:64" s="401" customFormat="1" x14ac:dyDescent="0.3">
      <c r="A151" s="1154">
        <v>501</v>
      </c>
      <c r="B151" s="1222"/>
      <c r="C151" s="1153">
        <v>501</v>
      </c>
      <c r="D151" s="1203" t="e">
        <v>#VALUE!</v>
      </c>
      <c r="E151" s="1203"/>
      <c r="F151" s="1170"/>
      <c r="G151" s="1171"/>
      <c r="H151" s="1171"/>
      <c r="I151" s="1171"/>
      <c r="J151" s="1171"/>
      <c r="K151" s="1171"/>
      <c r="L151" s="1172"/>
      <c r="M151" s="1173"/>
      <c r="N151" s="1173"/>
      <c r="O151" s="1174"/>
      <c r="P151" s="1174"/>
      <c r="Q151" s="1174"/>
      <c r="R151" s="1174"/>
      <c r="S151" s="1174"/>
      <c r="T151" s="1174"/>
      <c r="U151" s="1174"/>
      <c r="V151" s="1174"/>
      <c r="W151" s="1174"/>
      <c r="X151" s="1174"/>
      <c r="Y151" s="1174"/>
      <c r="Z151" s="1174"/>
      <c r="AA151" s="1174"/>
      <c r="AB151" s="1174"/>
      <c r="AC151" s="1174"/>
      <c r="AD151" s="1173"/>
      <c r="AE151" s="1173"/>
      <c r="AF151" s="1173"/>
      <c r="AG151" s="1173"/>
      <c r="AH151" s="1173"/>
      <c r="AI151" s="1173"/>
      <c r="AJ151" s="1173"/>
      <c r="AK151" s="1173"/>
      <c r="AL151" s="1173"/>
      <c r="AM151" s="1173"/>
      <c r="AN151" s="1173"/>
      <c r="AO151" s="1173"/>
      <c r="AP151" s="1173"/>
      <c r="AQ151" s="1173"/>
      <c r="AR151" s="1173"/>
      <c r="AS151" s="1173"/>
      <c r="AT151" s="1173"/>
      <c r="AU151" s="1173"/>
      <c r="AV151" s="1173"/>
      <c r="AW151" s="1173"/>
      <c r="AX151" s="1173"/>
      <c r="AY151" s="1173"/>
      <c r="AZ151" s="1173"/>
      <c r="BA151" s="1173"/>
      <c r="BB151" s="1173"/>
      <c r="BC151" s="1173"/>
      <c r="BD151" s="1173"/>
      <c r="BE151" s="1173"/>
      <c r="BF151" s="1173"/>
      <c r="BG151" s="1173"/>
      <c r="BH151" s="1173"/>
      <c r="BI151" s="1173"/>
      <c r="BJ151" s="1173"/>
      <c r="BK151" s="1118"/>
      <c r="BL151" s="1118"/>
    </row>
    <row r="152" spans="1:64" s="401" customFormat="1" ht="28.8" x14ac:dyDescent="0.3">
      <c r="A152" s="1154">
        <v>502</v>
      </c>
      <c r="B152" s="1222">
        <v>502</v>
      </c>
      <c r="C152" s="1153">
        <v>502</v>
      </c>
      <c r="D152" s="1203" t="s">
        <v>185</v>
      </c>
      <c r="E152" s="1203"/>
      <c r="F152" s="1170">
        <v>88922</v>
      </c>
      <c r="G152" s="1171">
        <v>654164</v>
      </c>
      <c r="H152" s="1171">
        <v>2101546</v>
      </c>
      <c r="I152" s="1171">
        <v>1088545</v>
      </c>
      <c r="J152" s="1171">
        <v>670991</v>
      </c>
      <c r="K152" s="1171">
        <v>260099</v>
      </c>
      <c r="L152" s="1172">
        <v>536836</v>
      </c>
      <c r="M152" s="1173">
        <v>1292078</v>
      </c>
      <c r="N152" s="1173">
        <v>679264</v>
      </c>
      <c r="O152" s="1174">
        <v>297614</v>
      </c>
      <c r="P152" s="1174">
        <v>655895</v>
      </c>
      <c r="Q152" s="1174">
        <v>1915455</v>
      </c>
      <c r="R152" s="1174">
        <v>2607070</v>
      </c>
      <c r="S152" s="1174">
        <v>135258</v>
      </c>
      <c r="T152" s="1174">
        <v>0</v>
      </c>
      <c r="U152" s="1174">
        <v>2922361</v>
      </c>
      <c r="V152" s="1174">
        <v>3885515</v>
      </c>
      <c r="W152" s="1174">
        <v>1969151</v>
      </c>
      <c r="X152" s="1174">
        <v>241453</v>
      </c>
      <c r="Y152" s="1174">
        <v>6806071</v>
      </c>
      <c r="Z152" s="1174">
        <v>1014179</v>
      </c>
      <c r="AA152" s="1174">
        <v>144808</v>
      </c>
      <c r="AB152" s="1174">
        <v>2056451</v>
      </c>
      <c r="AC152" s="1174">
        <v>114826</v>
      </c>
      <c r="AD152" s="1173">
        <v>1240541</v>
      </c>
      <c r="AE152" s="1173">
        <v>5637188</v>
      </c>
      <c r="AF152" s="1173">
        <v>9071</v>
      </c>
      <c r="AG152" s="1173">
        <v>4165107</v>
      </c>
      <c r="AH152" s="1173">
        <v>1536608</v>
      </c>
      <c r="AI152" s="1173">
        <v>513376</v>
      </c>
      <c r="AJ152" s="1173">
        <v>5017209</v>
      </c>
      <c r="AK152" s="1173">
        <v>2205797</v>
      </c>
      <c r="AL152" s="1173">
        <v>2945701</v>
      </c>
      <c r="AM152" s="1173">
        <v>546373</v>
      </c>
      <c r="AN152" s="1173">
        <v>1517379</v>
      </c>
      <c r="AO152" s="1173">
        <v>1508119</v>
      </c>
      <c r="AP152" s="1173">
        <v>926846</v>
      </c>
      <c r="AQ152" s="1173">
        <v>809738</v>
      </c>
      <c r="AR152" s="1173">
        <v>794552</v>
      </c>
      <c r="AS152" s="1173">
        <v>606750</v>
      </c>
      <c r="AT152" s="1173">
        <v>1986270</v>
      </c>
      <c r="AU152" s="1173">
        <v>161418</v>
      </c>
      <c r="AV152" s="1173">
        <v>289511</v>
      </c>
      <c r="AW152" s="1173">
        <v>6256530</v>
      </c>
      <c r="AX152" s="1173">
        <v>1102269</v>
      </c>
      <c r="AY152" s="1173">
        <v>23634435</v>
      </c>
      <c r="AZ152" s="1173">
        <v>824039</v>
      </c>
      <c r="BA152" s="1173">
        <v>130401</v>
      </c>
      <c r="BB152" s="1173">
        <v>1071655</v>
      </c>
      <c r="BC152" s="1173">
        <v>2514065</v>
      </c>
      <c r="BD152" s="1173">
        <v>221202</v>
      </c>
      <c r="BE152" s="1173">
        <v>928045</v>
      </c>
      <c r="BF152" s="1173">
        <v>752293</v>
      </c>
      <c r="BG152" s="1173">
        <v>1406961</v>
      </c>
      <c r="BH152" s="1173">
        <v>12599141</v>
      </c>
      <c r="BI152" s="1173">
        <v>933195</v>
      </c>
      <c r="BJ152" s="1173">
        <v>457217</v>
      </c>
      <c r="BK152" s="1118"/>
      <c r="BL152" s="1118"/>
    </row>
    <row r="153" spans="1:64" s="401" customFormat="1" ht="28.8" x14ac:dyDescent="0.3">
      <c r="A153" s="1154">
        <v>503</v>
      </c>
      <c r="B153" s="1222">
        <v>503</v>
      </c>
      <c r="C153" s="1153">
        <v>503</v>
      </c>
      <c r="D153" s="1203" t="s">
        <v>186</v>
      </c>
      <c r="E153" s="1203"/>
      <c r="F153" s="1170">
        <v>0</v>
      </c>
      <c r="G153" s="1171">
        <v>0</v>
      </c>
      <c r="H153" s="1171">
        <v>0</v>
      </c>
      <c r="I153" s="1171">
        <v>0</v>
      </c>
      <c r="J153" s="1171">
        <v>0</v>
      </c>
      <c r="K153" s="1171">
        <v>0</v>
      </c>
      <c r="L153" s="1172">
        <v>0</v>
      </c>
      <c r="M153" s="1173">
        <v>0</v>
      </c>
      <c r="N153" s="1173">
        <v>0</v>
      </c>
      <c r="O153" s="1174">
        <v>0</v>
      </c>
      <c r="P153" s="1174">
        <v>0</v>
      </c>
      <c r="Q153" s="1174">
        <v>0</v>
      </c>
      <c r="R153" s="1174">
        <v>0</v>
      </c>
      <c r="S153" s="1174">
        <v>0</v>
      </c>
      <c r="T153" s="1174">
        <v>0</v>
      </c>
      <c r="U153" s="1174">
        <v>0</v>
      </c>
      <c r="V153" s="1174">
        <v>0</v>
      </c>
      <c r="W153" s="1174">
        <v>0</v>
      </c>
      <c r="X153" s="1174">
        <v>0</v>
      </c>
      <c r="Y153" s="1174">
        <v>0</v>
      </c>
      <c r="Z153" s="1174">
        <v>0</v>
      </c>
      <c r="AA153" s="1174">
        <v>0</v>
      </c>
      <c r="AB153" s="1174">
        <v>0</v>
      </c>
      <c r="AC153" s="1174">
        <v>0</v>
      </c>
      <c r="AD153" s="1173">
        <v>0</v>
      </c>
      <c r="AE153" s="1173">
        <v>0</v>
      </c>
      <c r="AF153" s="1173">
        <v>0</v>
      </c>
      <c r="AG153" s="1173">
        <v>0</v>
      </c>
      <c r="AH153" s="1173">
        <v>0</v>
      </c>
      <c r="AI153" s="1173">
        <v>0</v>
      </c>
      <c r="AJ153" s="1173">
        <v>0</v>
      </c>
      <c r="AK153" s="1173">
        <v>0</v>
      </c>
      <c r="AL153" s="1173">
        <v>0</v>
      </c>
      <c r="AM153" s="1173">
        <v>0</v>
      </c>
      <c r="AN153" s="1173">
        <v>0</v>
      </c>
      <c r="AO153" s="1173">
        <v>0</v>
      </c>
      <c r="AP153" s="1173">
        <v>0</v>
      </c>
      <c r="AQ153" s="1173">
        <v>0</v>
      </c>
      <c r="AR153" s="1173">
        <v>0</v>
      </c>
      <c r="AS153" s="1173">
        <v>0</v>
      </c>
      <c r="AT153" s="1173">
        <v>0</v>
      </c>
      <c r="AU153" s="1173">
        <v>0</v>
      </c>
      <c r="AV153" s="1173">
        <v>0</v>
      </c>
      <c r="AW153" s="1173">
        <v>0</v>
      </c>
      <c r="AX153" s="1173">
        <v>0</v>
      </c>
      <c r="AY153" s="1173">
        <v>0</v>
      </c>
      <c r="AZ153" s="1173">
        <v>0</v>
      </c>
      <c r="BA153" s="1173">
        <v>0</v>
      </c>
      <c r="BB153" s="1173">
        <v>0</v>
      </c>
      <c r="BC153" s="1173">
        <v>0</v>
      </c>
      <c r="BD153" s="1173">
        <v>0</v>
      </c>
      <c r="BE153" s="1173">
        <v>0</v>
      </c>
      <c r="BF153" s="1173">
        <v>0</v>
      </c>
      <c r="BG153" s="1173">
        <v>0</v>
      </c>
      <c r="BH153" s="1173">
        <v>0</v>
      </c>
      <c r="BI153" s="1173">
        <v>0</v>
      </c>
      <c r="BJ153" s="1173">
        <v>0</v>
      </c>
      <c r="BK153" s="1118"/>
      <c r="BL153" s="1118"/>
    </row>
    <row r="154" spans="1:64" s="401" customFormat="1" ht="28.8" x14ac:dyDescent="0.3">
      <c r="A154" s="1154">
        <v>504</v>
      </c>
      <c r="B154" s="1222">
        <v>504</v>
      </c>
      <c r="C154" s="1153">
        <v>504</v>
      </c>
      <c r="D154" s="1203" t="s">
        <v>190</v>
      </c>
      <c r="E154" s="1203"/>
      <c r="F154" s="1170">
        <v>39070088</v>
      </c>
      <c r="G154" s="1171">
        <v>68040763</v>
      </c>
      <c r="H154" s="1171">
        <v>63829540</v>
      </c>
      <c r="I154" s="1171">
        <v>23577103</v>
      </c>
      <c r="J154" s="1171">
        <v>75387174</v>
      </c>
      <c r="K154" s="1171">
        <v>33646171</v>
      </c>
      <c r="L154" s="1172">
        <v>20777843</v>
      </c>
      <c r="M154" s="1173">
        <v>26747059</v>
      </c>
      <c r="N154" s="1173">
        <v>49891628</v>
      </c>
      <c r="O154" s="1174">
        <v>15393021</v>
      </c>
      <c r="P154" s="1174">
        <v>33636634</v>
      </c>
      <c r="Q154" s="1174">
        <v>87665899</v>
      </c>
      <c r="R154" s="1174">
        <v>38144067</v>
      </c>
      <c r="S154" s="1174">
        <v>14333295</v>
      </c>
      <c r="T154" s="1174">
        <v>1790232</v>
      </c>
      <c r="U154" s="1174">
        <v>108157936</v>
      </c>
      <c r="V154" s="1174">
        <v>189850745</v>
      </c>
      <c r="W154" s="1174">
        <v>21093169</v>
      </c>
      <c r="X154" s="1174">
        <v>17764315</v>
      </c>
      <c r="Y154" s="1174">
        <v>184158420</v>
      </c>
      <c r="Z154" s="1174">
        <v>52453156</v>
      </c>
      <c r="AA154" s="1174">
        <v>13701198</v>
      </c>
      <c r="AB154" s="1174">
        <v>69408928</v>
      </c>
      <c r="AC154" s="1174">
        <v>13612623</v>
      </c>
      <c r="AD154" s="1173">
        <v>35532006</v>
      </c>
      <c r="AE154" s="1173">
        <v>186710961</v>
      </c>
      <c r="AF154" s="1173">
        <v>19007708</v>
      </c>
      <c r="AG154" s="1173">
        <v>117429870</v>
      </c>
      <c r="AH154" s="1173">
        <v>54250978</v>
      </c>
      <c r="AI154" s="1173">
        <v>20776389</v>
      </c>
      <c r="AJ154" s="1173">
        <v>177697911</v>
      </c>
      <c r="AK154" s="1173">
        <v>96065138</v>
      </c>
      <c r="AL154" s="1173">
        <v>136715631</v>
      </c>
      <c r="AM154" s="1173">
        <v>69027786</v>
      </c>
      <c r="AN154" s="1173">
        <v>58638744</v>
      </c>
      <c r="AO154" s="1173">
        <v>47784227</v>
      </c>
      <c r="AP154" s="1173">
        <v>62816006</v>
      </c>
      <c r="AQ154" s="1173">
        <v>47784961</v>
      </c>
      <c r="AR154" s="1173">
        <v>57742729</v>
      </c>
      <c r="AS154" s="1173">
        <v>16403819</v>
      </c>
      <c r="AT154" s="1173">
        <v>18900481</v>
      </c>
      <c r="AU154" s="1173">
        <v>25517329</v>
      </c>
      <c r="AV154" s="1173">
        <v>6241660</v>
      </c>
      <c r="AW154" s="1173">
        <v>275242644</v>
      </c>
      <c r="AX154" s="1173">
        <v>46874711</v>
      </c>
      <c r="AY154" s="1173">
        <v>1120724055</v>
      </c>
      <c r="AZ154" s="1173">
        <v>18930264</v>
      </c>
      <c r="BA154" s="1173">
        <v>13811383</v>
      </c>
      <c r="BB154" s="1173">
        <v>33324424</v>
      </c>
      <c r="BC154" s="1173">
        <v>141057454</v>
      </c>
      <c r="BD154" s="1173">
        <v>9126784</v>
      </c>
      <c r="BE154" s="1173">
        <v>19507466</v>
      </c>
      <c r="BF154" s="1173">
        <v>68585393</v>
      </c>
      <c r="BG154" s="1173">
        <v>77970025</v>
      </c>
      <c r="BH154" s="1173">
        <v>403748166</v>
      </c>
      <c r="BI154" s="1173">
        <v>40407864</v>
      </c>
      <c r="BJ154" s="1173">
        <v>18215790</v>
      </c>
      <c r="BK154" s="1118"/>
      <c r="BL154" s="1118"/>
    </row>
    <row r="155" spans="1:64" s="401" customFormat="1" ht="28.8" x14ac:dyDescent="0.3">
      <c r="A155" s="1154">
        <v>505</v>
      </c>
      <c r="B155" s="1222">
        <v>505</v>
      </c>
      <c r="C155" s="1153">
        <v>505</v>
      </c>
      <c r="D155" s="1203" t="s">
        <v>191</v>
      </c>
      <c r="E155" s="1203"/>
      <c r="F155" s="1170">
        <v>136726</v>
      </c>
      <c r="G155" s="1171">
        <v>426709</v>
      </c>
      <c r="H155" s="1171">
        <v>483249</v>
      </c>
      <c r="I155" s="1171">
        <v>0</v>
      </c>
      <c r="J155" s="1171">
        <v>169881</v>
      </c>
      <c r="K155" s="1171">
        <v>235256</v>
      </c>
      <c r="L155" s="1172">
        <v>193977</v>
      </c>
      <c r="M155" s="1173">
        <v>1129073</v>
      </c>
      <c r="N155" s="1173">
        <v>119481</v>
      </c>
      <c r="O155" s="1174">
        <v>695858</v>
      </c>
      <c r="P155" s="1174">
        <v>347429</v>
      </c>
      <c r="Q155" s="1174">
        <v>631348</v>
      </c>
      <c r="R155" s="1174">
        <v>0</v>
      </c>
      <c r="S155" s="1174">
        <v>0</v>
      </c>
      <c r="T155" s="1174">
        <v>0</v>
      </c>
      <c r="U155" s="1174">
        <v>842006</v>
      </c>
      <c r="V155" s="1174">
        <v>0</v>
      </c>
      <c r="W155" s="1174">
        <v>0</v>
      </c>
      <c r="X155" s="1174">
        <v>231790</v>
      </c>
      <c r="Y155" s="1174">
        <v>711500</v>
      </c>
      <c r="Z155" s="1174">
        <v>387173</v>
      </c>
      <c r="AA155" s="1174">
        <v>161212</v>
      </c>
      <c r="AB155" s="1174">
        <v>873070</v>
      </c>
      <c r="AC155" s="1174">
        <v>112374</v>
      </c>
      <c r="AD155" s="1173">
        <v>235990</v>
      </c>
      <c r="AE155" s="1173">
        <v>2708561</v>
      </c>
      <c r="AF155" s="1173">
        <v>43101</v>
      </c>
      <c r="AG155" s="1173">
        <v>1521243</v>
      </c>
      <c r="AH155" s="1173">
        <v>609660</v>
      </c>
      <c r="AI155" s="1173">
        <v>0</v>
      </c>
      <c r="AJ155" s="1173">
        <v>0</v>
      </c>
      <c r="AK155" s="1173">
        <v>449242</v>
      </c>
      <c r="AL155" s="1173">
        <v>1297747</v>
      </c>
      <c r="AM155" s="1173">
        <v>0</v>
      </c>
      <c r="AN155" s="1173">
        <v>928254</v>
      </c>
      <c r="AO155" s="1173">
        <v>457348</v>
      </c>
      <c r="AP155" s="1173">
        <v>217543</v>
      </c>
      <c r="AQ155" s="1173">
        <v>239194</v>
      </c>
      <c r="AR155" s="1173">
        <v>140972</v>
      </c>
      <c r="AS155" s="1173">
        <v>12189</v>
      </c>
      <c r="AT155" s="1173">
        <v>5503</v>
      </c>
      <c r="AU155" s="1173">
        <v>23838</v>
      </c>
      <c r="AV155" s="1173">
        <v>298104</v>
      </c>
      <c r="AW155" s="1173">
        <v>449980</v>
      </c>
      <c r="AX155" s="1173">
        <v>379884</v>
      </c>
      <c r="AY155" s="1173">
        <v>0</v>
      </c>
      <c r="AZ155" s="1173">
        <v>174566</v>
      </c>
      <c r="BA155" s="1173">
        <v>0</v>
      </c>
      <c r="BB155" s="1173">
        <v>84833</v>
      </c>
      <c r="BC155" s="1173">
        <v>907081</v>
      </c>
      <c r="BD155" s="1173">
        <v>0</v>
      </c>
      <c r="BE155" s="1173">
        <v>261510</v>
      </c>
      <c r="BF155" s="1173">
        <v>434619</v>
      </c>
      <c r="BG155" s="1173">
        <v>0</v>
      </c>
      <c r="BH155" s="1173">
        <v>0</v>
      </c>
      <c r="BI155" s="1173">
        <v>283924</v>
      </c>
      <c r="BJ155" s="1173">
        <v>473050</v>
      </c>
      <c r="BK155" s="1118"/>
      <c r="BL155" s="1118"/>
    </row>
    <row r="156" spans="1:64" s="401" customFormat="1" ht="28.8" x14ac:dyDescent="0.3">
      <c r="A156" s="1154">
        <v>506</v>
      </c>
      <c r="B156" s="1222">
        <v>506</v>
      </c>
      <c r="C156" s="1153">
        <v>506</v>
      </c>
      <c r="D156" s="1203" t="s">
        <v>197</v>
      </c>
      <c r="E156" s="1203"/>
      <c r="F156" s="1170">
        <v>504978</v>
      </c>
      <c r="G156" s="1171">
        <v>3903434</v>
      </c>
      <c r="H156" s="1171">
        <v>2737901</v>
      </c>
      <c r="I156" s="1171">
        <v>1636312</v>
      </c>
      <c r="J156" s="1171">
        <v>2900790</v>
      </c>
      <c r="K156" s="1171">
        <v>1544413</v>
      </c>
      <c r="L156" s="1172">
        <v>456653</v>
      </c>
      <c r="M156" s="1173">
        <v>2960694</v>
      </c>
      <c r="N156" s="1173">
        <v>5809465</v>
      </c>
      <c r="O156" s="1174">
        <v>1078631</v>
      </c>
      <c r="P156" s="1174">
        <v>3058983</v>
      </c>
      <c r="Q156" s="1174">
        <v>3821938</v>
      </c>
      <c r="R156" s="1174">
        <v>2589371</v>
      </c>
      <c r="S156" s="1174">
        <v>1442250</v>
      </c>
      <c r="T156" s="1174">
        <v>657504</v>
      </c>
      <c r="U156" s="1174">
        <v>6891353</v>
      </c>
      <c r="V156" s="1174">
        <v>31774305</v>
      </c>
      <c r="W156" s="1174">
        <v>2612297</v>
      </c>
      <c r="X156" s="1174">
        <v>274162</v>
      </c>
      <c r="Y156" s="1174">
        <v>18361445</v>
      </c>
      <c r="Z156" s="1174">
        <v>7948113</v>
      </c>
      <c r="AA156" s="1174">
        <v>480079</v>
      </c>
      <c r="AB156" s="1174">
        <v>4487618</v>
      </c>
      <c r="AC156" s="1174">
        <v>350681</v>
      </c>
      <c r="AD156" s="1173">
        <v>1852709</v>
      </c>
      <c r="AE156" s="1173">
        <v>9963139</v>
      </c>
      <c r="AF156" s="1173">
        <v>780541</v>
      </c>
      <c r="AG156" s="1173">
        <v>5856179</v>
      </c>
      <c r="AH156" s="1173">
        <v>3658697</v>
      </c>
      <c r="AI156" s="1173">
        <v>1642612</v>
      </c>
      <c r="AJ156" s="1173">
        <v>7949660</v>
      </c>
      <c r="AK156" s="1173">
        <v>17123213</v>
      </c>
      <c r="AL156" s="1173">
        <v>8079716</v>
      </c>
      <c r="AM156" s="1173">
        <v>4873622</v>
      </c>
      <c r="AN156" s="1173">
        <v>4368065</v>
      </c>
      <c r="AO156" s="1173">
        <v>3548083</v>
      </c>
      <c r="AP156" s="1173">
        <v>908979</v>
      </c>
      <c r="AQ156" s="1173">
        <v>1132752</v>
      </c>
      <c r="AR156" s="1173">
        <v>2955354</v>
      </c>
      <c r="AS156" s="1173">
        <v>58403</v>
      </c>
      <c r="AT156" s="1173">
        <v>0</v>
      </c>
      <c r="AU156" s="1173">
        <v>1298051</v>
      </c>
      <c r="AV156" s="1173">
        <v>329758</v>
      </c>
      <c r="AW156" s="1173">
        <v>6308974</v>
      </c>
      <c r="AX156" s="1173">
        <v>806527</v>
      </c>
      <c r="AY156" s="1173">
        <v>101334419</v>
      </c>
      <c r="AZ156" s="1173">
        <v>927502</v>
      </c>
      <c r="BA156" s="1173">
        <v>373268</v>
      </c>
      <c r="BB156" s="1173">
        <v>4222558</v>
      </c>
      <c r="BC156" s="1173">
        <v>862392</v>
      </c>
      <c r="BD156" s="1173">
        <v>891140</v>
      </c>
      <c r="BE156" s="1173">
        <v>1569341</v>
      </c>
      <c r="BF156" s="1173">
        <v>10085544</v>
      </c>
      <c r="BG156" s="1173">
        <v>7861326</v>
      </c>
      <c r="BH156" s="1173">
        <v>13715451</v>
      </c>
      <c r="BI156" s="1173">
        <v>1787082</v>
      </c>
      <c r="BJ156" s="1173">
        <v>1192969</v>
      </c>
      <c r="BK156" s="1118"/>
      <c r="BL156" s="1118"/>
    </row>
    <row r="157" spans="1:64" s="401" customFormat="1" ht="28.8" x14ac:dyDescent="0.3">
      <c r="A157" s="1154">
        <v>507</v>
      </c>
      <c r="B157" s="1222">
        <v>507</v>
      </c>
      <c r="C157" s="1153">
        <v>507</v>
      </c>
      <c r="D157" s="1203" t="s">
        <v>215</v>
      </c>
      <c r="E157" s="1203"/>
      <c r="F157" s="1170">
        <v>0</v>
      </c>
      <c r="G157" s="1171">
        <v>57862</v>
      </c>
      <c r="H157" s="1171">
        <v>44544</v>
      </c>
      <c r="I157" s="1171">
        <v>0</v>
      </c>
      <c r="J157" s="1171">
        <v>0</v>
      </c>
      <c r="K157" s="1171">
        <v>0</v>
      </c>
      <c r="L157" s="1172">
        <v>-5074</v>
      </c>
      <c r="M157" s="1173">
        <v>4763</v>
      </c>
      <c r="N157" s="1173">
        <v>0</v>
      </c>
      <c r="O157" s="1174">
        <v>2</v>
      </c>
      <c r="P157" s="1174">
        <v>-18050</v>
      </c>
      <c r="Q157" s="1174">
        <v>-133516</v>
      </c>
      <c r="R157" s="1174">
        <v>0</v>
      </c>
      <c r="S157" s="1174">
        <v>0</v>
      </c>
      <c r="T157" s="1174">
        <v>0</v>
      </c>
      <c r="U157" s="1174">
        <v>49639</v>
      </c>
      <c r="V157" s="1174">
        <v>-74536</v>
      </c>
      <c r="W157" s="1174">
        <v>0</v>
      </c>
      <c r="X157" s="1174">
        <v>-16355</v>
      </c>
      <c r="Y157" s="1174">
        <v>30340</v>
      </c>
      <c r="Z157" s="1174">
        <v>0</v>
      </c>
      <c r="AA157" s="1174">
        <v>0</v>
      </c>
      <c r="AB157" s="1174">
        <v>0</v>
      </c>
      <c r="AC157" s="1174">
        <v>0</v>
      </c>
      <c r="AD157" s="1173">
        <v>0</v>
      </c>
      <c r="AE157" s="1173">
        <v>23194</v>
      </c>
      <c r="AF157" s="1173">
        <v>0</v>
      </c>
      <c r="AG157" s="1173">
        <v>4996</v>
      </c>
      <c r="AH157" s="1173">
        <v>0</v>
      </c>
      <c r="AI157" s="1173">
        <v>0</v>
      </c>
      <c r="AJ157" s="1173">
        <v>0</v>
      </c>
      <c r="AK157" s="1173">
        <v>0</v>
      </c>
      <c r="AL157" s="1173">
        <v>0</v>
      </c>
      <c r="AM157" s="1173">
        <v>0</v>
      </c>
      <c r="AN157" s="1173">
        <v>-54828</v>
      </c>
      <c r="AO157" s="1173">
        <v>0</v>
      </c>
      <c r="AP157" s="1173">
        <v>0</v>
      </c>
      <c r="AQ157" s="1173">
        <v>0</v>
      </c>
      <c r="AR157" s="1173">
        <v>-61738</v>
      </c>
      <c r="AS157" s="1173">
        <v>0</v>
      </c>
      <c r="AT157" s="1173">
        <v>0</v>
      </c>
      <c r="AU157" s="1173">
        <v>0</v>
      </c>
      <c r="AV157" s="1173">
        <v>0</v>
      </c>
      <c r="AW157" s="1173">
        <v>0</v>
      </c>
      <c r="AX157" s="1173">
        <v>3723</v>
      </c>
      <c r="AY157" s="1173">
        <v>1345985</v>
      </c>
      <c r="AZ157" s="1173">
        <v>0</v>
      </c>
      <c r="BA157" s="1173">
        <v>-5057</v>
      </c>
      <c r="BB157" s="1173">
        <v>4790</v>
      </c>
      <c r="BC157" s="1173">
        <v>-424798</v>
      </c>
      <c r="BD157" s="1173">
        <v>0</v>
      </c>
      <c r="BE157" s="1173">
        <v>0</v>
      </c>
      <c r="BF157" s="1173">
        <v>38206</v>
      </c>
      <c r="BG157" s="1173">
        <v>-33038</v>
      </c>
      <c r="BH157" s="1173">
        <v>38193</v>
      </c>
      <c r="BI157" s="1173">
        <v>0</v>
      </c>
      <c r="BJ157" s="1173">
        <v>5917</v>
      </c>
      <c r="BK157" s="1118"/>
      <c r="BL157" s="1118"/>
    </row>
    <row r="158" spans="1:64" s="401" customFormat="1" x14ac:dyDescent="0.3">
      <c r="A158" s="1154">
        <v>508</v>
      </c>
      <c r="B158" s="1222"/>
      <c r="C158" s="1153">
        <v>508</v>
      </c>
      <c r="D158" s="1203" t="e">
        <v>#VALUE!</v>
      </c>
      <c r="E158" s="1203"/>
      <c r="F158" s="1170"/>
      <c r="G158" s="1171"/>
      <c r="H158" s="1171"/>
      <c r="I158" s="1171"/>
      <c r="J158" s="1171"/>
      <c r="K158" s="1171"/>
      <c r="L158" s="1172"/>
      <c r="M158" s="1173"/>
      <c r="N158" s="1173"/>
      <c r="O158" s="1174"/>
      <c r="P158" s="1174"/>
      <c r="Q158" s="1174"/>
      <c r="R158" s="1174"/>
      <c r="S158" s="1174"/>
      <c r="T158" s="1174"/>
      <c r="U158" s="1174"/>
      <c r="V158" s="1174"/>
      <c r="W158" s="1174"/>
      <c r="X158" s="1174"/>
      <c r="Y158" s="1174"/>
      <c r="Z158" s="1174"/>
      <c r="AA158" s="1174"/>
      <c r="AB158" s="1174"/>
      <c r="AC158" s="1174"/>
      <c r="AD158" s="1173"/>
      <c r="AE158" s="1173"/>
      <c r="AF158" s="1173"/>
      <c r="AG158" s="1173"/>
      <c r="AH158" s="1173"/>
      <c r="AI158" s="1173"/>
      <c r="AJ158" s="1173"/>
      <c r="AK158" s="1173"/>
      <c r="AL158" s="1173"/>
      <c r="AM158" s="1173"/>
      <c r="AN158" s="1173"/>
      <c r="AO158" s="1173"/>
      <c r="AP158" s="1173"/>
      <c r="AQ158" s="1173"/>
      <c r="AR158" s="1173"/>
      <c r="AS158" s="1173"/>
      <c r="AT158" s="1173"/>
      <c r="AU158" s="1173"/>
      <c r="AV158" s="1173"/>
      <c r="AW158" s="1173"/>
      <c r="AX158" s="1173"/>
      <c r="AY158" s="1173"/>
      <c r="AZ158" s="1173"/>
      <c r="BA158" s="1173"/>
      <c r="BB158" s="1173"/>
      <c r="BC158" s="1173"/>
      <c r="BD158" s="1173"/>
      <c r="BE158" s="1173"/>
      <c r="BF158" s="1173"/>
      <c r="BG158" s="1173"/>
      <c r="BH158" s="1173"/>
      <c r="BI158" s="1173"/>
      <c r="BJ158" s="1173"/>
      <c r="BK158" s="1118"/>
      <c r="BL158" s="1118"/>
    </row>
    <row r="159" spans="1:64" s="401" customFormat="1" x14ac:dyDescent="0.3">
      <c r="A159" s="1154">
        <v>509</v>
      </c>
      <c r="B159" s="1222"/>
      <c r="C159" s="1153">
        <v>509</v>
      </c>
      <c r="D159" s="1203" t="e">
        <v>#VALUE!</v>
      </c>
      <c r="E159" s="1203"/>
      <c r="F159" s="1170"/>
      <c r="G159" s="1171"/>
      <c r="H159" s="1171"/>
      <c r="I159" s="1171"/>
      <c r="J159" s="1171"/>
      <c r="K159" s="1171"/>
      <c r="L159" s="1172"/>
      <c r="M159" s="1173"/>
      <c r="N159" s="1173"/>
      <c r="O159" s="1174"/>
      <c r="P159" s="1174"/>
      <c r="Q159" s="1174"/>
      <c r="R159" s="1174"/>
      <c r="S159" s="1174"/>
      <c r="T159" s="1174"/>
      <c r="U159" s="1174"/>
      <c r="V159" s="1174"/>
      <c r="W159" s="1174"/>
      <c r="X159" s="1174"/>
      <c r="Y159" s="1174"/>
      <c r="Z159" s="1174"/>
      <c r="AA159" s="1174"/>
      <c r="AB159" s="1174"/>
      <c r="AC159" s="1174"/>
      <c r="AD159" s="1173"/>
      <c r="AE159" s="1173"/>
      <c r="AF159" s="1173"/>
      <c r="AG159" s="1173"/>
      <c r="AH159" s="1173"/>
      <c r="AI159" s="1173"/>
      <c r="AJ159" s="1173"/>
      <c r="AK159" s="1173"/>
      <c r="AL159" s="1173"/>
      <c r="AM159" s="1173"/>
      <c r="AN159" s="1173"/>
      <c r="AO159" s="1173"/>
      <c r="AP159" s="1173"/>
      <c r="AQ159" s="1173"/>
      <c r="AR159" s="1173"/>
      <c r="AS159" s="1173"/>
      <c r="AT159" s="1173"/>
      <c r="AU159" s="1173"/>
      <c r="AV159" s="1173"/>
      <c r="AW159" s="1173"/>
      <c r="AX159" s="1173"/>
      <c r="AY159" s="1173"/>
      <c r="AZ159" s="1173"/>
      <c r="BA159" s="1173"/>
      <c r="BB159" s="1173"/>
      <c r="BC159" s="1173"/>
      <c r="BD159" s="1173"/>
      <c r="BE159" s="1173"/>
      <c r="BF159" s="1173"/>
      <c r="BG159" s="1173"/>
      <c r="BH159" s="1173"/>
      <c r="BI159" s="1173"/>
      <c r="BJ159" s="1173"/>
      <c r="BK159" s="1118"/>
      <c r="BL159" s="1118"/>
    </row>
    <row r="160" spans="1:64" s="401" customFormat="1" x14ac:dyDescent="0.3">
      <c r="A160" s="1154">
        <v>510</v>
      </c>
      <c r="B160" s="1222"/>
      <c r="C160" s="1153">
        <v>510</v>
      </c>
      <c r="D160" s="1203" t="e">
        <v>#VALUE!</v>
      </c>
      <c r="E160" s="1203"/>
      <c r="F160" s="1170"/>
      <c r="G160" s="1171"/>
      <c r="H160" s="1171"/>
      <c r="I160" s="1171"/>
      <c r="J160" s="1171"/>
      <c r="K160" s="1171"/>
      <c r="L160" s="1172"/>
      <c r="M160" s="1173"/>
      <c r="N160" s="1173"/>
      <c r="O160" s="1174"/>
      <c r="P160" s="1174"/>
      <c r="Q160" s="1174"/>
      <c r="R160" s="1174"/>
      <c r="S160" s="1174"/>
      <c r="T160" s="1174"/>
      <c r="U160" s="1174"/>
      <c r="V160" s="1174"/>
      <c r="W160" s="1174"/>
      <c r="X160" s="1174"/>
      <c r="Y160" s="1174"/>
      <c r="Z160" s="1174"/>
      <c r="AA160" s="1174"/>
      <c r="AB160" s="1174"/>
      <c r="AC160" s="1174"/>
      <c r="AD160" s="1173"/>
      <c r="AE160" s="1173"/>
      <c r="AF160" s="1173"/>
      <c r="AG160" s="1173"/>
      <c r="AH160" s="1173"/>
      <c r="AI160" s="1173"/>
      <c r="AJ160" s="1173"/>
      <c r="AK160" s="1173"/>
      <c r="AL160" s="1173"/>
      <c r="AM160" s="1173"/>
      <c r="AN160" s="1173"/>
      <c r="AO160" s="1173"/>
      <c r="AP160" s="1173"/>
      <c r="AQ160" s="1173"/>
      <c r="AR160" s="1173"/>
      <c r="AS160" s="1173"/>
      <c r="AT160" s="1173"/>
      <c r="AU160" s="1173"/>
      <c r="AV160" s="1173"/>
      <c r="AW160" s="1173"/>
      <c r="AX160" s="1173"/>
      <c r="AY160" s="1173"/>
      <c r="AZ160" s="1173"/>
      <c r="BA160" s="1173"/>
      <c r="BB160" s="1173"/>
      <c r="BC160" s="1173"/>
      <c r="BD160" s="1173"/>
      <c r="BE160" s="1173"/>
      <c r="BF160" s="1173"/>
      <c r="BG160" s="1173"/>
      <c r="BH160" s="1173"/>
      <c r="BI160" s="1173"/>
      <c r="BJ160" s="1173"/>
      <c r="BK160" s="1118"/>
      <c r="BL160" s="1118"/>
    </row>
    <row r="161" spans="1:64" s="401" customFormat="1" x14ac:dyDescent="0.3">
      <c r="A161" s="1154">
        <v>511</v>
      </c>
      <c r="B161" s="1222"/>
      <c r="C161" s="1153">
        <v>511</v>
      </c>
      <c r="D161" s="1203" t="e">
        <v>#VALUE!</v>
      </c>
      <c r="E161" s="1203"/>
      <c r="F161" s="1170"/>
      <c r="G161" s="1171"/>
      <c r="H161" s="1171"/>
      <c r="I161" s="1171"/>
      <c r="J161" s="1171"/>
      <c r="K161" s="1171"/>
      <c r="L161" s="1172"/>
      <c r="M161" s="1173"/>
      <c r="N161" s="1173"/>
      <c r="O161" s="1174"/>
      <c r="P161" s="1174"/>
      <c r="Q161" s="1174"/>
      <c r="R161" s="1174"/>
      <c r="S161" s="1174"/>
      <c r="T161" s="1174"/>
      <c r="U161" s="1174"/>
      <c r="V161" s="1174"/>
      <c r="W161" s="1174"/>
      <c r="X161" s="1174"/>
      <c r="Y161" s="1174"/>
      <c r="Z161" s="1174"/>
      <c r="AA161" s="1174"/>
      <c r="AB161" s="1174"/>
      <c r="AC161" s="1174"/>
      <c r="AD161" s="1173"/>
      <c r="AE161" s="1173"/>
      <c r="AF161" s="1173"/>
      <c r="AG161" s="1173"/>
      <c r="AH161" s="1173"/>
      <c r="AI161" s="1173"/>
      <c r="AJ161" s="1173"/>
      <c r="AK161" s="1173"/>
      <c r="AL161" s="1173"/>
      <c r="AM161" s="1173"/>
      <c r="AN161" s="1173"/>
      <c r="AO161" s="1173"/>
      <c r="AP161" s="1173"/>
      <c r="AQ161" s="1173"/>
      <c r="AR161" s="1173"/>
      <c r="AS161" s="1173"/>
      <c r="AT161" s="1173"/>
      <c r="AU161" s="1173"/>
      <c r="AV161" s="1173"/>
      <c r="AW161" s="1173"/>
      <c r="AX161" s="1173"/>
      <c r="AY161" s="1173"/>
      <c r="AZ161" s="1173"/>
      <c r="BA161" s="1173"/>
      <c r="BB161" s="1173"/>
      <c r="BC161" s="1173"/>
      <c r="BD161" s="1173"/>
      <c r="BE161" s="1173"/>
      <c r="BF161" s="1173"/>
      <c r="BG161" s="1173"/>
      <c r="BH161" s="1173"/>
      <c r="BI161" s="1173"/>
      <c r="BJ161" s="1173"/>
      <c r="BK161" s="1118"/>
      <c r="BL161" s="1118"/>
    </row>
    <row r="162" spans="1:64" s="401" customFormat="1" x14ac:dyDescent="0.3">
      <c r="A162" s="1154">
        <v>512</v>
      </c>
      <c r="B162" s="1222">
        <v>512</v>
      </c>
      <c r="C162" s="1153">
        <v>512</v>
      </c>
      <c r="D162" s="1203" t="s">
        <v>251</v>
      </c>
      <c r="E162" s="1203"/>
      <c r="F162" s="1170">
        <v>0</v>
      </c>
      <c r="G162" s="1171">
        <v>0</v>
      </c>
      <c r="H162" s="1171">
        <v>1450941</v>
      </c>
      <c r="I162" s="1171">
        <v>0</v>
      </c>
      <c r="J162" s="1171">
        <v>0</v>
      </c>
      <c r="K162" s="1171">
        <v>123012</v>
      </c>
      <c r="L162" s="1172">
        <v>0</v>
      </c>
      <c r="M162" s="1173">
        <v>0</v>
      </c>
      <c r="N162" s="1173">
        <v>0</v>
      </c>
      <c r="O162" s="1174">
        <v>0</v>
      </c>
      <c r="P162" s="1174">
        <v>0</v>
      </c>
      <c r="Q162" s="1174">
        <v>358740</v>
      </c>
      <c r="R162" s="1174">
        <v>219660</v>
      </c>
      <c r="S162" s="1174">
        <v>21959</v>
      </c>
      <c r="T162" s="1174">
        <v>0</v>
      </c>
      <c r="U162" s="1174">
        <v>0</v>
      </c>
      <c r="V162" s="1174">
        <v>0</v>
      </c>
      <c r="W162" s="1174">
        <v>234354</v>
      </c>
      <c r="X162" s="1174">
        <v>26974</v>
      </c>
      <c r="Y162" s="1174">
        <v>156503</v>
      </c>
      <c r="Z162" s="1174">
        <v>116578</v>
      </c>
      <c r="AA162" s="1174">
        <v>0</v>
      </c>
      <c r="AB162" s="1174">
        <v>0</v>
      </c>
      <c r="AC162" s="1174">
        <v>0</v>
      </c>
      <c r="AD162" s="1173">
        <v>208960</v>
      </c>
      <c r="AE162" s="1173">
        <v>0</v>
      </c>
      <c r="AF162" s="1173">
        <v>0</v>
      </c>
      <c r="AG162" s="1173">
        <v>0</v>
      </c>
      <c r="AH162" s="1173">
        <v>0</v>
      </c>
      <c r="AI162" s="1173">
        <v>101515</v>
      </c>
      <c r="AJ162" s="1173">
        <v>0</v>
      </c>
      <c r="AK162" s="1173">
        <v>115314</v>
      </c>
      <c r="AL162" s="1173">
        <v>0</v>
      </c>
      <c r="AM162" s="1173">
        <v>244508</v>
      </c>
      <c r="AN162" s="1173">
        <v>4495</v>
      </c>
      <c r="AO162" s="1173">
        <v>126721</v>
      </c>
      <c r="AP162" s="1173">
        <v>0</v>
      </c>
      <c r="AQ162" s="1173">
        <v>0</v>
      </c>
      <c r="AR162" s="1173">
        <v>0</v>
      </c>
      <c r="AS162" s="1173">
        <v>0</v>
      </c>
      <c r="AT162" s="1173">
        <v>0</v>
      </c>
      <c r="AU162" s="1173">
        <v>354069</v>
      </c>
      <c r="AV162" s="1173">
        <v>0</v>
      </c>
      <c r="AW162" s="1173">
        <v>0</v>
      </c>
      <c r="AX162" s="1173">
        <v>0</v>
      </c>
      <c r="AY162" s="1173">
        <v>0</v>
      </c>
      <c r="AZ162" s="1173">
        <v>0</v>
      </c>
      <c r="BA162" s="1173">
        <v>15908</v>
      </c>
      <c r="BB162" s="1173">
        <v>131015</v>
      </c>
      <c r="BC162" s="1173">
        <v>470318</v>
      </c>
      <c r="BD162" s="1173">
        <v>0</v>
      </c>
      <c r="BE162" s="1173">
        <v>157363</v>
      </c>
      <c r="BF162" s="1173">
        <v>57577</v>
      </c>
      <c r="BG162" s="1173">
        <v>135563</v>
      </c>
      <c r="BH162" s="1173">
        <v>0</v>
      </c>
      <c r="BI162" s="1173">
        <v>0</v>
      </c>
      <c r="BJ162" s="1173">
        <v>147665</v>
      </c>
      <c r="BK162" s="1118"/>
      <c r="BL162" s="1118"/>
    </row>
    <row r="163" spans="1:64" s="401" customFormat="1" x14ac:dyDescent="0.3">
      <c r="A163" s="1154">
        <v>513</v>
      </c>
      <c r="B163" s="1222"/>
      <c r="C163" s="1153">
        <v>513</v>
      </c>
      <c r="D163" s="1203" t="e">
        <v>#VALUE!</v>
      </c>
      <c r="E163" s="1203"/>
      <c r="F163" s="1170"/>
      <c r="G163" s="1171"/>
      <c r="H163" s="1171"/>
      <c r="I163" s="1171"/>
      <c r="J163" s="1171"/>
      <c r="K163" s="1171"/>
      <c r="L163" s="1172"/>
      <c r="M163" s="1173"/>
      <c r="N163" s="1173"/>
      <c r="O163" s="1174"/>
      <c r="P163" s="1174"/>
      <c r="Q163" s="1174"/>
      <c r="R163" s="1174"/>
      <c r="S163" s="1174"/>
      <c r="T163" s="1174"/>
      <c r="U163" s="1174"/>
      <c r="V163" s="1174"/>
      <c r="W163" s="1174"/>
      <c r="X163" s="1174"/>
      <c r="Y163" s="1174"/>
      <c r="Z163" s="1174"/>
      <c r="AA163" s="1174"/>
      <c r="AB163" s="1174"/>
      <c r="AC163" s="1174"/>
      <c r="AD163" s="1173"/>
      <c r="AE163" s="1173"/>
      <c r="AF163" s="1173"/>
      <c r="AG163" s="1173"/>
      <c r="AH163" s="1173"/>
      <c r="AI163" s="1173"/>
      <c r="AJ163" s="1173"/>
      <c r="AK163" s="1173"/>
      <c r="AL163" s="1173"/>
      <c r="AM163" s="1173"/>
      <c r="AN163" s="1173"/>
      <c r="AO163" s="1173"/>
      <c r="AP163" s="1173"/>
      <c r="AQ163" s="1173"/>
      <c r="AR163" s="1173"/>
      <c r="AS163" s="1173"/>
      <c r="AT163" s="1173"/>
      <c r="AU163" s="1173"/>
      <c r="AV163" s="1173"/>
      <c r="AW163" s="1173"/>
      <c r="AX163" s="1173"/>
      <c r="AY163" s="1173"/>
      <c r="AZ163" s="1173"/>
      <c r="BA163" s="1173"/>
      <c r="BB163" s="1173"/>
      <c r="BC163" s="1173"/>
      <c r="BD163" s="1173"/>
      <c r="BE163" s="1173"/>
      <c r="BF163" s="1173"/>
      <c r="BG163" s="1173"/>
      <c r="BH163" s="1173"/>
      <c r="BI163" s="1173"/>
      <c r="BJ163" s="1173"/>
      <c r="BK163" s="1118"/>
      <c r="BL163" s="1118"/>
    </row>
    <row r="164" spans="1:64" s="401" customFormat="1" x14ac:dyDescent="0.3">
      <c r="A164" s="1154">
        <v>514</v>
      </c>
      <c r="B164" s="1222"/>
      <c r="C164" s="1153">
        <v>514</v>
      </c>
      <c r="D164" s="1203" t="e">
        <v>#VALUE!</v>
      </c>
      <c r="E164" s="1203"/>
      <c r="F164" s="1170"/>
      <c r="G164" s="1171"/>
      <c r="H164" s="1171"/>
      <c r="I164" s="1171"/>
      <c r="J164" s="1171"/>
      <c r="K164" s="1171"/>
      <c r="L164" s="1172"/>
      <c r="M164" s="1173"/>
      <c r="N164" s="1173"/>
      <c r="O164" s="1174"/>
      <c r="P164" s="1174"/>
      <c r="Q164" s="1174"/>
      <c r="R164" s="1174"/>
      <c r="S164" s="1174"/>
      <c r="T164" s="1174"/>
      <c r="U164" s="1174"/>
      <c r="V164" s="1174"/>
      <c r="W164" s="1174"/>
      <c r="X164" s="1174"/>
      <c r="Y164" s="1174"/>
      <c r="Z164" s="1174"/>
      <c r="AA164" s="1174"/>
      <c r="AB164" s="1174"/>
      <c r="AC164" s="1174"/>
      <c r="AD164" s="1173"/>
      <c r="AE164" s="1173"/>
      <c r="AF164" s="1173"/>
      <c r="AG164" s="1173"/>
      <c r="AH164" s="1173"/>
      <c r="AI164" s="1173"/>
      <c r="AJ164" s="1173"/>
      <c r="AK164" s="1173"/>
      <c r="AL164" s="1173"/>
      <c r="AM164" s="1173"/>
      <c r="AN164" s="1173"/>
      <c r="AO164" s="1173"/>
      <c r="AP164" s="1173"/>
      <c r="AQ164" s="1173"/>
      <c r="AR164" s="1173"/>
      <c r="AS164" s="1173"/>
      <c r="AT164" s="1173"/>
      <c r="AU164" s="1173"/>
      <c r="AV164" s="1173"/>
      <c r="AW164" s="1173"/>
      <c r="AX164" s="1173"/>
      <c r="AY164" s="1173"/>
      <c r="AZ164" s="1173"/>
      <c r="BA164" s="1173"/>
      <c r="BB164" s="1173"/>
      <c r="BC164" s="1173"/>
      <c r="BD164" s="1173"/>
      <c r="BE164" s="1173"/>
      <c r="BF164" s="1173"/>
      <c r="BG164" s="1173"/>
      <c r="BH164" s="1173"/>
      <c r="BI164" s="1173"/>
      <c r="BJ164" s="1173"/>
      <c r="BK164" s="1118"/>
      <c r="BL164" s="1118"/>
    </row>
    <row r="165" spans="1:64" s="401" customFormat="1" x14ac:dyDescent="0.3">
      <c r="A165" s="1154">
        <v>515</v>
      </c>
      <c r="B165" s="1222"/>
      <c r="C165" s="1153">
        <v>515</v>
      </c>
      <c r="D165" s="1203" t="e">
        <v>#VALUE!</v>
      </c>
      <c r="E165" s="1203"/>
      <c r="F165" s="1170"/>
      <c r="G165" s="1171"/>
      <c r="H165" s="1171"/>
      <c r="I165" s="1171"/>
      <c r="J165" s="1171"/>
      <c r="K165" s="1171"/>
      <c r="L165" s="1172"/>
      <c r="M165" s="1173"/>
      <c r="N165" s="1173"/>
      <c r="O165" s="1174"/>
      <c r="P165" s="1174"/>
      <c r="Q165" s="1174"/>
      <c r="R165" s="1174"/>
      <c r="S165" s="1174"/>
      <c r="T165" s="1174"/>
      <c r="U165" s="1174"/>
      <c r="V165" s="1174"/>
      <c r="W165" s="1174"/>
      <c r="X165" s="1174"/>
      <c r="Y165" s="1174"/>
      <c r="Z165" s="1174"/>
      <c r="AA165" s="1174"/>
      <c r="AB165" s="1174"/>
      <c r="AC165" s="1174"/>
      <c r="AD165" s="1173"/>
      <c r="AE165" s="1173"/>
      <c r="AF165" s="1173"/>
      <c r="AG165" s="1173"/>
      <c r="AH165" s="1173"/>
      <c r="AI165" s="1173"/>
      <c r="AJ165" s="1173"/>
      <c r="AK165" s="1173"/>
      <c r="AL165" s="1173"/>
      <c r="AM165" s="1173"/>
      <c r="AN165" s="1173"/>
      <c r="AO165" s="1173"/>
      <c r="AP165" s="1173"/>
      <c r="AQ165" s="1173"/>
      <c r="AR165" s="1173"/>
      <c r="AS165" s="1173"/>
      <c r="AT165" s="1173"/>
      <c r="AU165" s="1173"/>
      <c r="AV165" s="1173"/>
      <c r="AW165" s="1173"/>
      <c r="AX165" s="1173"/>
      <c r="AY165" s="1173"/>
      <c r="AZ165" s="1173"/>
      <c r="BA165" s="1173"/>
      <c r="BB165" s="1173"/>
      <c r="BC165" s="1173"/>
      <c r="BD165" s="1173"/>
      <c r="BE165" s="1173"/>
      <c r="BF165" s="1173"/>
      <c r="BG165" s="1173"/>
      <c r="BH165" s="1173"/>
      <c r="BI165" s="1173"/>
      <c r="BJ165" s="1173"/>
      <c r="BK165" s="1118"/>
      <c r="BL165" s="1118"/>
    </row>
    <row r="166" spans="1:64" s="401" customFormat="1" x14ac:dyDescent="0.3">
      <c r="A166" s="1154">
        <v>516</v>
      </c>
      <c r="B166" s="1222"/>
      <c r="C166" s="1153">
        <v>516</v>
      </c>
      <c r="D166" s="1203" t="e">
        <v>#VALUE!</v>
      </c>
      <c r="E166" s="1203"/>
      <c r="F166" s="1170"/>
      <c r="G166" s="1171"/>
      <c r="H166" s="1171"/>
      <c r="I166" s="1171"/>
      <c r="J166" s="1171"/>
      <c r="K166" s="1171"/>
      <c r="L166" s="1172"/>
      <c r="M166" s="1173"/>
      <c r="N166" s="1173"/>
      <c r="O166" s="1174"/>
      <c r="P166" s="1174"/>
      <c r="Q166" s="1174"/>
      <c r="R166" s="1174"/>
      <c r="S166" s="1174"/>
      <c r="T166" s="1174"/>
      <c r="U166" s="1174"/>
      <c r="V166" s="1174"/>
      <c r="W166" s="1174"/>
      <c r="X166" s="1174"/>
      <c r="Y166" s="1174"/>
      <c r="Z166" s="1174"/>
      <c r="AA166" s="1174"/>
      <c r="AB166" s="1174"/>
      <c r="AC166" s="1174"/>
      <c r="AD166" s="1173"/>
      <c r="AE166" s="1173"/>
      <c r="AF166" s="1173"/>
      <c r="AG166" s="1173"/>
      <c r="AH166" s="1173"/>
      <c r="AI166" s="1173"/>
      <c r="AJ166" s="1173"/>
      <c r="AK166" s="1173"/>
      <c r="AL166" s="1173"/>
      <c r="AM166" s="1173"/>
      <c r="AN166" s="1173"/>
      <c r="AO166" s="1173"/>
      <c r="AP166" s="1173"/>
      <c r="AQ166" s="1173"/>
      <c r="AR166" s="1173"/>
      <c r="AS166" s="1173"/>
      <c r="AT166" s="1173"/>
      <c r="AU166" s="1173"/>
      <c r="AV166" s="1173"/>
      <c r="AW166" s="1173"/>
      <c r="AX166" s="1173"/>
      <c r="AY166" s="1173"/>
      <c r="AZ166" s="1173"/>
      <c r="BA166" s="1173"/>
      <c r="BB166" s="1173"/>
      <c r="BC166" s="1173"/>
      <c r="BD166" s="1173"/>
      <c r="BE166" s="1173"/>
      <c r="BF166" s="1173"/>
      <c r="BG166" s="1173"/>
      <c r="BH166" s="1173"/>
      <c r="BI166" s="1173"/>
      <c r="BJ166" s="1173"/>
      <c r="BK166" s="1118"/>
      <c r="BL166" s="1118"/>
    </row>
    <row r="167" spans="1:64" s="401" customFormat="1" x14ac:dyDescent="0.3">
      <c r="A167" s="1154">
        <v>517</v>
      </c>
      <c r="B167" s="1222"/>
      <c r="C167" s="1153">
        <v>517</v>
      </c>
      <c r="D167" s="1203" t="e">
        <v>#VALUE!</v>
      </c>
      <c r="E167" s="1203"/>
      <c r="F167" s="1170"/>
      <c r="G167" s="1171"/>
      <c r="H167" s="1171"/>
      <c r="I167" s="1171"/>
      <c r="J167" s="1171"/>
      <c r="K167" s="1171"/>
      <c r="L167" s="1172"/>
      <c r="M167" s="1173"/>
      <c r="N167" s="1173"/>
      <c r="O167" s="1174"/>
      <c r="P167" s="1174"/>
      <c r="Q167" s="1174"/>
      <c r="R167" s="1174"/>
      <c r="S167" s="1174"/>
      <c r="T167" s="1174"/>
      <c r="U167" s="1174"/>
      <c r="V167" s="1174"/>
      <c r="W167" s="1174"/>
      <c r="X167" s="1174"/>
      <c r="Y167" s="1174"/>
      <c r="Z167" s="1174"/>
      <c r="AA167" s="1174"/>
      <c r="AB167" s="1174"/>
      <c r="AC167" s="1174"/>
      <c r="AD167" s="1173"/>
      <c r="AE167" s="1173"/>
      <c r="AF167" s="1173"/>
      <c r="AG167" s="1173"/>
      <c r="AH167" s="1173"/>
      <c r="AI167" s="1173"/>
      <c r="AJ167" s="1173"/>
      <c r="AK167" s="1173"/>
      <c r="AL167" s="1173"/>
      <c r="AM167" s="1173"/>
      <c r="AN167" s="1173"/>
      <c r="AO167" s="1173"/>
      <c r="AP167" s="1173"/>
      <c r="AQ167" s="1173"/>
      <c r="AR167" s="1173"/>
      <c r="AS167" s="1173"/>
      <c r="AT167" s="1173"/>
      <c r="AU167" s="1173"/>
      <c r="AV167" s="1173"/>
      <c r="AW167" s="1173"/>
      <c r="AX167" s="1173"/>
      <c r="AY167" s="1173"/>
      <c r="AZ167" s="1173"/>
      <c r="BA167" s="1173"/>
      <c r="BB167" s="1173"/>
      <c r="BC167" s="1173"/>
      <c r="BD167" s="1173"/>
      <c r="BE167" s="1173"/>
      <c r="BF167" s="1173"/>
      <c r="BG167" s="1173"/>
      <c r="BH167" s="1173"/>
      <c r="BI167" s="1173"/>
      <c r="BJ167" s="1173"/>
      <c r="BK167" s="1118"/>
      <c r="BL167" s="1118"/>
    </row>
    <row r="168" spans="1:64" s="401" customFormat="1" x14ac:dyDescent="0.3">
      <c r="A168" s="1154">
        <v>518</v>
      </c>
      <c r="B168" s="1222"/>
      <c r="C168" s="1153">
        <v>518</v>
      </c>
      <c r="D168" s="1203" t="e">
        <v>#VALUE!</v>
      </c>
      <c r="E168" s="1203"/>
      <c r="F168" s="1170"/>
      <c r="G168" s="1171"/>
      <c r="H168" s="1171"/>
      <c r="I168" s="1171"/>
      <c r="J168" s="1171"/>
      <c r="K168" s="1171"/>
      <c r="L168" s="1172"/>
      <c r="M168" s="1173"/>
      <c r="N168" s="1173"/>
      <c r="O168" s="1174"/>
      <c r="P168" s="1174"/>
      <c r="Q168" s="1174"/>
      <c r="R168" s="1174"/>
      <c r="S168" s="1174"/>
      <c r="T168" s="1174"/>
      <c r="U168" s="1174"/>
      <c r="V168" s="1174"/>
      <c r="W168" s="1174"/>
      <c r="X168" s="1174"/>
      <c r="Y168" s="1174"/>
      <c r="Z168" s="1174"/>
      <c r="AA168" s="1174"/>
      <c r="AB168" s="1174"/>
      <c r="AC168" s="1174"/>
      <c r="AD168" s="1173"/>
      <c r="AE168" s="1173"/>
      <c r="AF168" s="1173"/>
      <c r="AG168" s="1173"/>
      <c r="AH168" s="1173"/>
      <c r="AI168" s="1173"/>
      <c r="AJ168" s="1173"/>
      <c r="AK168" s="1173"/>
      <c r="AL168" s="1173"/>
      <c r="AM168" s="1173"/>
      <c r="AN168" s="1173"/>
      <c r="AO168" s="1173"/>
      <c r="AP168" s="1173"/>
      <c r="AQ168" s="1173"/>
      <c r="AR168" s="1173"/>
      <c r="AS168" s="1173"/>
      <c r="AT168" s="1173"/>
      <c r="AU168" s="1173"/>
      <c r="AV168" s="1173"/>
      <c r="AW168" s="1173"/>
      <c r="AX168" s="1173"/>
      <c r="AY168" s="1173"/>
      <c r="AZ168" s="1173"/>
      <c r="BA168" s="1173"/>
      <c r="BB168" s="1173"/>
      <c r="BC168" s="1173"/>
      <c r="BD168" s="1173"/>
      <c r="BE168" s="1173"/>
      <c r="BF168" s="1173"/>
      <c r="BG168" s="1173"/>
      <c r="BH168" s="1173"/>
      <c r="BI168" s="1173"/>
      <c r="BJ168" s="1173"/>
      <c r="BK168" s="1118"/>
      <c r="BL168" s="1118"/>
    </row>
    <row r="169" spans="1:64" s="401" customFormat="1" x14ac:dyDescent="0.3">
      <c r="A169" s="1154">
        <v>519</v>
      </c>
      <c r="B169" s="1222"/>
      <c r="C169" s="1153">
        <v>519</v>
      </c>
      <c r="D169" s="1203" t="e">
        <v>#VALUE!</v>
      </c>
      <c r="E169" s="1203"/>
      <c r="F169" s="1170"/>
      <c r="G169" s="1171"/>
      <c r="H169" s="1171"/>
      <c r="I169" s="1171"/>
      <c r="J169" s="1171"/>
      <c r="K169" s="1171"/>
      <c r="L169" s="1172"/>
      <c r="M169" s="1173"/>
      <c r="N169" s="1173"/>
      <c r="O169" s="1174"/>
      <c r="P169" s="1174"/>
      <c r="Q169" s="1174"/>
      <c r="R169" s="1174"/>
      <c r="S169" s="1174"/>
      <c r="T169" s="1174"/>
      <c r="U169" s="1174"/>
      <c r="V169" s="1174"/>
      <c r="W169" s="1174"/>
      <c r="X169" s="1174"/>
      <c r="Y169" s="1174"/>
      <c r="Z169" s="1174"/>
      <c r="AA169" s="1174"/>
      <c r="AB169" s="1174"/>
      <c r="AC169" s="1174"/>
      <c r="AD169" s="1173"/>
      <c r="AE169" s="1173"/>
      <c r="AF169" s="1173"/>
      <c r="AG169" s="1173"/>
      <c r="AH169" s="1173"/>
      <c r="AI169" s="1173"/>
      <c r="AJ169" s="1173"/>
      <c r="AK169" s="1173"/>
      <c r="AL169" s="1173"/>
      <c r="AM169" s="1173"/>
      <c r="AN169" s="1173"/>
      <c r="AO169" s="1173"/>
      <c r="AP169" s="1173"/>
      <c r="AQ169" s="1173"/>
      <c r="AR169" s="1173"/>
      <c r="AS169" s="1173"/>
      <c r="AT169" s="1173"/>
      <c r="AU169" s="1173"/>
      <c r="AV169" s="1173"/>
      <c r="AW169" s="1173"/>
      <c r="AX169" s="1173"/>
      <c r="AY169" s="1173"/>
      <c r="AZ169" s="1173"/>
      <c r="BA169" s="1173"/>
      <c r="BB169" s="1173"/>
      <c r="BC169" s="1173"/>
      <c r="BD169" s="1173"/>
      <c r="BE169" s="1173"/>
      <c r="BF169" s="1173"/>
      <c r="BG169" s="1173"/>
      <c r="BH169" s="1173"/>
      <c r="BI169" s="1173"/>
      <c r="BJ169" s="1173"/>
      <c r="BK169" s="1118"/>
      <c r="BL169" s="1118"/>
    </row>
    <row r="170" spans="1:64" s="401" customFormat="1" x14ac:dyDescent="0.3">
      <c r="A170" s="1154">
        <v>520</v>
      </c>
      <c r="B170" s="1222"/>
      <c r="C170" s="1153">
        <v>520</v>
      </c>
      <c r="D170" s="1203" t="e">
        <v>#VALUE!</v>
      </c>
      <c r="E170" s="1203"/>
      <c r="F170" s="1170"/>
      <c r="G170" s="1171"/>
      <c r="H170" s="1171"/>
      <c r="I170" s="1171"/>
      <c r="J170" s="1171"/>
      <c r="K170" s="1171"/>
      <c r="L170" s="1172"/>
      <c r="M170" s="1173"/>
      <c r="N170" s="1173"/>
      <c r="O170" s="1174"/>
      <c r="P170" s="1174"/>
      <c r="Q170" s="1174"/>
      <c r="R170" s="1174"/>
      <c r="S170" s="1174"/>
      <c r="T170" s="1174"/>
      <c r="U170" s="1174"/>
      <c r="V170" s="1174"/>
      <c r="W170" s="1174"/>
      <c r="X170" s="1174"/>
      <c r="Y170" s="1174"/>
      <c r="Z170" s="1174"/>
      <c r="AA170" s="1174"/>
      <c r="AB170" s="1174"/>
      <c r="AC170" s="1174"/>
      <c r="AD170" s="1173"/>
      <c r="AE170" s="1173"/>
      <c r="AF170" s="1173"/>
      <c r="AG170" s="1173"/>
      <c r="AH170" s="1173"/>
      <c r="AI170" s="1173"/>
      <c r="AJ170" s="1173"/>
      <c r="AK170" s="1173"/>
      <c r="AL170" s="1173"/>
      <c r="AM170" s="1173"/>
      <c r="AN170" s="1173"/>
      <c r="AO170" s="1173"/>
      <c r="AP170" s="1173"/>
      <c r="AQ170" s="1173"/>
      <c r="AR170" s="1173"/>
      <c r="AS170" s="1173"/>
      <c r="AT170" s="1173"/>
      <c r="AU170" s="1173"/>
      <c r="AV170" s="1173"/>
      <c r="AW170" s="1173"/>
      <c r="AX170" s="1173"/>
      <c r="AY170" s="1173"/>
      <c r="AZ170" s="1173"/>
      <c r="BA170" s="1173"/>
      <c r="BB170" s="1173"/>
      <c r="BC170" s="1173"/>
      <c r="BD170" s="1173"/>
      <c r="BE170" s="1173"/>
      <c r="BF170" s="1173"/>
      <c r="BG170" s="1173"/>
      <c r="BH170" s="1173"/>
      <c r="BI170" s="1173"/>
      <c r="BJ170" s="1173"/>
      <c r="BK170" s="1118"/>
      <c r="BL170" s="1118"/>
    </row>
    <row r="171" spans="1:64" s="401" customFormat="1" x14ac:dyDescent="0.3">
      <c r="A171" s="1154">
        <v>521</v>
      </c>
      <c r="B171" s="1222"/>
      <c r="C171" s="1153">
        <v>521</v>
      </c>
      <c r="D171" s="1203" t="e">
        <v>#VALUE!</v>
      </c>
      <c r="E171" s="1203"/>
      <c r="F171" s="1170"/>
      <c r="G171" s="1171"/>
      <c r="H171" s="1171"/>
      <c r="I171" s="1171"/>
      <c r="J171" s="1171"/>
      <c r="K171" s="1171"/>
      <c r="L171" s="1172"/>
      <c r="M171" s="1173"/>
      <c r="N171" s="1173"/>
      <c r="O171" s="1174"/>
      <c r="P171" s="1174"/>
      <c r="Q171" s="1174"/>
      <c r="R171" s="1174"/>
      <c r="S171" s="1174"/>
      <c r="T171" s="1174"/>
      <c r="U171" s="1174"/>
      <c r="V171" s="1174"/>
      <c r="W171" s="1174"/>
      <c r="X171" s="1174"/>
      <c r="Y171" s="1174"/>
      <c r="Z171" s="1174"/>
      <c r="AA171" s="1174"/>
      <c r="AB171" s="1174"/>
      <c r="AC171" s="1174"/>
      <c r="AD171" s="1173"/>
      <c r="AE171" s="1173"/>
      <c r="AF171" s="1173"/>
      <c r="AG171" s="1173"/>
      <c r="AH171" s="1173"/>
      <c r="AI171" s="1173"/>
      <c r="AJ171" s="1173"/>
      <c r="AK171" s="1173"/>
      <c r="AL171" s="1173"/>
      <c r="AM171" s="1173"/>
      <c r="AN171" s="1173"/>
      <c r="AO171" s="1173"/>
      <c r="AP171" s="1173"/>
      <c r="AQ171" s="1173"/>
      <c r="AR171" s="1173"/>
      <c r="AS171" s="1173"/>
      <c r="AT171" s="1173"/>
      <c r="AU171" s="1173"/>
      <c r="AV171" s="1173"/>
      <c r="AW171" s="1173"/>
      <c r="AX171" s="1173"/>
      <c r="AY171" s="1173"/>
      <c r="AZ171" s="1173"/>
      <c r="BA171" s="1173"/>
      <c r="BB171" s="1173"/>
      <c r="BC171" s="1173"/>
      <c r="BD171" s="1173"/>
      <c r="BE171" s="1173"/>
      <c r="BF171" s="1173"/>
      <c r="BG171" s="1173"/>
      <c r="BH171" s="1173"/>
      <c r="BI171" s="1173"/>
      <c r="BJ171" s="1173"/>
      <c r="BK171" s="1118"/>
      <c r="BL171" s="1118"/>
    </row>
    <row r="172" spans="1:64" s="401" customFormat="1" x14ac:dyDescent="0.3">
      <c r="A172" s="1154">
        <v>522</v>
      </c>
      <c r="B172" s="1222"/>
      <c r="C172" s="1153">
        <v>522</v>
      </c>
      <c r="D172" s="1203" t="e">
        <v>#VALUE!</v>
      </c>
      <c r="E172" s="1203"/>
      <c r="F172" s="1170"/>
      <c r="G172" s="1171"/>
      <c r="H172" s="1171"/>
      <c r="I172" s="1171"/>
      <c r="J172" s="1171"/>
      <c r="K172" s="1171"/>
      <c r="L172" s="1172"/>
      <c r="M172" s="1173"/>
      <c r="N172" s="1173"/>
      <c r="O172" s="1174"/>
      <c r="P172" s="1174"/>
      <c r="Q172" s="1174"/>
      <c r="R172" s="1174"/>
      <c r="S172" s="1174"/>
      <c r="T172" s="1174"/>
      <c r="U172" s="1174"/>
      <c r="V172" s="1174"/>
      <c r="W172" s="1174"/>
      <c r="X172" s="1174"/>
      <c r="Y172" s="1174"/>
      <c r="Z172" s="1174"/>
      <c r="AA172" s="1174"/>
      <c r="AB172" s="1174"/>
      <c r="AC172" s="1174"/>
      <c r="AD172" s="1173"/>
      <c r="AE172" s="1173"/>
      <c r="AF172" s="1173"/>
      <c r="AG172" s="1173"/>
      <c r="AH172" s="1173"/>
      <c r="AI172" s="1173"/>
      <c r="AJ172" s="1173"/>
      <c r="AK172" s="1173"/>
      <c r="AL172" s="1173"/>
      <c r="AM172" s="1173"/>
      <c r="AN172" s="1173"/>
      <c r="AO172" s="1173"/>
      <c r="AP172" s="1173"/>
      <c r="AQ172" s="1173"/>
      <c r="AR172" s="1173"/>
      <c r="AS172" s="1173"/>
      <c r="AT172" s="1173"/>
      <c r="AU172" s="1173"/>
      <c r="AV172" s="1173"/>
      <c r="AW172" s="1173"/>
      <c r="AX172" s="1173"/>
      <c r="AY172" s="1173"/>
      <c r="AZ172" s="1173"/>
      <c r="BA172" s="1173"/>
      <c r="BB172" s="1173"/>
      <c r="BC172" s="1173"/>
      <c r="BD172" s="1173"/>
      <c r="BE172" s="1173"/>
      <c r="BF172" s="1173"/>
      <c r="BG172" s="1173"/>
      <c r="BH172" s="1173"/>
      <c r="BI172" s="1173"/>
      <c r="BJ172" s="1173"/>
      <c r="BK172" s="1118"/>
      <c r="BL172" s="1118"/>
    </row>
    <row r="173" spans="1:64" s="401" customFormat="1" x14ac:dyDescent="0.3">
      <c r="A173" s="1154">
        <v>523</v>
      </c>
      <c r="B173" s="1222"/>
      <c r="C173" s="1153">
        <v>523</v>
      </c>
      <c r="D173" s="1203" t="e">
        <v>#VALUE!</v>
      </c>
      <c r="E173" s="1203"/>
      <c r="F173" s="1170"/>
      <c r="G173" s="1171"/>
      <c r="H173" s="1171"/>
      <c r="I173" s="1171"/>
      <c r="J173" s="1171"/>
      <c r="K173" s="1171"/>
      <c r="L173" s="1172"/>
      <c r="M173" s="1173"/>
      <c r="N173" s="1173"/>
      <c r="O173" s="1174"/>
      <c r="P173" s="1174"/>
      <c r="Q173" s="1174"/>
      <c r="R173" s="1174"/>
      <c r="S173" s="1174"/>
      <c r="T173" s="1174"/>
      <c r="U173" s="1174"/>
      <c r="V173" s="1174"/>
      <c r="W173" s="1174"/>
      <c r="X173" s="1174"/>
      <c r="Y173" s="1174"/>
      <c r="Z173" s="1174"/>
      <c r="AA173" s="1174"/>
      <c r="AB173" s="1174"/>
      <c r="AC173" s="1174"/>
      <c r="AD173" s="1173"/>
      <c r="AE173" s="1173"/>
      <c r="AF173" s="1173"/>
      <c r="AG173" s="1173"/>
      <c r="AH173" s="1173"/>
      <c r="AI173" s="1173"/>
      <c r="AJ173" s="1173"/>
      <c r="AK173" s="1173"/>
      <c r="AL173" s="1173"/>
      <c r="AM173" s="1173"/>
      <c r="AN173" s="1173"/>
      <c r="AO173" s="1173"/>
      <c r="AP173" s="1173"/>
      <c r="AQ173" s="1173"/>
      <c r="AR173" s="1173"/>
      <c r="AS173" s="1173"/>
      <c r="AT173" s="1173"/>
      <c r="AU173" s="1173"/>
      <c r="AV173" s="1173"/>
      <c r="AW173" s="1173"/>
      <c r="AX173" s="1173"/>
      <c r="AY173" s="1173"/>
      <c r="AZ173" s="1173"/>
      <c r="BA173" s="1173"/>
      <c r="BB173" s="1173"/>
      <c r="BC173" s="1173"/>
      <c r="BD173" s="1173"/>
      <c r="BE173" s="1173"/>
      <c r="BF173" s="1173"/>
      <c r="BG173" s="1173"/>
      <c r="BH173" s="1173"/>
      <c r="BI173" s="1173"/>
      <c r="BJ173" s="1173"/>
      <c r="BK173" s="1118"/>
      <c r="BL173" s="1118"/>
    </row>
    <row r="174" spans="1:64" s="401" customFormat="1" x14ac:dyDescent="0.3">
      <c r="A174" s="1154">
        <v>524</v>
      </c>
      <c r="B174" s="1222"/>
      <c r="C174" s="1153">
        <v>524</v>
      </c>
      <c r="D174" s="1203" t="e">
        <v>#VALUE!</v>
      </c>
      <c r="E174" s="1203"/>
      <c r="F174" s="1170"/>
      <c r="G174" s="1171"/>
      <c r="H174" s="1171"/>
      <c r="I174" s="1171"/>
      <c r="J174" s="1171"/>
      <c r="K174" s="1171"/>
      <c r="L174" s="1172"/>
      <c r="M174" s="1173"/>
      <c r="N174" s="1173"/>
      <c r="O174" s="1174"/>
      <c r="P174" s="1174"/>
      <c r="Q174" s="1174"/>
      <c r="R174" s="1174"/>
      <c r="S174" s="1174"/>
      <c r="T174" s="1174"/>
      <c r="U174" s="1174"/>
      <c r="V174" s="1174"/>
      <c r="W174" s="1174"/>
      <c r="X174" s="1174"/>
      <c r="Y174" s="1174"/>
      <c r="Z174" s="1174"/>
      <c r="AA174" s="1174"/>
      <c r="AB174" s="1174"/>
      <c r="AC174" s="1174"/>
      <c r="AD174" s="1173"/>
      <c r="AE174" s="1173"/>
      <c r="AF174" s="1173"/>
      <c r="AG174" s="1173"/>
      <c r="AH174" s="1173"/>
      <c r="AI174" s="1173"/>
      <c r="AJ174" s="1173"/>
      <c r="AK174" s="1173"/>
      <c r="AL174" s="1173"/>
      <c r="AM174" s="1173"/>
      <c r="AN174" s="1173"/>
      <c r="AO174" s="1173"/>
      <c r="AP174" s="1173"/>
      <c r="AQ174" s="1173"/>
      <c r="AR174" s="1173"/>
      <c r="AS174" s="1173"/>
      <c r="AT174" s="1173"/>
      <c r="AU174" s="1173"/>
      <c r="AV174" s="1173"/>
      <c r="AW174" s="1173"/>
      <c r="AX174" s="1173"/>
      <c r="AY174" s="1173"/>
      <c r="AZ174" s="1173"/>
      <c r="BA174" s="1173"/>
      <c r="BB174" s="1173"/>
      <c r="BC174" s="1173"/>
      <c r="BD174" s="1173"/>
      <c r="BE174" s="1173"/>
      <c r="BF174" s="1173"/>
      <c r="BG174" s="1173"/>
      <c r="BH174" s="1173"/>
      <c r="BI174" s="1173"/>
      <c r="BJ174" s="1173"/>
      <c r="BK174" s="1118"/>
      <c r="BL174" s="1118"/>
    </row>
    <row r="175" spans="1:64" s="401" customFormat="1" x14ac:dyDescent="0.3">
      <c r="A175" s="1154">
        <v>525</v>
      </c>
      <c r="B175" s="1222"/>
      <c r="C175" s="1153">
        <v>525</v>
      </c>
      <c r="D175" s="1203" t="e">
        <v>#VALUE!</v>
      </c>
      <c r="E175" s="1203"/>
      <c r="F175" s="1170"/>
      <c r="G175" s="1171"/>
      <c r="H175" s="1171"/>
      <c r="I175" s="1171"/>
      <c r="J175" s="1171"/>
      <c r="K175" s="1171"/>
      <c r="L175" s="1172"/>
      <c r="M175" s="1173"/>
      <c r="N175" s="1173"/>
      <c r="O175" s="1174"/>
      <c r="P175" s="1174"/>
      <c r="Q175" s="1174"/>
      <c r="R175" s="1174"/>
      <c r="S175" s="1174"/>
      <c r="T175" s="1174"/>
      <c r="U175" s="1174"/>
      <c r="V175" s="1174"/>
      <c r="W175" s="1174"/>
      <c r="X175" s="1174"/>
      <c r="Y175" s="1174"/>
      <c r="Z175" s="1174"/>
      <c r="AA175" s="1174"/>
      <c r="AB175" s="1174"/>
      <c r="AC175" s="1174"/>
      <c r="AD175" s="1173"/>
      <c r="AE175" s="1173"/>
      <c r="AF175" s="1173"/>
      <c r="AG175" s="1173"/>
      <c r="AH175" s="1173"/>
      <c r="AI175" s="1173"/>
      <c r="AJ175" s="1173"/>
      <c r="AK175" s="1173"/>
      <c r="AL175" s="1173"/>
      <c r="AM175" s="1173"/>
      <c r="AN175" s="1173"/>
      <c r="AO175" s="1173"/>
      <c r="AP175" s="1173"/>
      <c r="AQ175" s="1173"/>
      <c r="AR175" s="1173"/>
      <c r="AS175" s="1173"/>
      <c r="AT175" s="1173"/>
      <c r="AU175" s="1173"/>
      <c r="AV175" s="1173"/>
      <c r="AW175" s="1173"/>
      <c r="AX175" s="1173"/>
      <c r="AY175" s="1173"/>
      <c r="AZ175" s="1173"/>
      <c r="BA175" s="1173"/>
      <c r="BB175" s="1173"/>
      <c r="BC175" s="1173"/>
      <c r="BD175" s="1173"/>
      <c r="BE175" s="1173"/>
      <c r="BF175" s="1173"/>
      <c r="BG175" s="1173"/>
      <c r="BH175" s="1173"/>
      <c r="BI175" s="1173"/>
      <c r="BJ175" s="1173"/>
      <c r="BK175" s="1118"/>
      <c r="BL175" s="1118"/>
    </row>
    <row r="176" spans="1:64" s="401" customFormat="1" x14ac:dyDescent="0.3">
      <c r="A176" s="1154">
        <v>526</v>
      </c>
      <c r="B176" s="1222"/>
      <c r="C176" s="1153">
        <v>526</v>
      </c>
      <c r="D176" s="1203" t="e">
        <v>#VALUE!</v>
      </c>
      <c r="E176" s="1203"/>
      <c r="F176" s="1170"/>
      <c r="G176" s="1171"/>
      <c r="H176" s="1171"/>
      <c r="I176" s="1171"/>
      <c r="J176" s="1171"/>
      <c r="K176" s="1171"/>
      <c r="L176" s="1172"/>
      <c r="M176" s="1173"/>
      <c r="N176" s="1173"/>
      <c r="O176" s="1174"/>
      <c r="P176" s="1174"/>
      <c r="Q176" s="1174"/>
      <c r="R176" s="1174"/>
      <c r="S176" s="1174"/>
      <c r="T176" s="1174"/>
      <c r="U176" s="1174"/>
      <c r="V176" s="1174"/>
      <c r="W176" s="1174"/>
      <c r="X176" s="1174"/>
      <c r="Y176" s="1174"/>
      <c r="Z176" s="1174"/>
      <c r="AA176" s="1174"/>
      <c r="AB176" s="1174"/>
      <c r="AC176" s="1174"/>
      <c r="AD176" s="1173"/>
      <c r="AE176" s="1173"/>
      <c r="AF176" s="1173"/>
      <c r="AG176" s="1173"/>
      <c r="AH176" s="1173"/>
      <c r="AI176" s="1173"/>
      <c r="AJ176" s="1173"/>
      <c r="AK176" s="1173"/>
      <c r="AL176" s="1173"/>
      <c r="AM176" s="1173"/>
      <c r="AN176" s="1173"/>
      <c r="AO176" s="1173"/>
      <c r="AP176" s="1173"/>
      <c r="AQ176" s="1173"/>
      <c r="AR176" s="1173"/>
      <c r="AS176" s="1173"/>
      <c r="AT176" s="1173"/>
      <c r="AU176" s="1173"/>
      <c r="AV176" s="1173"/>
      <c r="AW176" s="1173"/>
      <c r="AX176" s="1173"/>
      <c r="AY176" s="1173"/>
      <c r="AZ176" s="1173"/>
      <c r="BA176" s="1173"/>
      <c r="BB176" s="1173"/>
      <c r="BC176" s="1173"/>
      <c r="BD176" s="1173"/>
      <c r="BE176" s="1173"/>
      <c r="BF176" s="1173"/>
      <c r="BG176" s="1173"/>
      <c r="BH176" s="1173"/>
      <c r="BI176" s="1173"/>
      <c r="BJ176" s="1173"/>
      <c r="BK176" s="1118"/>
      <c r="BL176" s="1118"/>
    </row>
    <row r="177" spans="1:64" s="401" customFormat="1" x14ac:dyDescent="0.3">
      <c r="A177" s="1154">
        <v>527</v>
      </c>
      <c r="B177" s="1222"/>
      <c r="C177" s="1153">
        <v>527</v>
      </c>
      <c r="D177" s="1203" t="e">
        <v>#VALUE!</v>
      </c>
      <c r="E177" s="1203"/>
      <c r="F177" s="1170"/>
      <c r="G177" s="1171"/>
      <c r="H177" s="1171"/>
      <c r="I177" s="1171"/>
      <c r="J177" s="1171"/>
      <c r="K177" s="1171"/>
      <c r="L177" s="1172"/>
      <c r="M177" s="1173"/>
      <c r="N177" s="1173"/>
      <c r="O177" s="1174"/>
      <c r="P177" s="1174"/>
      <c r="Q177" s="1174"/>
      <c r="R177" s="1174"/>
      <c r="S177" s="1174"/>
      <c r="T177" s="1174"/>
      <c r="U177" s="1174"/>
      <c r="V177" s="1174"/>
      <c r="W177" s="1174"/>
      <c r="X177" s="1174"/>
      <c r="Y177" s="1174"/>
      <c r="Z177" s="1174"/>
      <c r="AA177" s="1174"/>
      <c r="AB177" s="1174"/>
      <c r="AC177" s="1174"/>
      <c r="AD177" s="1173"/>
      <c r="AE177" s="1173"/>
      <c r="AF177" s="1173"/>
      <c r="AG177" s="1173"/>
      <c r="AH177" s="1173"/>
      <c r="AI177" s="1173"/>
      <c r="AJ177" s="1173"/>
      <c r="AK177" s="1173"/>
      <c r="AL177" s="1173"/>
      <c r="AM177" s="1173"/>
      <c r="AN177" s="1173"/>
      <c r="AO177" s="1173"/>
      <c r="AP177" s="1173"/>
      <c r="AQ177" s="1173"/>
      <c r="AR177" s="1173"/>
      <c r="AS177" s="1173"/>
      <c r="AT177" s="1173"/>
      <c r="AU177" s="1173"/>
      <c r="AV177" s="1173"/>
      <c r="AW177" s="1173"/>
      <c r="AX177" s="1173"/>
      <c r="AY177" s="1173"/>
      <c r="AZ177" s="1173"/>
      <c r="BA177" s="1173"/>
      <c r="BB177" s="1173"/>
      <c r="BC177" s="1173"/>
      <c r="BD177" s="1173"/>
      <c r="BE177" s="1173"/>
      <c r="BF177" s="1173"/>
      <c r="BG177" s="1173"/>
      <c r="BH177" s="1173"/>
      <c r="BI177" s="1173"/>
      <c r="BJ177" s="1173"/>
      <c r="BK177" s="1118"/>
      <c r="BL177" s="1118"/>
    </row>
    <row r="178" spans="1:64" s="401" customFormat="1" x14ac:dyDescent="0.3">
      <c r="A178" s="1154">
        <v>528</v>
      </c>
      <c r="B178" s="1222"/>
      <c r="C178" s="1153">
        <v>528</v>
      </c>
      <c r="D178" s="1203" t="e">
        <v>#VALUE!</v>
      </c>
      <c r="E178" s="1203"/>
      <c r="F178" s="1170"/>
      <c r="G178" s="1171"/>
      <c r="H178" s="1171"/>
      <c r="I178" s="1171"/>
      <c r="J178" s="1171"/>
      <c r="K178" s="1171"/>
      <c r="L178" s="1172"/>
      <c r="M178" s="1173"/>
      <c r="N178" s="1173"/>
      <c r="O178" s="1174"/>
      <c r="P178" s="1174"/>
      <c r="Q178" s="1174"/>
      <c r="R178" s="1174"/>
      <c r="S178" s="1174"/>
      <c r="T178" s="1174"/>
      <c r="U178" s="1174"/>
      <c r="V178" s="1174"/>
      <c r="W178" s="1174"/>
      <c r="X178" s="1174"/>
      <c r="Y178" s="1174"/>
      <c r="Z178" s="1174"/>
      <c r="AA178" s="1174"/>
      <c r="AB178" s="1174"/>
      <c r="AC178" s="1174"/>
      <c r="AD178" s="1173"/>
      <c r="AE178" s="1173"/>
      <c r="AF178" s="1173"/>
      <c r="AG178" s="1173"/>
      <c r="AH178" s="1173"/>
      <c r="AI178" s="1173"/>
      <c r="AJ178" s="1173"/>
      <c r="AK178" s="1173"/>
      <c r="AL178" s="1173"/>
      <c r="AM178" s="1173"/>
      <c r="AN178" s="1173"/>
      <c r="AO178" s="1173"/>
      <c r="AP178" s="1173"/>
      <c r="AQ178" s="1173"/>
      <c r="AR178" s="1173"/>
      <c r="AS178" s="1173"/>
      <c r="AT178" s="1173"/>
      <c r="AU178" s="1173"/>
      <c r="AV178" s="1173"/>
      <c r="AW178" s="1173"/>
      <c r="AX178" s="1173"/>
      <c r="AY178" s="1173"/>
      <c r="AZ178" s="1173"/>
      <c r="BA178" s="1173"/>
      <c r="BB178" s="1173"/>
      <c r="BC178" s="1173"/>
      <c r="BD178" s="1173"/>
      <c r="BE178" s="1173"/>
      <c r="BF178" s="1173"/>
      <c r="BG178" s="1173"/>
      <c r="BH178" s="1173"/>
      <c r="BI178" s="1173"/>
      <c r="BJ178" s="1173"/>
      <c r="BK178" s="1118"/>
      <c r="BL178" s="1118"/>
    </row>
    <row r="179" spans="1:64" s="401" customFormat="1" x14ac:dyDescent="0.3">
      <c r="A179" s="1154">
        <v>529</v>
      </c>
      <c r="B179" s="1222"/>
      <c r="C179" s="1153">
        <v>529</v>
      </c>
      <c r="D179" s="1203" t="e">
        <v>#VALUE!</v>
      </c>
      <c r="E179" s="1203"/>
      <c r="F179" s="1170"/>
      <c r="G179" s="1171"/>
      <c r="H179" s="1171"/>
      <c r="I179" s="1171"/>
      <c r="J179" s="1171"/>
      <c r="K179" s="1171"/>
      <c r="L179" s="1172"/>
      <c r="M179" s="1173"/>
      <c r="N179" s="1173"/>
      <c r="O179" s="1174"/>
      <c r="P179" s="1174"/>
      <c r="Q179" s="1174"/>
      <c r="R179" s="1174"/>
      <c r="S179" s="1174"/>
      <c r="T179" s="1174"/>
      <c r="U179" s="1174"/>
      <c r="V179" s="1174"/>
      <c r="W179" s="1174"/>
      <c r="X179" s="1174"/>
      <c r="Y179" s="1174"/>
      <c r="Z179" s="1174"/>
      <c r="AA179" s="1174"/>
      <c r="AB179" s="1174"/>
      <c r="AC179" s="1174"/>
      <c r="AD179" s="1173"/>
      <c r="AE179" s="1173"/>
      <c r="AF179" s="1173"/>
      <c r="AG179" s="1173"/>
      <c r="AH179" s="1173"/>
      <c r="AI179" s="1173"/>
      <c r="AJ179" s="1173"/>
      <c r="AK179" s="1173"/>
      <c r="AL179" s="1173"/>
      <c r="AM179" s="1173"/>
      <c r="AN179" s="1173"/>
      <c r="AO179" s="1173"/>
      <c r="AP179" s="1173"/>
      <c r="AQ179" s="1173"/>
      <c r="AR179" s="1173"/>
      <c r="AS179" s="1173"/>
      <c r="AT179" s="1173"/>
      <c r="AU179" s="1173"/>
      <c r="AV179" s="1173"/>
      <c r="AW179" s="1173"/>
      <c r="AX179" s="1173"/>
      <c r="AY179" s="1173"/>
      <c r="AZ179" s="1173"/>
      <c r="BA179" s="1173"/>
      <c r="BB179" s="1173"/>
      <c r="BC179" s="1173"/>
      <c r="BD179" s="1173"/>
      <c r="BE179" s="1173"/>
      <c r="BF179" s="1173"/>
      <c r="BG179" s="1173"/>
      <c r="BH179" s="1173"/>
      <c r="BI179" s="1173"/>
      <c r="BJ179" s="1173"/>
      <c r="BK179" s="1118"/>
      <c r="BL179" s="1118"/>
    </row>
    <row r="180" spans="1:64" s="401" customFormat="1" x14ac:dyDescent="0.3">
      <c r="A180" s="1154">
        <v>530</v>
      </c>
      <c r="B180" s="1222"/>
      <c r="C180" s="1153">
        <v>530</v>
      </c>
      <c r="D180" s="1203" t="e">
        <v>#VALUE!</v>
      </c>
      <c r="E180" s="1203"/>
      <c r="F180" s="1170"/>
      <c r="G180" s="1171"/>
      <c r="H180" s="1171"/>
      <c r="I180" s="1171"/>
      <c r="J180" s="1171"/>
      <c r="K180" s="1171"/>
      <c r="L180" s="1172"/>
      <c r="M180" s="1173"/>
      <c r="N180" s="1173"/>
      <c r="O180" s="1174"/>
      <c r="P180" s="1174"/>
      <c r="Q180" s="1174"/>
      <c r="R180" s="1174"/>
      <c r="S180" s="1174"/>
      <c r="T180" s="1174"/>
      <c r="U180" s="1174"/>
      <c r="V180" s="1174"/>
      <c r="W180" s="1174"/>
      <c r="X180" s="1174"/>
      <c r="Y180" s="1174"/>
      <c r="Z180" s="1174"/>
      <c r="AA180" s="1174"/>
      <c r="AB180" s="1174"/>
      <c r="AC180" s="1174"/>
      <c r="AD180" s="1173"/>
      <c r="AE180" s="1173"/>
      <c r="AF180" s="1173"/>
      <c r="AG180" s="1173"/>
      <c r="AH180" s="1173"/>
      <c r="AI180" s="1173"/>
      <c r="AJ180" s="1173"/>
      <c r="AK180" s="1173"/>
      <c r="AL180" s="1173"/>
      <c r="AM180" s="1173"/>
      <c r="AN180" s="1173"/>
      <c r="AO180" s="1173"/>
      <c r="AP180" s="1173"/>
      <c r="AQ180" s="1173"/>
      <c r="AR180" s="1173"/>
      <c r="AS180" s="1173"/>
      <c r="AT180" s="1173"/>
      <c r="AU180" s="1173"/>
      <c r="AV180" s="1173"/>
      <c r="AW180" s="1173"/>
      <c r="AX180" s="1173"/>
      <c r="AY180" s="1173"/>
      <c r="AZ180" s="1173"/>
      <c r="BA180" s="1173"/>
      <c r="BB180" s="1173"/>
      <c r="BC180" s="1173"/>
      <c r="BD180" s="1173"/>
      <c r="BE180" s="1173"/>
      <c r="BF180" s="1173"/>
      <c r="BG180" s="1173"/>
      <c r="BH180" s="1173"/>
      <c r="BI180" s="1173"/>
      <c r="BJ180" s="1173"/>
      <c r="BK180" s="1118"/>
      <c r="BL180" s="1118"/>
    </row>
    <row r="181" spans="1:64" s="401" customFormat="1" x14ac:dyDescent="0.3">
      <c r="A181" s="1154">
        <v>531</v>
      </c>
      <c r="B181" s="1222"/>
      <c r="C181" s="1153">
        <v>531</v>
      </c>
      <c r="D181" s="1203" t="e">
        <v>#VALUE!</v>
      </c>
      <c r="E181" s="1203"/>
      <c r="F181" s="1170"/>
      <c r="G181" s="1171"/>
      <c r="H181" s="1171"/>
      <c r="I181" s="1171"/>
      <c r="J181" s="1171"/>
      <c r="K181" s="1171"/>
      <c r="L181" s="1172"/>
      <c r="M181" s="1173"/>
      <c r="N181" s="1173"/>
      <c r="O181" s="1174"/>
      <c r="P181" s="1174"/>
      <c r="Q181" s="1174"/>
      <c r="R181" s="1174"/>
      <c r="S181" s="1174"/>
      <c r="T181" s="1174"/>
      <c r="U181" s="1174"/>
      <c r="V181" s="1174"/>
      <c r="W181" s="1174"/>
      <c r="X181" s="1174"/>
      <c r="Y181" s="1174"/>
      <c r="Z181" s="1174"/>
      <c r="AA181" s="1174"/>
      <c r="AB181" s="1174"/>
      <c r="AC181" s="1174"/>
      <c r="AD181" s="1173"/>
      <c r="AE181" s="1173"/>
      <c r="AF181" s="1173"/>
      <c r="AG181" s="1173"/>
      <c r="AH181" s="1173"/>
      <c r="AI181" s="1173"/>
      <c r="AJ181" s="1173"/>
      <c r="AK181" s="1173"/>
      <c r="AL181" s="1173"/>
      <c r="AM181" s="1173"/>
      <c r="AN181" s="1173"/>
      <c r="AO181" s="1173"/>
      <c r="AP181" s="1173"/>
      <c r="AQ181" s="1173"/>
      <c r="AR181" s="1173"/>
      <c r="AS181" s="1173"/>
      <c r="AT181" s="1173"/>
      <c r="AU181" s="1173"/>
      <c r="AV181" s="1173"/>
      <c r="AW181" s="1173"/>
      <c r="AX181" s="1173"/>
      <c r="AY181" s="1173"/>
      <c r="AZ181" s="1173"/>
      <c r="BA181" s="1173"/>
      <c r="BB181" s="1173"/>
      <c r="BC181" s="1173"/>
      <c r="BD181" s="1173"/>
      <c r="BE181" s="1173"/>
      <c r="BF181" s="1173"/>
      <c r="BG181" s="1173"/>
      <c r="BH181" s="1173"/>
      <c r="BI181" s="1173"/>
      <c r="BJ181" s="1173"/>
      <c r="BK181" s="1118"/>
      <c r="BL181" s="1118"/>
    </row>
    <row r="182" spans="1:64" s="401" customFormat="1" x14ac:dyDescent="0.3">
      <c r="A182" s="1154">
        <v>532</v>
      </c>
      <c r="B182" s="1222">
        <v>532</v>
      </c>
      <c r="C182" s="1153">
        <v>532</v>
      </c>
      <c r="D182" s="1203" t="s">
        <v>353</v>
      </c>
      <c r="E182" s="1203"/>
      <c r="F182" s="1170">
        <v>11555047</v>
      </c>
      <c r="G182" s="1171">
        <v>17217181</v>
      </c>
      <c r="H182" s="1171">
        <v>10058639</v>
      </c>
      <c r="I182" s="1171">
        <v>5128938</v>
      </c>
      <c r="J182" s="1171">
        <v>19631410</v>
      </c>
      <c r="K182" s="1171">
        <v>9740393</v>
      </c>
      <c r="L182" s="1172">
        <v>3004493</v>
      </c>
      <c r="M182" s="1173">
        <v>6607374</v>
      </c>
      <c r="N182" s="1173">
        <v>12569730</v>
      </c>
      <c r="O182" s="1174">
        <v>2376184</v>
      </c>
      <c r="P182" s="1174">
        <v>5448273</v>
      </c>
      <c r="Q182" s="1174">
        <v>30482557</v>
      </c>
      <c r="R182" s="1174">
        <v>18295072</v>
      </c>
      <c r="S182" s="1174">
        <v>2859422</v>
      </c>
      <c r="T182" s="1174">
        <v>181643</v>
      </c>
      <c r="U182" s="1174">
        <v>22758966</v>
      </c>
      <c r="V182" s="1174">
        <v>79968216</v>
      </c>
      <c r="W182" s="1174">
        <v>6461524</v>
      </c>
      <c r="X182" s="1174">
        <v>3723613</v>
      </c>
      <c r="Y182" s="1174">
        <v>52424089</v>
      </c>
      <c r="Z182" s="1174">
        <v>34000785</v>
      </c>
      <c r="AA182" s="1174">
        <v>3735257</v>
      </c>
      <c r="AB182" s="1174">
        <v>18174889</v>
      </c>
      <c r="AC182" s="1174">
        <v>2785354</v>
      </c>
      <c r="AD182" s="1173">
        <v>9876199</v>
      </c>
      <c r="AE182" s="1173">
        <v>39523776</v>
      </c>
      <c r="AF182" s="1173">
        <v>5143681</v>
      </c>
      <c r="AG182" s="1173">
        <v>25079775</v>
      </c>
      <c r="AH182" s="1173">
        <v>8586227</v>
      </c>
      <c r="AI182" s="1173">
        <v>4042867</v>
      </c>
      <c r="AJ182" s="1173">
        <v>17622099</v>
      </c>
      <c r="AK182" s="1173">
        <v>17349614</v>
      </c>
      <c r="AL182" s="1173">
        <v>38608688</v>
      </c>
      <c r="AM182" s="1173">
        <v>14308390</v>
      </c>
      <c r="AN182" s="1173">
        <v>10421769</v>
      </c>
      <c r="AO182" s="1173">
        <v>14442238</v>
      </c>
      <c r="AP182" s="1173">
        <v>12746052</v>
      </c>
      <c r="AQ182" s="1173">
        <v>12747273</v>
      </c>
      <c r="AR182" s="1173">
        <v>10329642</v>
      </c>
      <c r="AS182" s="1173">
        <v>995816</v>
      </c>
      <c r="AT182" s="1173">
        <v>5586384</v>
      </c>
      <c r="AU182" s="1173">
        <v>12393943</v>
      </c>
      <c r="AV182" s="1173">
        <v>690179</v>
      </c>
      <c r="AW182" s="1173">
        <v>103123063</v>
      </c>
      <c r="AX182" s="1173">
        <v>7315892</v>
      </c>
      <c r="AY182" s="1173">
        <v>491593892</v>
      </c>
      <c r="AZ182" s="1173">
        <v>4420854</v>
      </c>
      <c r="BA182" s="1173">
        <v>1565673</v>
      </c>
      <c r="BB182" s="1173">
        <v>15132718</v>
      </c>
      <c r="BC182" s="1173">
        <v>21670213</v>
      </c>
      <c r="BD182" s="1173">
        <v>1611237</v>
      </c>
      <c r="BE182" s="1173">
        <v>1886330</v>
      </c>
      <c r="BF182" s="1173">
        <v>17663056</v>
      </c>
      <c r="BG182" s="1173">
        <v>19444026</v>
      </c>
      <c r="BH182" s="1173">
        <v>124977535</v>
      </c>
      <c r="BI182" s="1173">
        <v>6347288</v>
      </c>
      <c r="BJ182" s="1173">
        <v>3036130</v>
      </c>
      <c r="BK182" s="1118"/>
      <c r="BL182" s="1118"/>
    </row>
    <row r="183" spans="1:64" s="401" customFormat="1" x14ac:dyDescent="0.3">
      <c r="A183" s="1154">
        <v>533</v>
      </c>
      <c r="B183" s="1222">
        <v>533</v>
      </c>
      <c r="C183" s="1153">
        <v>533</v>
      </c>
      <c r="D183" s="1203" t="s">
        <v>354</v>
      </c>
      <c r="E183" s="1203"/>
      <c r="F183" s="1170">
        <v>0</v>
      </c>
      <c r="G183" s="1171">
        <v>0</v>
      </c>
      <c r="H183" s="1171">
        <v>0</v>
      </c>
      <c r="I183" s="1171">
        <v>0</v>
      </c>
      <c r="J183" s="1171">
        <v>0</v>
      </c>
      <c r="K183" s="1171">
        <v>0</v>
      </c>
      <c r="L183" s="1172">
        <v>0</v>
      </c>
      <c r="M183" s="1173">
        <v>0</v>
      </c>
      <c r="N183" s="1173">
        <v>0</v>
      </c>
      <c r="O183" s="1174">
        <v>0</v>
      </c>
      <c r="P183" s="1174">
        <v>0</v>
      </c>
      <c r="Q183" s="1174">
        <v>0</v>
      </c>
      <c r="R183" s="1174">
        <v>0</v>
      </c>
      <c r="S183" s="1174">
        <v>0</v>
      </c>
      <c r="T183" s="1174">
        <v>0</v>
      </c>
      <c r="U183" s="1174">
        <v>0</v>
      </c>
      <c r="V183" s="1174">
        <v>0</v>
      </c>
      <c r="W183" s="1174">
        <v>0</v>
      </c>
      <c r="X183" s="1174">
        <v>0</v>
      </c>
      <c r="Y183" s="1174">
        <v>0</v>
      </c>
      <c r="Z183" s="1174">
        <v>0</v>
      </c>
      <c r="AA183" s="1174">
        <v>0</v>
      </c>
      <c r="AB183" s="1174">
        <v>0</v>
      </c>
      <c r="AC183" s="1174">
        <v>0</v>
      </c>
      <c r="AD183" s="1173">
        <v>0</v>
      </c>
      <c r="AE183" s="1173">
        <v>0</v>
      </c>
      <c r="AF183" s="1173">
        <v>0</v>
      </c>
      <c r="AG183" s="1173">
        <v>0</v>
      </c>
      <c r="AH183" s="1173">
        <v>0</v>
      </c>
      <c r="AI183" s="1173">
        <v>0</v>
      </c>
      <c r="AJ183" s="1173">
        <v>0</v>
      </c>
      <c r="AK183" s="1173">
        <v>1461210</v>
      </c>
      <c r="AL183" s="1173">
        <v>0</v>
      </c>
      <c r="AM183" s="1173">
        <v>0</v>
      </c>
      <c r="AN183" s="1173">
        <v>0</v>
      </c>
      <c r="AO183" s="1173">
        <v>0</v>
      </c>
      <c r="AP183" s="1173">
        <v>0</v>
      </c>
      <c r="AQ183" s="1173">
        <v>0</v>
      </c>
      <c r="AR183" s="1173">
        <v>0</v>
      </c>
      <c r="AS183" s="1173">
        <v>0</v>
      </c>
      <c r="AT183" s="1173">
        <v>0</v>
      </c>
      <c r="AU183" s="1173">
        <v>0</v>
      </c>
      <c r="AV183" s="1173">
        <v>0</v>
      </c>
      <c r="AW183" s="1173">
        <v>0</v>
      </c>
      <c r="AX183" s="1173">
        <v>0</v>
      </c>
      <c r="AY183" s="1173">
        <v>301733</v>
      </c>
      <c r="AZ183" s="1173">
        <v>0</v>
      </c>
      <c r="BA183" s="1173">
        <v>0</v>
      </c>
      <c r="BB183" s="1173">
        <v>0</v>
      </c>
      <c r="BC183" s="1173">
        <v>0</v>
      </c>
      <c r="BD183" s="1173">
        <v>0</v>
      </c>
      <c r="BE183" s="1173">
        <v>0</v>
      </c>
      <c r="BF183" s="1173">
        <v>0</v>
      </c>
      <c r="BG183" s="1173">
        <v>0</v>
      </c>
      <c r="BH183" s="1173">
        <v>0</v>
      </c>
      <c r="BI183" s="1173">
        <v>0</v>
      </c>
      <c r="BJ183" s="1173">
        <v>0</v>
      </c>
      <c r="BK183" s="1118"/>
      <c r="BL183" s="1118"/>
    </row>
    <row r="184" spans="1:64" s="401" customFormat="1" ht="43.2" x14ac:dyDescent="0.3">
      <c r="A184" s="1154">
        <v>534</v>
      </c>
      <c r="B184" s="1222"/>
      <c r="C184" s="1153">
        <v>534</v>
      </c>
      <c r="D184" s="1203" t="s">
        <v>270</v>
      </c>
      <c r="E184" s="1203"/>
      <c r="F184" s="1170"/>
      <c r="G184" s="1171"/>
      <c r="H184" s="1171"/>
      <c r="I184" s="1171"/>
      <c r="J184" s="1171"/>
      <c r="K184" s="1171"/>
      <c r="L184" s="1172"/>
      <c r="M184" s="1173"/>
      <c r="N184" s="1173"/>
      <c r="O184" s="1174"/>
      <c r="P184" s="1174"/>
      <c r="Q184" s="1174"/>
      <c r="R184" s="1174"/>
      <c r="S184" s="1174"/>
      <c r="T184" s="1174"/>
      <c r="U184" s="1174"/>
      <c r="V184" s="1174"/>
      <c r="W184" s="1174"/>
      <c r="X184" s="1174"/>
      <c r="Y184" s="1174"/>
      <c r="Z184" s="1174"/>
      <c r="AA184" s="1174"/>
      <c r="AB184" s="1174"/>
      <c r="AC184" s="1174"/>
      <c r="AD184" s="1173"/>
      <c r="AE184" s="1173"/>
      <c r="AF184" s="1173"/>
      <c r="AG184" s="1173"/>
      <c r="AH184" s="1173"/>
      <c r="AI184" s="1173"/>
      <c r="AJ184" s="1173"/>
      <c r="AK184" s="1173"/>
      <c r="AL184" s="1173"/>
      <c r="AM184" s="1173"/>
      <c r="AN184" s="1173"/>
      <c r="AO184" s="1173"/>
      <c r="AP184" s="1173"/>
      <c r="AQ184" s="1173"/>
      <c r="AR184" s="1173"/>
      <c r="AS184" s="1173"/>
      <c r="AT184" s="1173"/>
      <c r="AU184" s="1173"/>
      <c r="AV184" s="1173"/>
      <c r="AW184" s="1173"/>
      <c r="AX184" s="1173"/>
      <c r="AY184" s="1173"/>
      <c r="AZ184" s="1173"/>
      <c r="BA184" s="1173"/>
      <c r="BB184" s="1173"/>
      <c r="BC184" s="1173"/>
      <c r="BD184" s="1173"/>
      <c r="BE184" s="1173"/>
      <c r="BF184" s="1173"/>
      <c r="BG184" s="1173"/>
      <c r="BH184" s="1173"/>
      <c r="BI184" s="1173"/>
      <c r="BJ184" s="1173"/>
      <c r="BK184" s="1118"/>
      <c r="BL184" s="1118"/>
    </row>
    <row r="185" spans="1:64" s="401" customFormat="1" ht="28.8" x14ac:dyDescent="0.3">
      <c r="A185" s="1154">
        <v>535</v>
      </c>
      <c r="B185" s="1222"/>
      <c r="C185" s="1153">
        <v>535</v>
      </c>
      <c r="D185" s="1203" t="s">
        <v>1420</v>
      </c>
      <c r="E185" s="1203"/>
      <c r="F185" s="1170"/>
      <c r="G185" s="1171"/>
      <c r="H185" s="1171"/>
      <c r="I185" s="1171"/>
      <c r="J185" s="1171"/>
      <c r="K185" s="1171"/>
      <c r="L185" s="1172"/>
      <c r="M185" s="1173"/>
      <c r="N185" s="1173"/>
      <c r="O185" s="1174"/>
      <c r="P185" s="1174"/>
      <c r="Q185" s="1174"/>
      <c r="R185" s="1174"/>
      <c r="S185" s="1174"/>
      <c r="T185" s="1174"/>
      <c r="U185" s="1174"/>
      <c r="V185" s="1174"/>
      <c r="W185" s="1174"/>
      <c r="X185" s="1174"/>
      <c r="Y185" s="1174"/>
      <c r="Z185" s="1174"/>
      <c r="AA185" s="1174"/>
      <c r="AB185" s="1174"/>
      <c r="AC185" s="1174"/>
      <c r="AD185" s="1173"/>
      <c r="AE185" s="1173"/>
      <c r="AF185" s="1173"/>
      <c r="AG185" s="1173"/>
      <c r="AH185" s="1173"/>
      <c r="AI185" s="1173"/>
      <c r="AJ185" s="1173"/>
      <c r="AK185" s="1173"/>
      <c r="AL185" s="1173"/>
      <c r="AM185" s="1173"/>
      <c r="AN185" s="1173"/>
      <c r="AO185" s="1173"/>
      <c r="AP185" s="1173"/>
      <c r="AQ185" s="1173"/>
      <c r="AR185" s="1173"/>
      <c r="AS185" s="1173"/>
      <c r="AT185" s="1173"/>
      <c r="AU185" s="1173"/>
      <c r="AV185" s="1173"/>
      <c r="AW185" s="1173"/>
      <c r="AX185" s="1173"/>
      <c r="AY185" s="1173"/>
      <c r="AZ185" s="1173"/>
      <c r="BA185" s="1173"/>
      <c r="BB185" s="1173"/>
      <c r="BC185" s="1173"/>
      <c r="BD185" s="1173"/>
      <c r="BE185" s="1173"/>
      <c r="BF185" s="1173"/>
      <c r="BG185" s="1173"/>
      <c r="BH185" s="1173"/>
      <c r="BI185" s="1173"/>
      <c r="BJ185" s="1173"/>
      <c r="BK185" s="1118"/>
      <c r="BL185" s="1118"/>
    </row>
    <row r="186" spans="1:64" s="401" customFormat="1" ht="28.8" x14ac:dyDescent="0.3">
      <c r="A186" s="1154">
        <v>536</v>
      </c>
      <c r="B186" s="1222">
        <v>536</v>
      </c>
      <c r="C186" s="1153">
        <v>536</v>
      </c>
      <c r="D186" s="1203" t="s">
        <v>198</v>
      </c>
      <c r="E186" s="1203"/>
      <c r="F186" s="1170">
        <v>0</v>
      </c>
      <c r="G186" s="1171">
        <v>0</v>
      </c>
      <c r="H186" s="1171">
        <v>0</v>
      </c>
      <c r="I186" s="1171">
        <v>0</v>
      </c>
      <c r="J186" s="1171">
        <v>0</v>
      </c>
      <c r="K186" s="1171">
        <v>0</v>
      </c>
      <c r="L186" s="1172">
        <v>0</v>
      </c>
      <c r="M186" s="1173">
        <v>0</v>
      </c>
      <c r="N186" s="1173">
        <v>0</v>
      </c>
      <c r="O186" s="1174">
        <v>0</v>
      </c>
      <c r="P186" s="1174">
        <v>0</v>
      </c>
      <c r="Q186" s="1174">
        <v>0</v>
      </c>
      <c r="R186" s="1174">
        <v>0</v>
      </c>
      <c r="S186" s="1174">
        <v>0</v>
      </c>
      <c r="T186" s="1174">
        <v>0</v>
      </c>
      <c r="U186" s="1174">
        <v>0</v>
      </c>
      <c r="V186" s="1174">
        <v>0</v>
      </c>
      <c r="W186" s="1174">
        <v>0</v>
      </c>
      <c r="X186" s="1174">
        <v>0</v>
      </c>
      <c r="Y186" s="1174">
        <v>0</v>
      </c>
      <c r="Z186" s="1174">
        <v>0</v>
      </c>
      <c r="AA186" s="1174">
        <v>0</v>
      </c>
      <c r="AB186" s="1174">
        <v>0</v>
      </c>
      <c r="AC186" s="1174">
        <v>0</v>
      </c>
      <c r="AD186" s="1173">
        <v>0</v>
      </c>
      <c r="AE186" s="1173">
        <v>0</v>
      </c>
      <c r="AF186" s="1173">
        <v>0</v>
      </c>
      <c r="AG186" s="1173">
        <v>0</v>
      </c>
      <c r="AH186" s="1173">
        <v>0</v>
      </c>
      <c r="AI186" s="1173">
        <v>0</v>
      </c>
      <c r="AJ186" s="1173">
        <v>0</v>
      </c>
      <c r="AK186" s="1173">
        <v>0</v>
      </c>
      <c r="AL186" s="1173">
        <v>0</v>
      </c>
      <c r="AM186" s="1173">
        <v>0</v>
      </c>
      <c r="AN186" s="1173">
        <v>0</v>
      </c>
      <c r="AO186" s="1173">
        <v>0</v>
      </c>
      <c r="AP186" s="1173">
        <v>0</v>
      </c>
      <c r="AQ186" s="1173">
        <v>0</v>
      </c>
      <c r="AR186" s="1173">
        <v>0</v>
      </c>
      <c r="AS186" s="1173">
        <v>0</v>
      </c>
      <c r="AT186" s="1173">
        <v>0</v>
      </c>
      <c r="AU186" s="1173">
        <v>0</v>
      </c>
      <c r="AV186" s="1173">
        <v>13001</v>
      </c>
      <c r="AW186" s="1173">
        <v>0</v>
      </c>
      <c r="AX186" s="1173">
        <v>0</v>
      </c>
      <c r="AY186" s="1173">
        <v>1170115</v>
      </c>
      <c r="AZ186" s="1173">
        <v>0</v>
      </c>
      <c r="BA186" s="1173">
        <v>0</v>
      </c>
      <c r="BB186" s="1173">
        <v>0</v>
      </c>
      <c r="BC186" s="1173">
        <v>0</v>
      </c>
      <c r="BD186" s="1173">
        <v>0</v>
      </c>
      <c r="BE186" s="1173">
        <v>0</v>
      </c>
      <c r="BF186" s="1173">
        <v>0</v>
      </c>
      <c r="BG186" s="1173">
        <v>0</v>
      </c>
      <c r="BH186" s="1173">
        <v>0</v>
      </c>
      <c r="BI186" s="1173">
        <v>0</v>
      </c>
      <c r="BJ186" s="1173">
        <v>0</v>
      </c>
      <c r="BK186" s="1118"/>
      <c r="BL186" s="1118"/>
    </row>
    <row r="187" spans="1:64" s="401" customFormat="1" x14ac:dyDescent="0.3">
      <c r="A187" s="1154">
        <v>537</v>
      </c>
      <c r="B187" s="1222"/>
      <c r="C187" s="1153">
        <v>537</v>
      </c>
      <c r="D187" s="1203"/>
      <c r="E187" s="1203"/>
      <c r="F187" s="1170"/>
      <c r="G187" s="1171"/>
      <c r="H187" s="1171"/>
      <c r="I187" s="1171"/>
      <c r="J187" s="1171"/>
      <c r="K187" s="1171"/>
      <c r="L187" s="1172"/>
      <c r="M187" s="1173"/>
      <c r="N187" s="1173"/>
      <c r="O187" s="1174"/>
      <c r="P187" s="1174"/>
      <c r="Q187" s="1174"/>
      <c r="R187" s="1174"/>
      <c r="S187" s="1174"/>
      <c r="T187" s="1174"/>
      <c r="U187" s="1174"/>
      <c r="V187" s="1174"/>
      <c r="W187" s="1174"/>
      <c r="X187" s="1174"/>
      <c r="Y187" s="1174"/>
      <c r="Z187" s="1174"/>
      <c r="AA187" s="1174"/>
      <c r="AB187" s="1174"/>
      <c r="AC187" s="1174"/>
      <c r="AD187" s="1173"/>
      <c r="AE187" s="1173"/>
      <c r="AF187" s="1173"/>
      <c r="AG187" s="1173"/>
      <c r="AH187" s="1173"/>
      <c r="AI187" s="1173"/>
      <c r="AJ187" s="1173"/>
      <c r="AK187" s="1173"/>
      <c r="AL187" s="1173"/>
      <c r="AM187" s="1173"/>
      <c r="AN187" s="1173"/>
      <c r="AO187" s="1173"/>
      <c r="AP187" s="1173"/>
      <c r="AQ187" s="1173"/>
      <c r="AR187" s="1173"/>
      <c r="AS187" s="1173"/>
      <c r="AT187" s="1173"/>
      <c r="AU187" s="1173"/>
      <c r="AV187" s="1173"/>
      <c r="AW187" s="1173"/>
      <c r="AX187" s="1173"/>
      <c r="AY187" s="1173"/>
      <c r="AZ187" s="1173"/>
      <c r="BA187" s="1173"/>
      <c r="BB187" s="1173"/>
      <c r="BC187" s="1173"/>
      <c r="BD187" s="1173"/>
      <c r="BE187" s="1173"/>
      <c r="BF187" s="1173"/>
      <c r="BG187" s="1173"/>
      <c r="BH187" s="1173"/>
      <c r="BI187" s="1173"/>
      <c r="BJ187" s="1173"/>
      <c r="BK187" s="1118"/>
      <c r="BL187" s="1118"/>
    </row>
    <row r="188" spans="1:64" s="401" customFormat="1" x14ac:dyDescent="0.3">
      <c r="A188" s="1154">
        <v>538</v>
      </c>
      <c r="B188" s="1222"/>
      <c r="C188" s="1153">
        <v>538</v>
      </c>
      <c r="D188" s="1203"/>
      <c r="E188" s="1203"/>
      <c r="F188" s="1170"/>
      <c r="G188" s="1171"/>
      <c r="H188" s="1171"/>
      <c r="I188" s="1171"/>
      <c r="J188" s="1171"/>
      <c r="K188" s="1171"/>
      <c r="L188" s="1172"/>
      <c r="M188" s="1173"/>
      <c r="N188" s="1173"/>
      <c r="O188" s="1174"/>
      <c r="P188" s="1174"/>
      <c r="Q188" s="1174"/>
      <c r="R188" s="1174"/>
      <c r="S188" s="1174"/>
      <c r="T188" s="1174"/>
      <c r="U188" s="1174"/>
      <c r="V188" s="1174"/>
      <c r="W188" s="1174"/>
      <c r="X188" s="1174"/>
      <c r="Y188" s="1174"/>
      <c r="Z188" s="1174"/>
      <c r="AA188" s="1174"/>
      <c r="AB188" s="1174"/>
      <c r="AC188" s="1174"/>
      <c r="AD188" s="1173"/>
      <c r="AE188" s="1173"/>
      <c r="AF188" s="1173"/>
      <c r="AG188" s="1173"/>
      <c r="AH188" s="1173"/>
      <c r="AI188" s="1173"/>
      <c r="AJ188" s="1173"/>
      <c r="AK188" s="1173"/>
      <c r="AL188" s="1173"/>
      <c r="AM188" s="1173"/>
      <c r="AN188" s="1173"/>
      <c r="AO188" s="1173"/>
      <c r="AP188" s="1173"/>
      <c r="AQ188" s="1173"/>
      <c r="AR188" s="1173"/>
      <c r="AS188" s="1173"/>
      <c r="AT188" s="1173"/>
      <c r="AU188" s="1173"/>
      <c r="AV188" s="1173"/>
      <c r="AW188" s="1173"/>
      <c r="AX188" s="1173"/>
      <c r="AY188" s="1173"/>
      <c r="AZ188" s="1173"/>
      <c r="BA188" s="1173"/>
      <c r="BB188" s="1173"/>
      <c r="BC188" s="1173"/>
      <c r="BD188" s="1173"/>
      <c r="BE188" s="1173"/>
      <c r="BF188" s="1173"/>
      <c r="BG188" s="1173"/>
      <c r="BH188" s="1173"/>
      <c r="BI188" s="1173"/>
      <c r="BJ188" s="1173"/>
      <c r="BK188" s="1118"/>
      <c r="BL188" s="1118"/>
    </row>
    <row r="189" spans="1:64" s="401" customFormat="1" x14ac:dyDescent="0.3">
      <c r="A189" s="1154">
        <v>539</v>
      </c>
      <c r="B189" s="1222"/>
      <c r="C189" s="1153">
        <v>539</v>
      </c>
      <c r="D189" s="1203"/>
      <c r="E189" s="1203"/>
      <c r="F189" s="1170"/>
      <c r="G189" s="1171"/>
      <c r="H189" s="1171"/>
      <c r="I189" s="1171"/>
      <c r="J189" s="1171"/>
      <c r="K189" s="1171"/>
      <c r="L189" s="1172"/>
      <c r="M189" s="1173"/>
      <c r="N189" s="1173"/>
      <c r="O189" s="1174"/>
      <c r="P189" s="1174"/>
      <c r="Q189" s="1174"/>
      <c r="R189" s="1174"/>
      <c r="S189" s="1174"/>
      <c r="T189" s="1174"/>
      <c r="U189" s="1174"/>
      <c r="V189" s="1174"/>
      <c r="W189" s="1174"/>
      <c r="X189" s="1174"/>
      <c r="Y189" s="1174"/>
      <c r="Z189" s="1174"/>
      <c r="AA189" s="1174"/>
      <c r="AB189" s="1174"/>
      <c r="AC189" s="1174"/>
      <c r="AD189" s="1173"/>
      <c r="AE189" s="1173"/>
      <c r="AF189" s="1173"/>
      <c r="AG189" s="1173"/>
      <c r="AH189" s="1173"/>
      <c r="AI189" s="1173"/>
      <c r="AJ189" s="1173"/>
      <c r="AK189" s="1173"/>
      <c r="AL189" s="1173"/>
      <c r="AM189" s="1173"/>
      <c r="AN189" s="1173"/>
      <c r="AO189" s="1173"/>
      <c r="AP189" s="1173"/>
      <c r="AQ189" s="1173"/>
      <c r="AR189" s="1173"/>
      <c r="AS189" s="1173"/>
      <c r="AT189" s="1173"/>
      <c r="AU189" s="1173"/>
      <c r="AV189" s="1173"/>
      <c r="AW189" s="1173"/>
      <c r="AX189" s="1173"/>
      <c r="AY189" s="1173"/>
      <c r="AZ189" s="1173"/>
      <c r="BA189" s="1173"/>
      <c r="BB189" s="1173"/>
      <c r="BC189" s="1173"/>
      <c r="BD189" s="1173"/>
      <c r="BE189" s="1173"/>
      <c r="BF189" s="1173"/>
      <c r="BG189" s="1173"/>
      <c r="BH189" s="1173"/>
      <c r="BI189" s="1173"/>
      <c r="BJ189" s="1173"/>
      <c r="BK189" s="1118"/>
      <c r="BL189" s="1118"/>
    </row>
    <row r="190" spans="1:64" s="401" customFormat="1" x14ac:dyDescent="0.3">
      <c r="A190" s="1154">
        <v>540</v>
      </c>
      <c r="B190" s="1222"/>
      <c r="C190" s="1153">
        <v>540</v>
      </c>
      <c r="D190" s="1203"/>
      <c r="E190" s="1203"/>
      <c r="F190" s="1170"/>
      <c r="G190" s="1171"/>
      <c r="H190" s="1171"/>
      <c r="I190" s="1171"/>
      <c r="J190" s="1171"/>
      <c r="K190" s="1171"/>
      <c r="L190" s="1172"/>
      <c r="M190" s="1173"/>
      <c r="N190" s="1173"/>
      <c r="O190" s="1174"/>
      <c r="P190" s="1174"/>
      <c r="Q190" s="1174"/>
      <c r="R190" s="1174"/>
      <c r="S190" s="1174"/>
      <c r="T190" s="1174"/>
      <c r="U190" s="1174"/>
      <c r="V190" s="1174"/>
      <c r="W190" s="1174"/>
      <c r="X190" s="1174"/>
      <c r="Y190" s="1174"/>
      <c r="Z190" s="1174"/>
      <c r="AA190" s="1174"/>
      <c r="AB190" s="1174"/>
      <c r="AC190" s="1174"/>
      <c r="AD190" s="1173"/>
      <c r="AE190" s="1173"/>
      <c r="AF190" s="1173"/>
      <c r="AG190" s="1173"/>
      <c r="AH190" s="1173"/>
      <c r="AI190" s="1173"/>
      <c r="AJ190" s="1173"/>
      <c r="AK190" s="1173"/>
      <c r="AL190" s="1173"/>
      <c r="AM190" s="1173"/>
      <c r="AN190" s="1173"/>
      <c r="AO190" s="1173"/>
      <c r="AP190" s="1173"/>
      <c r="AQ190" s="1173"/>
      <c r="AR190" s="1173"/>
      <c r="AS190" s="1173"/>
      <c r="AT190" s="1173"/>
      <c r="AU190" s="1173"/>
      <c r="AV190" s="1173"/>
      <c r="AW190" s="1173"/>
      <c r="AX190" s="1173"/>
      <c r="AY190" s="1173"/>
      <c r="AZ190" s="1173"/>
      <c r="BA190" s="1173"/>
      <c r="BB190" s="1173"/>
      <c r="BC190" s="1173"/>
      <c r="BD190" s="1173"/>
      <c r="BE190" s="1173"/>
      <c r="BF190" s="1173"/>
      <c r="BG190" s="1173"/>
      <c r="BH190" s="1173"/>
      <c r="BI190" s="1173"/>
      <c r="BJ190" s="1173"/>
      <c r="BK190" s="1118"/>
      <c r="BL190" s="1118"/>
    </row>
    <row r="191" spans="1:64" s="401" customFormat="1" x14ac:dyDescent="0.3">
      <c r="A191" s="1154">
        <v>541</v>
      </c>
      <c r="B191" s="1222"/>
      <c r="C191" s="1153">
        <v>541</v>
      </c>
      <c r="D191" s="1203"/>
      <c r="E191" s="1203"/>
      <c r="F191" s="1170"/>
      <c r="G191" s="1171"/>
      <c r="H191" s="1171"/>
      <c r="I191" s="1171"/>
      <c r="J191" s="1171"/>
      <c r="K191" s="1171"/>
      <c r="L191" s="1172"/>
      <c r="M191" s="1173"/>
      <c r="N191" s="1173"/>
      <c r="O191" s="1174"/>
      <c r="P191" s="1174"/>
      <c r="Q191" s="1174"/>
      <c r="R191" s="1174"/>
      <c r="S191" s="1174"/>
      <c r="T191" s="1174"/>
      <c r="U191" s="1174"/>
      <c r="V191" s="1174"/>
      <c r="W191" s="1174"/>
      <c r="X191" s="1174"/>
      <c r="Y191" s="1174"/>
      <c r="Z191" s="1174"/>
      <c r="AA191" s="1174"/>
      <c r="AB191" s="1174"/>
      <c r="AC191" s="1174"/>
      <c r="AD191" s="1173"/>
      <c r="AE191" s="1173"/>
      <c r="AF191" s="1173"/>
      <c r="AG191" s="1173"/>
      <c r="AH191" s="1173"/>
      <c r="AI191" s="1173"/>
      <c r="AJ191" s="1173"/>
      <c r="AK191" s="1173"/>
      <c r="AL191" s="1173"/>
      <c r="AM191" s="1173"/>
      <c r="AN191" s="1173"/>
      <c r="AO191" s="1173"/>
      <c r="AP191" s="1173"/>
      <c r="AQ191" s="1173"/>
      <c r="AR191" s="1173"/>
      <c r="AS191" s="1173"/>
      <c r="AT191" s="1173"/>
      <c r="AU191" s="1173"/>
      <c r="AV191" s="1173"/>
      <c r="AW191" s="1173"/>
      <c r="AX191" s="1173"/>
      <c r="AY191" s="1173"/>
      <c r="AZ191" s="1173"/>
      <c r="BA191" s="1173"/>
      <c r="BB191" s="1173"/>
      <c r="BC191" s="1173"/>
      <c r="BD191" s="1173"/>
      <c r="BE191" s="1173"/>
      <c r="BF191" s="1173"/>
      <c r="BG191" s="1173"/>
      <c r="BH191" s="1173"/>
      <c r="BI191" s="1173"/>
      <c r="BJ191" s="1173"/>
      <c r="BK191" s="1118"/>
      <c r="BL191" s="1118"/>
    </row>
    <row r="192" spans="1:64" s="401" customFormat="1" x14ac:dyDescent="0.3">
      <c r="A192" s="1154">
        <v>542</v>
      </c>
      <c r="B192" s="1222"/>
      <c r="C192" s="1153">
        <v>542</v>
      </c>
      <c r="D192" s="1203"/>
      <c r="E192" s="1203"/>
      <c r="F192" s="1170"/>
      <c r="G192" s="1171"/>
      <c r="H192" s="1171"/>
      <c r="I192" s="1171"/>
      <c r="J192" s="1171"/>
      <c r="K192" s="1171"/>
      <c r="L192" s="1172"/>
      <c r="M192" s="1173"/>
      <c r="N192" s="1173"/>
      <c r="O192" s="1174"/>
      <c r="P192" s="1174"/>
      <c r="Q192" s="1174"/>
      <c r="R192" s="1174"/>
      <c r="S192" s="1174"/>
      <c r="T192" s="1174"/>
      <c r="U192" s="1174"/>
      <c r="V192" s="1174"/>
      <c r="W192" s="1174"/>
      <c r="X192" s="1174"/>
      <c r="Y192" s="1174"/>
      <c r="Z192" s="1174"/>
      <c r="AA192" s="1174"/>
      <c r="AB192" s="1174"/>
      <c r="AC192" s="1174"/>
      <c r="AD192" s="1173"/>
      <c r="AE192" s="1173"/>
      <c r="AF192" s="1173"/>
      <c r="AG192" s="1173"/>
      <c r="AH192" s="1173"/>
      <c r="AI192" s="1173"/>
      <c r="AJ192" s="1173"/>
      <c r="AK192" s="1173"/>
      <c r="AL192" s="1173"/>
      <c r="AM192" s="1173"/>
      <c r="AN192" s="1173"/>
      <c r="AO192" s="1173"/>
      <c r="AP192" s="1173"/>
      <c r="AQ192" s="1173"/>
      <c r="AR192" s="1173"/>
      <c r="AS192" s="1173"/>
      <c r="AT192" s="1173"/>
      <c r="AU192" s="1173"/>
      <c r="AV192" s="1173"/>
      <c r="AW192" s="1173"/>
      <c r="AX192" s="1173"/>
      <c r="AY192" s="1173"/>
      <c r="AZ192" s="1173"/>
      <c r="BA192" s="1173"/>
      <c r="BB192" s="1173"/>
      <c r="BC192" s="1173"/>
      <c r="BD192" s="1173"/>
      <c r="BE192" s="1173"/>
      <c r="BF192" s="1173"/>
      <c r="BG192" s="1173"/>
      <c r="BH192" s="1173"/>
      <c r="BI192" s="1173"/>
      <c r="BJ192" s="1173"/>
      <c r="BK192" s="1118"/>
      <c r="BL192" s="1118"/>
    </row>
    <row r="193" spans="1:64" s="401" customFormat="1" x14ac:dyDescent="0.3">
      <c r="A193" s="1154">
        <v>543</v>
      </c>
      <c r="B193" s="1222"/>
      <c r="C193" s="1153">
        <v>543</v>
      </c>
      <c r="D193" s="1203"/>
      <c r="E193" s="1203"/>
      <c r="F193" s="1170"/>
      <c r="G193" s="1171"/>
      <c r="H193" s="1171"/>
      <c r="I193" s="1171"/>
      <c r="J193" s="1171"/>
      <c r="K193" s="1171"/>
      <c r="L193" s="1172"/>
      <c r="M193" s="1173"/>
      <c r="N193" s="1173"/>
      <c r="O193" s="1174"/>
      <c r="P193" s="1174"/>
      <c r="Q193" s="1174"/>
      <c r="R193" s="1174"/>
      <c r="S193" s="1174"/>
      <c r="T193" s="1174"/>
      <c r="U193" s="1174"/>
      <c r="V193" s="1174"/>
      <c r="W193" s="1174"/>
      <c r="X193" s="1174"/>
      <c r="Y193" s="1174"/>
      <c r="Z193" s="1174"/>
      <c r="AA193" s="1174"/>
      <c r="AB193" s="1174"/>
      <c r="AC193" s="1174"/>
      <c r="AD193" s="1173"/>
      <c r="AE193" s="1173"/>
      <c r="AF193" s="1173"/>
      <c r="AG193" s="1173"/>
      <c r="AH193" s="1173"/>
      <c r="AI193" s="1173"/>
      <c r="AJ193" s="1173"/>
      <c r="AK193" s="1173"/>
      <c r="AL193" s="1173"/>
      <c r="AM193" s="1173"/>
      <c r="AN193" s="1173"/>
      <c r="AO193" s="1173"/>
      <c r="AP193" s="1173"/>
      <c r="AQ193" s="1173"/>
      <c r="AR193" s="1173"/>
      <c r="AS193" s="1173"/>
      <c r="AT193" s="1173"/>
      <c r="AU193" s="1173"/>
      <c r="AV193" s="1173"/>
      <c r="AW193" s="1173"/>
      <c r="AX193" s="1173"/>
      <c r="AY193" s="1173"/>
      <c r="AZ193" s="1173"/>
      <c r="BA193" s="1173"/>
      <c r="BB193" s="1173"/>
      <c r="BC193" s="1173"/>
      <c r="BD193" s="1173"/>
      <c r="BE193" s="1173"/>
      <c r="BF193" s="1173"/>
      <c r="BG193" s="1173"/>
      <c r="BH193" s="1173"/>
      <c r="BI193" s="1173"/>
      <c r="BJ193" s="1173"/>
      <c r="BK193" s="1118"/>
      <c r="BL193" s="1118"/>
    </row>
    <row r="194" spans="1:64" s="401" customFormat="1" x14ac:dyDescent="0.3">
      <c r="A194" s="1154">
        <v>544</v>
      </c>
      <c r="B194" s="1222"/>
      <c r="C194" s="1153">
        <v>544</v>
      </c>
      <c r="D194" s="1203"/>
      <c r="E194" s="1203"/>
      <c r="F194" s="1170"/>
      <c r="G194" s="1171"/>
      <c r="H194" s="1171"/>
      <c r="I194" s="1171"/>
      <c r="J194" s="1171"/>
      <c r="K194" s="1171"/>
      <c r="L194" s="1172"/>
      <c r="M194" s="1173"/>
      <c r="N194" s="1173"/>
      <c r="O194" s="1174"/>
      <c r="P194" s="1174"/>
      <c r="Q194" s="1174"/>
      <c r="R194" s="1174"/>
      <c r="S194" s="1174"/>
      <c r="T194" s="1174"/>
      <c r="U194" s="1174"/>
      <c r="V194" s="1174"/>
      <c r="W194" s="1174"/>
      <c r="X194" s="1174"/>
      <c r="Y194" s="1174"/>
      <c r="Z194" s="1174"/>
      <c r="AA194" s="1174"/>
      <c r="AB194" s="1174"/>
      <c r="AC194" s="1174"/>
      <c r="AD194" s="1173"/>
      <c r="AE194" s="1173"/>
      <c r="AF194" s="1173"/>
      <c r="AG194" s="1173"/>
      <c r="AH194" s="1173"/>
      <c r="AI194" s="1173"/>
      <c r="AJ194" s="1173"/>
      <c r="AK194" s="1173"/>
      <c r="AL194" s="1173"/>
      <c r="AM194" s="1173"/>
      <c r="AN194" s="1173"/>
      <c r="AO194" s="1173"/>
      <c r="AP194" s="1173"/>
      <c r="AQ194" s="1173"/>
      <c r="AR194" s="1173"/>
      <c r="AS194" s="1173"/>
      <c r="AT194" s="1173"/>
      <c r="AU194" s="1173"/>
      <c r="AV194" s="1173"/>
      <c r="AW194" s="1173"/>
      <c r="AX194" s="1173"/>
      <c r="AY194" s="1173"/>
      <c r="AZ194" s="1173"/>
      <c r="BA194" s="1173"/>
      <c r="BB194" s="1173"/>
      <c r="BC194" s="1173"/>
      <c r="BD194" s="1173"/>
      <c r="BE194" s="1173"/>
      <c r="BF194" s="1173"/>
      <c r="BG194" s="1173"/>
      <c r="BH194" s="1173"/>
      <c r="BI194" s="1173"/>
      <c r="BJ194" s="1173"/>
      <c r="BK194" s="1118"/>
      <c r="BL194" s="1118"/>
    </row>
    <row r="195" spans="1:64" s="401" customFormat="1" x14ac:dyDescent="0.3">
      <c r="A195" s="1154">
        <v>545</v>
      </c>
      <c r="B195" s="1222"/>
      <c r="C195" s="1153">
        <v>545</v>
      </c>
      <c r="D195" s="1203"/>
      <c r="E195" s="1203"/>
      <c r="F195" s="1170"/>
      <c r="G195" s="1171"/>
      <c r="H195" s="1171"/>
      <c r="I195" s="1171"/>
      <c r="J195" s="1171"/>
      <c r="K195" s="1171"/>
      <c r="L195" s="1172"/>
      <c r="M195" s="1173"/>
      <c r="N195" s="1173"/>
      <c r="O195" s="1174"/>
      <c r="P195" s="1174"/>
      <c r="Q195" s="1174"/>
      <c r="R195" s="1174"/>
      <c r="S195" s="1174"/>
      <c r="T195" s="1174"/>
      <c r="U195" s="1174"/>
      <c r="V195" s="1174"/>
      <c r="W195" s="1174"/>
      <c r="X195" s="1174"/>
      <c r="Y195" s="1174"/>
      <c r="Z195" s="1174"/>
      <c r="AA195" s="1174"/>
      <c r="AB195" s="1174"/>
      <c r="AC195" s="1174"/>
      <c r="AD195" s="1173"/>
      <c r="AE195" s="1173"/>
      <c r="AF195" s="1173"/>
      <c r="AG195" s="1173"/>
      <c r="AH195" s="1173"/>
      <c r="AI195" s="1173"/>
      <c r="AJ195" s="1173"/>
      <c r="AK195" s="1173"/>
      <c r="AL195" s="1173"/>
      <c r="AM195" s="1173"/>
      <c r="AN195" s="1173"/>
      <c r="AO195" s="1173"/>
      <c r="AP195" s="1173"/>
      <c r="AQ195" s="1173"/>
      <c r="AR195" s="1173"/>
      <c r="AS195" s="1173"/>
      <c r="AT195" s="1173"/>
      <c r="AU195" s="1173"/>
      <c r="AV195" s="1173"/>
      <c r="AW195" s="1173"/>
      <c r="AX195" s="1173"/>
      <c r="AY195" s="1173"/>
      <c r="AZ195" s="1173"/>
      <c r="BA195" s="1173"/>
      <c r="BB195" s="1173"/>
      <c r="BC195" s="1173"/>
      <c r="BD195" s="1173"/>
      <c r="BE195" s="1173"/>
      <c r="BF195" s="1173"/>
      <c r="BG195" s="1173"/>
      <c r="BH195" s="1173"/>
      <c r="BI195" s="1173"/>
      <c r="BJ195" s="1173"/>
      <c r="BK195" s="1118"/>
      <c r="BL195" s="1118"/>
    </row>
    <row r="196" spans="1:64" s="401" customFormat="1" x14ac:dyDescent="0.3">
      <c r="A196" s="1154">
        <v>546</v>
      </c>
      <c r="B196" s="1222">
        <v>546</v>
      </c>
      <c r="C196" s="1153">
        <v>546</v>
      </c>
      <c r="D196" s="1203"/>
      <c r="E196" s="1203"/>
      <c r="F196" s="1170">
        <v>0</v>
      </c>
      <c r="G196" s="1171">
        <v>0</v>
      </c>
      <c r="H196" s="1171">
        <v>0</v>
      </c>
      <c r="I196" s="1171">
        <v>1565203</v>
      </c>
      <c r="J196" s="1171">
        <v>0</v>
      </c>
      <c r="K196" s="1171">
        <v>0</v>
      </c>
      <c r="L196" s="1172">
        <v>0</v>
      </c>
      <c r="M196" s="1173">
        <v>0</v>
      </c>
      <c r="N196" s="1173">
        <v>0</v>
      </c>
      <c r="O196" s="1174">
        <v>0</v>
      </c>
      <c r="P196" s="1174">
        <v>0</v>
      </c>
      <c r="Q196" s="1174">
        <v>0</v>
      </c>
      <c r="R196" s="1174">
        <v>8128163</v>
      </c>
      <c r="S196" s="1174">
        <v>936088</v>
      </c>
      <c r="T196" s="1174">
        <v>0</v>
      </c>
      <c r="U196" s="1174">
        <v>0</v>
      </c>
      <c r="V196" s="1174">
        <v>0</v>
      </c>
      <c r="W196" s="1174">
        <v>0</v>
      </c>
      <c r="X196" s="1174">
        <v>0</v>
      </c>
      <c r="Y196" s="1174">
        <v>0</v>
      </c>
      <c r="Z196" s="1174">
        <v>0</v>
      </c>
      <c r="AA196" s="1174">
        <v>0</v>
      </c>
      <c r="AB196" s="1174">
        <v>0</v>
      </c>
      <c r="AC196" s="1174">
        <v>0</v>
      </c>
      <c r="AD196" s="1173">
        <v>0</v>
      </c>
      <c r="AE196" s="1173">
        <v>0</v>
      </c>
      <c r="AF196" s="1173">
        <v>0</v>
      </c>
      <c r="AG196" s="1173">
        <v>2404813</v>
      </c>
      <c r="AH196" s="1173">
        <v>0</v>
      </c>
      <c r="AI196" s="1173">
        <v>1871788</v>
      </c>
      <c r="AJ196" s="1173">
        <v>0</v>
      </c>
      <c r="AK196" s="1173">
        <v>0</v>
      </c>
      <c r="AL196" s="1173">
        <v>0</v>
      </c>
      <c r="AM196" s="1173">
        <v>0</v>
      </c>
      <c r="AN196" s="1173">
        <v>0</v>
      </c>
      <c r="AO196" s="1173">
        <v>0</v>
      </c>
      <c r="AP196" s="1173">
        <v>0</v>
      </c>
      <c r="AQ196" s="1173">
        <v>0</v>
      </c>
      <c r="AR196" s="1173">
        <v>0</v>
      </c>
      <c r="AS196" s="1173">
        <v>0</v>
      </c>
      <c r="AT196" s="1173">
        <v>58568</v>
      </c>
      <c r="AU196" s="1173">
        <v>0</v>
      </c>
      <c r="AV196" s="1173">
        <v>0</v>
      </c>
      <c r="AW196" s="1173">
        <v>0</v>
      </c>
      <c r="AX196" s="1173">
        <v>0</v>
      </c>
      <c r="AY196" s="1173">
        <v>0</v>
      </c>
      <c r="AZ196" s="1173">
        <v>0</v>
      </c>
      <c r="BA196" s="1173">
        <v>0</v>
      </c>
      <c r="BB196" s="1173">
        <v>0</v>
      </c>
      <c r="BC196" s="1173">
        <v>0</v>
      </c>
      <c r="BD196" s="1173">
        <v>1383552</v>
      </c>
      <c r="BE196" s="1173">
        <v>0</v>
      </c>
      <c r="BF196" s="1173">
        <v>0</v>
      </c>
      <c r="BG196" s="1173">
        <v>0</v>
      </c>
      <c r="BH196" s="1173">
        <v>0</v>
      </c>
      <c r="BI196" s="1173">
        <v>0</v>
      </c>
      <c r="BJ196" s="1173">
        <v>0</v>
      </c>
      <c r="BK196" s="1118"/>
      <c r="BL196" s="1118"/>
    </row>
    <row r="197" spans="1:64" s="401" customFormat="1" x14ac:dyDescent="0.3">
      <c r="A197" s="1154">
        <v>547</v>
      </c>
      <c r="B197" s="1222">
        <v>547</v>
      </c>
      <c r="C197" s="1225">
        <v>547</v>
      </c>
      <c r="D197" s="1226"/>
      <c r="E197" s="1226"/>
      <c r="F197" s="1217">
        <v>4</v>
      </c>
      <c r="G197" s="1218">
        <v>4</v>
      </c>
      <c r="H197" s="1218">
        <v>4</v>
      </c>
      <c r="I197" s="1218">
        <v>4</v>
      </c>
      <c r="J197" s="1218">
        <v>4</v>
      </c>
      <c r="K197" s="1218">
        <v>4</v>
      </c>
      <c r="L197" s="1216">
        <v>4</v>
      </c>
      <c r="M197" s="1215">
        <v>4</v>
      </c>
      <c r="N197" s="1215">
        <v>4</v>
      </c>
      <c r="O197" s="1219">
        <v>4</v>
      </c>
      <c r="P197" s="1219">
        <v>4</v>
      </c>
      <c r="Q197" s="1219">
        <v>4</v>
      </c>
      <c r="R197" s="1219">
        <v>4</v>
      </c>
      <c r="S197" s="1219">
        <v>4</v>
      </c>
      <c r="T197" s="1219">
        <v>4</v>
      </c>
      <c r="U197" s="1219">
        <v>4</v>
      </c>
      <c r="V197" s="1219">
        <v>4</v>
      </c>
      <c r="W197" s="1219">
        <v>4</v>
      </c>
      <c r="X197" s="1219">
        <v>4</v>
      </c>
      <c r="Y197" s="1219">
        <v>4</v>
      </c>
      <c r="Z197" s="1219">
        <v>4</v>
      </c>
      <c r="AA197" s="1219">
        <v>4</v>
      </c>
      <c r="AB197" s="1219">
        <v>4</v>
      </c>
      <c r="AC197" s="1219">
        <v>4</v>
      </c>
      <c r="AD197" s="1215">
        <v>4</v>
      </c>
      <c r="AE197" s="1215">
        <v>4</v>
      </c>
      <c r="AF197" s="1215">
        <v>4</v>
      </c>
      <c r="AG197" s="1215">
        <v>4</v>
      </c>
      <c r="AH197" s="1215">
        <v>4</v>
      </c>
      <c r="AI197" s="1215">
        <v>4</v>
      </c>
      <c r="AJ197" s="1215">
        <v>4</v>
      </c>
      <c r="AK197" s="1215">
        <v>4</v>
      </c>
      <c r="AL197" s="1215">
        <v>4</v>
      </c>
      <c r="AM197" s="1215">
        <v>4</v>
      </c>
      <c r="AN197" s="1215">
        <v>4</v>
      </c>
      <c r="AO197" s="1215">
        <v>4</v>
      </c>
      <c r="AP197" s="1215">
        <v>4</v>
      </c>
      <c r="AQ197" s="1215">
        <v>4</v>
      </c>
      <c r="AR197" s="1215">
        <v>4</v>
      </c>
      <c r="AS197" s="1215">
        <v>4</v>
      </c>
      <c r="AT197" s="1215">
        <v>4</v>
      </c>
      <c r="AU197" s="1215">
        <v>4</v>
      </c>
      <c r="AV197" s="1215">
        <v>4</v>
      </c>
      <c r="AW197" s="1215">
        <v>4</v>
      </c>
      <c r="AX197" s="1215">
        <v>4</v>
      </c>
      <c r="AY197" s="1215">
        <v>4</v>
      </c>
      <c r="AZ197" s="1215">
        <v>4</v>
      </c>
      <c r="BA197" s="1215">
        <v>4</v>
      </c>
      <c r="BB197" s="1215">
        <v>4</v>
      </c>
      <c r="BC197" s="1215">
        <v>4</v>
      </c>
      <c r="BD197" s="1215">
        <v>4</v>
      </c>
      <c r="BE197" s="1215">
        <v>1</v>
      </c>
      <c r="BF197" s="1215">
        <v>4</v>
      </c>
      <c r="BG197" s="1215">
        <v>4</v>
      </c>
      <c r="BH197" s="1215">
        <v>4</v>
      </c>
      <c r="BI197" s="1215">
        <v>4</v>
      </c>
      <c r="BJ197" s="1215">
        <v>4</v>
      </c>
      <c r="BK197" s="1118"/>
      <c r="BL197" s="1118"/>
    </row>
    <row r="198" spans="1:64" s="401" customFormat="1" x14ac:dyDescent="0.3">
      <c r="A198" s="1154">
        <v>548</v>
      </c>
      <c r="B198" s="1152"/>
      <c r="C198" s="1153">
        <v>548</v>
      </c>
      <c r="D198" s="1203"/>
      <c r="E198" s="1203"/>
      <c r="F198" s="1170"/>
      <c r="G198" s="1171"/>
      <c r="H198" s="1171"/>
      <c r="I198" s="1171"/>
      <c r="J198" s="1171"/>
      <c r="K198" s="1171"/>
      <c r="L198" s="1172"/>
      <c r="M198" s="1173"/>
      <c r="N198" s="1173"/>
      <c r="O198" s="1174"/>
      <c r="P198" s="1174"/>
      <c r="Q198" s="1174"/>
      <c r="R198" s="1174"/>
      <c r="S198" s="1174"/>
      <c r="T198" s="1174"/>
      <c r="U198" s="1174"/>
      <c r="V198" s="1174"/>
      <c r="W198" s="1174"/>
      <c r="X198" s="1174"/>
      <c r="Y198" s="1174"/>
      <c r="Z198" s="1174"/>
      <c r="AA198" s="1174"/>
      <c r="AB198" s="1174"/>
      <c r="AC198" s="1174"/>
      <c r="AD198" s="1173"/>
      <c r="AE198" s="1173"/>
      <c r="AF198" s="1173"/>
      <c r="AG198" s="1173"/>
      <c r="AH198" s="1173"/>
      <c r="AI198" s="1173"/>
      <c r="AJ198" s="1173"/>
      <c r="AK198" s="1173"/>
      <c r="AL198" s="1173"/>
      <c r="AM198" s="1173"/>
      <c r="AN198" s="1173"/>
      <c r="AO198" s="1173"/>
      <c r="AP198" s="1173"/>
      <c r="AQ198" s="1173"/>
      <c r="AR198" s="1173"/>
      <c r="AS198" s="1173"/>
      <c r="AT198" s="1173"/>
      <c r="AU198" s="1173"/>
      <c r="AV198" s="1173"/>
      <c r="AW198" s="1173"/>
      <c r="AX198" s="1173"/>
      <c r="AY198" s="1173"/>
      <c r="AZ198" s="1173"/>
      <c r="BA198" s="1173"/>
      <c r="BB198" s="1173"/>
      <c r="BC198" s="1173"/>
      <c r="BD198" s="1173"/>
      <c r="BE198" s="1173"/>
      <c r="BF198" s="1173"/>
      <c r="BG198" s="1173"/>
      <c r="BH198" s="1173"/>
      <c r="BI198" s="1173"/>
      <c r="BJ198" s="1173"/>
      <c r="BK198" s="1118"/>
      <c r="BL198" s="1118"/>
    </row>
    <row r="199" spans="1:64" s="401" customFormat="1" x14ac:dyDescent="0.3">
      <c r="A199" s="1154">
        <v>549</v>
      </c>
      <c r="B199" s="1222"/>
      <c r="C199" s="1153">
        <v>549</v>
      </c>
      <c r="D199" s="1203"/>
      <c r="E199" s="1203"/>
      <c r="F199" s="1170"/>
      <c r="G199" s="1171"/>
      <c r="H199" s="1171"/>
      <c r="I199" s="1171"/>
      <c r="J199" s="1171"/>
      <c r="K199" s="1171"/>
      <c r="L199" s="1172"/>
      <c r="M199" s="1173"/>
      <c r="N199" s="1173"/>
      <c r="O199" s="1174"/>
      <c r="P199" s="1174"/>
      <c r="Q199" s="1174"/>
      <c r="R199" s="1174"/>
      <c r="S199" s="1174"/>
      <c r="T199" s="1174"/>
      <c r="U199" s="1174"/>
      <c r="V199" s="1174"/>
      <c r="W199" s="1174"/>
      <c r="X199" s="1174"/>
      <c r="Y199" s="1174"/>
      <c r="Z199" s="1174"/>
      <c r="AA199" s="1174"/>
      <c r="AB199" s="1174"/>
      <c r="AC199" s="1174"/>
      <c r="AD199" s="1173"/>
      <c r="AE199" s="1173"/>
      <c r="AF199" s="1173"/>
      <c r="AG199" s="1173"/>
      <c r="AH199" s="1173"/>
      <c r="AI199" s="1173"/>
      <c r="AJ199" s="1173"/>
      <c r="AK199" s="1173"/>
      <c r="AL199" s="1173"/>
      <c r="AM199" s="1173"/>
      <c r="AN199" s="1173"/>
      <c r="AO199" s="1173"/>
      <c r="AP199" s="1173"/>
      <c r="AQ199" s="1173"/>
      <c r="AR199" s="1173"/>
      <c r="AS199" s="1173"/>
      <c r="AT199" s="1173"/>
      <c r="AU199" s="1173"/>
      <c r="AV199" s="1173"/>
      <c r="AW199" s="1173"/>
      <c r="AX199" s="1173"/>
      <c r="AY199" s="1173"/>
      <c r="AZ199" s="1173"/>
      <c r="BA199" s="1173"/>
      <c r="BB199" s="1173"/>
      <c r="BC199" s="1173"/>
      <c r="BD199" s="1173"/>
      <c r="BE199" s="1173"/>
      <c r="BF199" s="1173"/>
      <c r="BG199" s="1173"/>
      <c r="BH199" s="1173"/>
      <c r="BI199" s="1173"/>
      <c r="BJ199" s="1173"/>
      <c r="BK199" s="1118"/>
      <c r="BL199" s="1118"/>
    </row>
    <row r="200" spans="1:64" s="401" customFormat="1" x14ac:dyDescent="0.3">
      <c r="A200" s="1154">
        <v>550</v>
      </c>
      <c r="B200" s="1222"/>
      <c r="C200" s="1153">
        <v>550</v>
      </c>
      <c r="D200" s="1203"/>
      <c r="E200" s="1203"/>
      <c r="F200" s="1170"/>
      <c r="G200" s="1171"/>
      <c r="H200" s="1171"/>
      <c r="I200" s="1171"/>
      <c r="J200" s="1171"/>
      <c r="K200" s="1171"/>
      <c r="L200" s="1172"/>
      <c r="M200" s="1173"/>
      <c r="N200" s="1173"/>
      <c r="O200" s="1174"/>
      <c r="P200" s="1174"/>
      <c r="Q200" s="1174"/>
      <c r="R200" s="1174"/>
      <c r="S200" s="1174"/>
      <c r="T200" s="1174"/>
      <c r="U200" s="1174"/>
      <c r="V200" s="1174"/>
      <c r="W200" s="1174"/>
      <c r="X200" s="1174"/>
      <c r="Y200" s="1174"/>
      <c r="Z200" s="1174"/>
      <c r="AA200" s="1174"/>
      <c r="AB200" s="1174"/>
      <c r="AC200" s="1174"/>
      <c r="AD200" s="1173"/>
      <c r="AE200" s="1173"/>
      <c r="AF200" s="1173"/>
      <c r="AG200" s="1173"/>
      <c r="AH200" s="1173"/>
      <c r="AI200" s="1173"/>
      <c r="AJ200" s="1173"/>
      <c r="AK200" s="1173"/>
      <c r="AL200" s="1173"/>
      <c r="AM200" s="1173"/>
      <c r="AN200" s="1173"/>
      <c r="AO200" s="1173"/>
      <c r="AP200" s="1173"/>
      <c r="AQ200" s="1173"/>
      <c r="AR200" s="1173"/>
      <c r="AS200" s="1173"/>
      <c r="AT200" s="1173"/>
      <c r="AU200" s="1173"/>
      <c r="AV200" s="1173"/>
      <c r="AW200" s="1173"/>
      <c r="AX200" s="1173"/>
      <c r="AY200" s="1173"/>
      <c r="AZ200" s="1173"/>
      <c r="BA200" s="1173"/>
      <c r="BB200" s="1173"/>
      <c r="BC200" s="1173"/>
      <c r="BD200" s="1173"/>
      <c r="BE200" s="1173"/>
      <c r="BF200" s="1173"/>
      <c r="BG200" s="1173"/>
      <c r="BH200" s="1173"/>
      <c r="BI200" s="1173"/>
      <c r="BJ200" s="1173"/>
      <c r="BK200" s="1118"/>
      <c r="BL200" s="1118"/>
    </row>
    <row r="201" spans="1:64" s="401" customFormat="1" x14ac:dyDescent="0.3">
      <c r="A201" s="1154">
        <v>551</v>
      </c>
      <c r="B201" s="1222"/>
      <c r="C201" s="1153">
        <v>551</v>
      </c>
      <c r="D201" s="1203"/>
      <c r="E201" s="1203"/>
      <c r="F201" s="1170"/>
      <c r="G201" s="1171"/>
      <c r="H201" s="1171"/>
      <c r="I201" s="1171"/>
      <c r="J201" s="1171"/>
      <c r="K201" s="1171"/>
      <c r="L201" s="1172"/>
      <c r="M201" s="1173"/>
      <c r="N201" s="1173"/>
      <c r="O201" s="1174"/>
      <c r="P201" s="1174"/>
      <c r="Q201" s="1174"/>
      <c r="R201" s="1174"/>
      <c r="S201" s="1174"/>
      <c r="T201" s="1174"/>
      <c r="U201" s="1174"/>
      <c r="V201" s="1174"/>
      <c r="W201" s="1174"/>
      <c r="X201" s="1174"/>
      <c r="Y201" s="1174"/>
      <c r="Z201" s="1174"/>
      <c r="AA201" s="1174"/>
      <c r="AB201" s="1174"/>
      <c r="AC201" s="1174"/>
      <c r="AD201" s="1173"/>
      <c r="AE201" s="1173"/>
      <c r="AF201" s="1173"/>
      <c r="AG201" s="1173"/>
      <c r="AH201" s="1173"/>
      <c r="AI201" s="1173"/>
      <c r="AJ201" s="1173"/>
      <c r="AK201" s="1173"/>
      <c r="AL201" s="1173"/>
      <c r="AM201" s="1173"/>
      <c r="AN201" s="1173"/>
      <c r="AO201" s="1173"/>
      <c r="AP201" s="1173"/>
      <c r="AQ201" s="1173"/>
      <c r="AR201" s="1173"/>
      <c r="AS201" s="1173"/>
      <c r="AT201" s="1173"/>
      <c r="AU201" s="1173"/>
      <c r="AV201" s="1173"/>
      <c r="AW201" s="1173"/>
      <c r="AX201" s="1173"/>
      <c r="AY201" s="1173"/>
      <c r="AZ201" s="1173"/>
      <c r="BA201" s="1173"/>
      <c r="BB201" s="1173"/>
      <c r="BC201" s="1173"/>
      <c r="BD201" s="1173"/>
      <c r="BE201" s="1173"/>
      <c r="BF201" s="1173"/>
      <c r="BG201" s="1173"/>
      <c r="BH201" s="1173"/>
      <c r="BI201" s="1173"/>
      <c r="BJ201" s="1173"/>
      <c r="BK201" s="1118"/>
      <c r="BL201" s="1118"/>
    </row>
    <row r="202" spans="1:64" s="401" customFormat="1" x14ac:dyDescent="0.3">
      <c r="A202" s="1154">
        <v>552</v>
      </c>
      <c r="B202" s="1222"/>
      <c r="C202" s="1153">
        <v>552</v>
      </c>
      <c r="D202" s="1203"/>
      <c r="E202" s="1203"/>
      <c r="F202" s="1170"/>
      <c r="G202" s="1171"/>
      <c r="H202" s="1171"/>
      <c r="I202" s="1171"/>
      <c r="J202" s="1171"/>
      <c r="K202" s="1171"/>
      <c r="L202" s="1172"/>
      <c r="M202" s="1173"/>
      <c r="N202" s="1173"/>
      <c r="O202" s="1174"/>
      <c r="P202" s="1174"/>
      <c r="Q202" s="1174"/>
      <c r="R202" s="1174"/>
      <c r="S202" s="1174"/>
      <c r="T202" s="1174"/>
      <c r="U202" s="1174"/>
      <c r="V202" s="1174"/>
      <c r="W202" s="1174"/>
      <c r="X202" s="1174"/>
      <c r="Y202" s="1174"/>
      <c r="Z202" s="1174"/>
      <c r="AA202" s="1174"/>
      <c r="AB202" s="1174"/>
      <c r="AC202" s="1174"/>
      <c r="AD202" s="1173"/>
      <c r="AE202" s="1173"/>
      <c r="AF202" s="1173"/>
      <c r="AG202" s="1173"/>
      <c r="AH202" s="1173"/>
      <c r="AI202" s="1173"/>
      <c r="AJ202" s="1173"/>
      <c r="AK202" s="1173"/>
      <c r="AL202" s="1173"/>
      <c r="AM202" s="1173"/>
      <c r="AN202" s="1173"/>
      <c r="AO202" s="1173"/>
      <c r="AP202" s="1173"/>
      <c r="AQ202" s="1173"/>
      <c r="AR202" s="1173"/>
      <c r="AS202" s="1173"/>
      <c r="AT202" s="1173"/>
      <c r="AU202" s="1173"/>
      <c r="AV202" s="1173"/>
      <c r="AW202" s="1173"/>
      <c r="AX202" s="1173"/>
      <c r="AY202" s="1173"/>
      <c r="AZ202" s="1173"/>
      <c r="BA202" s="1173"/>
      <c r="BB202" s="1173"/>
      <c r="BC202" s="1173"/>
      <c r="BD202" s="1173"/>
      <c r="BE202" s="1173"/>
      <c r="BF202" s="1173"/>
      <c r="BG202" s="1173"/>
      <c r="BH202" s="1173"/>
      <c r="BI202" s="1173"/>
      <c r="BJ202" s="1173"/>
      <c r="BK202" s="1118"/>
      <c r="BL202" s="1118"/>
    </row>
    <row r="203" spans="1:64" s="401" customFormat="1" x14ac:dyDescent="0.3">
      <c r="A203" s="1154">
        <v>553</v>
      </c>
      <c r="B203" s="1222"/>
      <c r="C203" s="1153">
        <v>553</v>
      </c>
      <c r="D203" s="1203"/>
      <c r="E203" s="1203"/>
      <c r="F203" s="1170"/>
      <c r="G203" s="1171"/>
      <c r="H203" s="1171"/>
      <c r="I203" s="1171"/>
      <c r="J203" s="1171"/>
      <c r="K203" s="1171"/>
      <c r="L203" s="1172"/>
      <c r="M203" s="1173"/>
      <c r="N203" s="1173"/>
      <c r="O203" s="1174"/>
      <c r="P203" s="1174"/>
      <c r="Q203" s="1174"/>
      <c r="R203" s="1174"/>
      <c r="S203" s="1174"/>
      <c r="T203" s="1174"/>
      <c r="U203" s="1174"/>
      <c r="V203" s="1174"/>
      <c r="W203" s="1174"/>
      <c r="X203" s="1174"/>
      <c r="Y203" s="1174"/>
      <c r="Z203" s="1174"/>
      <c r="AA203" s="1174"/>
      <c r="AB203" s="1174"/>
      <c r="AC203" s="1174"/>
      <c r="AD203" s="1173"/>
      <c r="AE203" s="1173"/>
      <c r="AF203" s="1173"/>
      <c r="AG203" s="1173"/>
      <c r="AH203" s="1173"/>
      <c r="AI203" s="1173"/>
      <c r="AJ203" s="1173"/>
      <c r="AK203" s="1173"/>
      <c r="AL203" s="1173"/>
      <c r="AM203" s="1173"/>
      <c r="AN203" s="1173"/>
      <c r="AO203" s="1173"/>
      <c r="AP203" s="1173"/>
      <c r="AQ203" s="1173"/>
      <c r="AR203" s="1173"/>
      <c r="AS203" s="1173"/>
      <c r="AT203" s="1173"/>
      <c r="AU203" s="1173"/>
      <c r="AV203" s="1173"/>
      <c r="AW203" s="1173"/>
      <c r="AX203" s="1173"/>
      <c r="AY203" s="1173"/>
      <c r="AZ203" s="1173"/>
      <c r="BA203" s="1173"/>
      <c r="BB203" s="1173"/>
      <c r="BC203" s="1173"/>
      <c r="BD203" s="1173"/>
      <c r="BE203" s="1173"/>
      <c r="BF203" s="1173"/>
      <c r="BG203" s="1173"/>
      <c r="BH203" s="1173"/>
      <c r="BI203" s="1173"/>
      <c r="BJ203" s="1173"/>
      <c r="BK203" s="1118"/>
      <c r="BL203" s="1118"/>
    </row>
    <row r="204" spans="1:64" s="401" customFormat="1" x14ac:dyDescent="0.3">
      <c r="A204" s="1175">
        <v>554</v>
      </c>
      <c r="B204" s="1222">
        <v>554</v>
      </c>
      <c r="C204" s="1183">
        <v>554</v>
      </c>
      <c r="D204" s="1235" t="s">
        <v>355</v>
      </c>
      <c r="E204" s="1186"/>
      <c r="F204" s="1187">
        <v>8157175</v>
      </c>
      <c r="G204" s="1188">
        <v>9425900</v>
      </c>
      <c r="H204" s="1188">
        <v>13421072</v>
      </c>
      <c r="I204" s="1188">
        <v>4918807</v>
      </c>
      <c r="J204" s="1188">
        <v>10122450</v>
      </c>
      <c r="K204" s="1188">
        <v>5944500</v>
      </c>
      <c r="L204" s="1189">
        <v>3153033</v>
      </c>
      <c r="M204" s="1190">
        <v>4407047</v>
      </c>
      <c r="N204" s="1190">
        <v>9466284</v>
      </c>
      <c r="O204" s="1191">
        <v>2154754</v>
      </c>
      <c r="P204" s="1191">
        <v>6814166</v>
      </c>
      <c r="Q204" s="1191">
        <v>8956595</v>
      </c>
      <c r="R204" s="1191">
        <v>4104641</v>
      </c>
      <c r="S204" s="1191">
        <v>2709074</v>
      </c>
      <c r="T204" s="1191">
        <v>21906</v>
      </c>
      <c r="U204" s="1191">
        <v>19740843</v>
      </c>
      <c r="V204" s="1191">
        <v>28333267</v>
      </c>
      <c r="W204" s="1191">
        <v>3293669</v>
      </c>
      <c r="X204" s="1191">
        <v>4486786</v>
      </c>
      <c r="Y204" s="1191">
        <v>32025069</v>
      </c>
      <c r="Z204" s="1191">
        <v>4835749</v>
      </c>
      <c r="AA204" s="1191">
        <v>1965306</v>
      </c>
      <c r="AB204" s="1191">
        <v>12190901</v>
      </c>
      <c r="AC204" s="1191">
        <v>1938392</v>
      </c>
      <c r="AD204" s="1190">
        <v>0</v>
      </c>
      <c r="AE204" s="1190">
        <v>34255653</v>
      </c>
      <c r="AF204" s="1190">
        <v>2758744</v>
      </c>
      <c r="AG204" s="1190">
        <v>15188781</v>
      </c>
      <c r="AH204" s="1190">
        <v>11435285</v>
      </c>
      <c r="AI204" s="1190">
        <v>3021263</v>
      </c>
      <c r="AJ204" s="1190">
        <v>34977682</v>
      </c>
      <c r="AK204" s="1190">
        <v>15128873</v>
      </c>
      <c r="AL204" s="1190">
        <v>25317617</v>
      </c>
      <c r="AM204" s="1190">
        <v>13813604</v>
      </c>
      <c r="AN204" s="1190">
        <v>11985611</v>
      </c>
      <c r="AO204" s="1190">
        <v>11599188</v>
      </c>
      <c r="AP204" s="1190">
        <v>9348316</v>
      </c>
      <c r="AQ204" s="1190">
        <v>6467125</v>
      </c>
      <c r="AR204" s="1190">
        <v>11073712</v>
      </c>
      <c r="AS204" s="1190">
        <v>6719083</v>
      </c>
      <c r="AT204" s="1190">
        <v>11276191</v>
      </c>
      <c r="AU204" s="1190">
        <v>3755521</v>
      </c>
      <c r="AV204" s="1190">
        <v>1057263</v>
      </c>
      <c r="AW204" s="1190">
        <v>0</v>
      </c>
      <c r="AX204" s="1190">
        <v>9185097</v>
      </c>
      <c r="AY204" s="1190">
        <v>117930985</v>
      </c>
      <c r="AZ204" s="1190">
        <v>3516281</v>
      </c>
      <c r="BA204" s="1190">
        <v>2612958</v>
      </c>
      <c r="BB204" s="1190">
        <v>4170000</v>
      </c>
      <c r="BC204" s="1190">
        <v>26104817</v>
      </c>
      <c r="BD204" s="1190">
        <v>1887077</v>
      </c>
      <c r="BE204" s="1190">
        <v>4115065</v>
      </c>
      <c r="BF204" s="1190">
        <v>11775709</v>
      </c>
      <c r="BG204" s="1190">
        <v>14315987</v>
      </c>
      <c r="BH204" s="1190">
        <v>60088730</v>
      </c>
      <c r="BI204" s="1190">
        <v>7283503</v>
      </c>
      <c r="BJ204" s="1190">
        <v>2953806</v>
      </c>
      <c r="BK204" s="1118"/>
      <c r="BL204" s="1118"/>
    </row>
    <row r="205" spans="1:64" s="401" customFormat="1" x14ac:dyDescent="0.3">
      <c r="A205" s="1175">
        <v>555</v>
      </c>
      <c r="B205" s="1222">
        <v>555</v>
      </c>
      <c r="C205" s="1183">
        <v>555</v>
      </c>
      <c r="D205" s="1235" t="s">
        <v>356</v>
      </c>
      <c r="E205" s="1186"/>
      <c r="F205" s="1187">
        <v>3124507</v>
      </c>
      <c r="G205" s="1188">
        <v>4482238</v>
      </c>
      <c r="H205" s="1188">
        <v>5518675</v>
      </c>
      <c r="I205" s="1188">
        <v>1161122</v>
      </c>
      <c r="J205" s="1188">
        <v>2271258</v>
      </c>
      <c r="K205" s="1188">
        <v>2921302</v>
      </c>
      <c r="L205" s="1189">
        <v>781305</v>
      </c>
      <c r="M205" s="1190">
        <v>1990946</v>
      </c>
      <c r="N205" s="1190">
        <v>2201206</v>
      </c>
      <c r="O205" s="1191">
        <v>441096</v>
      </c>
      <c r="P205" s="1191">
        <v>2992664</v>
      </c>
      <c r="Q205" s="1191">
        <v>2558582</v>
      </c>
      <c r="R205" s="1191">
        <v>1678669</v>
      </c>
      <c r="S205" s="1191">
        <v>933804</v>
      </c>
      <c r="T205" s="1191">
        <v>0</v>
      </c>
      <c r="U205" s="1191">
        <v>13729446</v>
      </c>
      <c r="V205" s="1191">
        <v>10948950</v>
      </c>
      <c r="W205" s="1191">
        <v>1310601</v>
      </c>
      <c r="X205" s="1191">
        <v>1904831</v>
      </c>
      <c r="Y205" s="1191">
        <v>12523805</v>
      </c>
      <c r="Z205" s="1191">
        <v>1404728</v>
      </c>
      <c r="AA205" s="1191">
        <v>430195</v>
      </c>
      <c r="AB205" s="1191">
        <v>3734147</v>
      </c>
      <c r="AC205" s="1191">
        <v>1366136</v>
      </c>
      <c r="AD205" s="1190">
        <v>0</v>
      </c>
      <c r="AE205" s="1190">
        <v>10950433</v>
      </c>
      <c r="AF205" s="1190">
        <v>1060601</v>
      </c>
      <c r="AG205" s="1190">
        <v>5943521</v>
      </c>
      <c r="AH205" s="1190">
        <v>5106163</v>
      </c>
      <c r="AI205" s="1190">
        <v>1106730</v>
      </c>
      <c r="AJ205" s="1190">
        <v>16653453</v>
      </c>
      <c r="AK205" s="1190">
        <v>5253751</v>
      </c>
      <c r="AL205" s="1190">
        <v>11718709</v>
      </c>
      <c r="AM205" s="1190">
        <v>4318472</v>
      </c>
      <c r="AN205" s="1190">
        <v>6162553</v>
      </c>
      <c r="AO205" s="1190">
        <v>4534539</v>
      </c>
      <c r="AP205" s="1190">
        <v>5808176</v>
      </c>
      <c r="AQ205" s="1190">
        <v>2895467</v>
      </c>
      <c r="AR205" s="1190">
        <v>2441526</v>
      </c>
      <c r="AS205" s="1190">
        <v>3336662</v>
      </c>
      <c r="AT205" s="1190">
        <v>6009961</v>
      </c>
      <c r="AU205" s="1190">
        <v>812987</v>
      </c>
      <c r="AV205" s="1190">
        <v>539102</v>
      </c>
      <c r="AW205" s="1190">
        <v>0</v>
      </c>
      <c r="AX205" s="1190">
        <v>4265234</v>
      </c>
      <c r="AY205" s="1190">
        <v>49131824</v>
      </c>
      <c r="AZ205" s="1190">
        <v>1670998</v>
      </c>
      <c r="BA205" s="1190">
        <v>806254</v>
      </c>
      <c r="BB205" s="1190">
        <v>1584052</v>
      </c>
      <c r="BC205" s="1190">
        <v>9082743</v>
      </c>
      <c r="BD205" s="1190">
        <v>643593</v>
      </c>
      <c r="BE205" s="1190">
        <v>1993948</v>
      </c>
      <c r="BF205" s="1190">
        <v>2851478</v>
      </c>
      <c r="BG205" s="1190">
        <v>7239258</v>
      </c>
      <c r="BH205" s="1190">
        <v>42880709</v>
      </c>
      <c r="BI205" s="1190">
        <v>4902323</v>
      </c>
      <c r="BJ205" s="1190">
        <v>787879</v>
      </c>
      <c r="BK205" s="1118"/>
      <c r="BL205" s="1118"/>
    </row>
    <row r="206" spans="1:64" s="401" customFormat="1" x14ac:dyDescent="0.3">
      <c r="A206" s="1175">
        <v>556</v>
      </c>
      <c r="B206" s="1222">
        <v>556</v>
      </c>
      <c r="C206" s="1183">
        <v>556</v>
      </c>
      <c r="D206" s="1235" t="s">
        <v>357</v>
      </c>
      <c r="E206" s="1186"/>
      <c r="F206" s="1187">
        <v>34491347</v>
      </c>
      <c r="G206" s="1188">
        <v>64828938</v>
      </c>
      <c r="H206" s="1188">
        <v>59829139</v>
      </c>
      <c r="I206" s="1188">
        <v>21329428</v>
      </c>
      <c r="J206" s="1188">
        <v>70337902</v>
      </c>
      <c r="K206" s="1188">
        <v>31349873</v>
      </c>
      <c r="L206" s="1189">
        <v>19191877</v>
      </c>
      <c r="M206" s="1190">
        <v>25366652</v>
      </c>
      <c r="N206" s="1190">
        <v>52993883</v>
      </c>
      <c r="O206" s="1191">
        <v>16665273</v>
      </c>
      <c r="P206" s="1191">
        <v>29345692</v>
      </c>
      <c r="Q206" s="1191">
        <v>81841221</v>
      </c>
      <c r="R206" s="1191">
        <v>35896386</v>
      </c>
      <c r="S206" s="1191">
        <v>12015509</v>
      </c>
      <c r="T206" s="1191">
        <v>1718062</v>
      </c>
      <c r="U206" s="1191">
        <v>100600729</v>
      </c>
      <c r="V206" s="1191">
        <v>169962862</v>
      </c>
      <c r="W206" s="1191">
        <v>19989785</v>
      </c>
      <c r="X206" s="1191">
        <v>15964541</v>
      </c>
      <c r="Y206" s="1191">
        <v>169637768</v>
      </c>
      <c r="Z206" s="1191">
        <v>48842052</v>
      </c>
      <c r="AA206" s="1191">
        <v>12324274</v>
      </c>
      <c r="AB206" s="1191">
        <v>62995887</v>
      </c>
      <c r="AC206" s="1191">
        <v>13905679</v>
      </c>
      <c r="AD206" s="1190">
        <v>0</v>
      </c>
      <c r="AE206" s="1190">
        <v>162487410</v>
      </c>
      <c r="AF206" s="1190">
        <v>17400601</v>
      </c>
      <c r="AG206" s="1190">
        <v>107953366</v>
      </c>
      <c r="AH206" s="1190">
        <v>52259396</v>
      </c>
      <c r="AI206" s="1190">
        <v>19953505</v>
      </c>
      <c r="AJ206" s="1190">
        <v>160410935</v>
      </c>
      <c r="AK206" s="1190">
        <v>80916189</v>
      </c>
      <c r="AL206" s="1190">
        <v>124896933</v>
      </c>
      <c r="AM206" s="1190">
        <v>56645394</v>
      </c>
      <c r="AN206" s="1190">
        <v>57858210</v>
      </c>
      <c r="AO206" s="1190">
        <v>44293202</v>
      </c>
      <c r="AP206" s="1190">
        <v>57662991</v>
      </c>
      <c r="AQ206" s="1190">
        <v>41721169</v>
      </c>
      <c r="AR206" s="1190">
        <v>53487587</v>
      </c>
      <c r="AS206" s="1190">
        <v>18622533</v>
      </c>
      <c r="AT206" s="1190">
        <v>16326882</v>
      </c>
      <c r="AU206" s="1190">
        <v>22766789</v>
      </c>
      <c r="AV206" s="1190">
        <v>7687980</v>
      </c>
      <c r="AW206" s="1190">
        <v>0</v>
      </c>
      <c r="AX206" s="1190">
        <v>46547107</v>
      </c>
      <c r="AY206" s="1190">
        <v>1002743254</v>
      </c>
      <c r="AZ206" s="1190">
        <v>17277404</v>
      </c>
      <c r="BA206" s="1190">
        <v>13071371</v>
      </c>
      <c r="BB206" s="1190">
        <v>31907473</v>
      </c>
      <c r="BC206" s="1190">
        <v>131063410</v>
      </c>
      <c r="BD206" s="1190">
        <v>7877558</v>
      </c>
      <c r="BE206" s="1190">
        <v>16995213</v>
      </c>
      <c r="BF206" s="1190">
        <v>64720163</v>
      </c>
      <c r="BG206" s="1190">
        <v>72018368</v>
      </c>
      <c r="BH206" s="1190">
        <v>344748211</v>
      </c>
      <c r="BI206" s="1190">
        <v>37918759</v>
      </c>
      <c r="BJ206" s="1190">
        <v>17824950</v>
      </c>
      <c r="BK206" s="1118"/>
      <c r="BL206" s="1118"/>
    </row>
    <row r="207" spans="1:64" s="401" customFormat="1" x14ac:dyDescent="0.3">
      <c r="A207" s="1175">
        <v>557</v>
      </c>
      <c r="B207" s="1222">
        <v>557</v>
      </c>
      <c r="C207" s="1183">
        <v>557</v>
      </c>
      <c r="D207" s="1235" t="s">
        <v>358</v>
      </c>
      <c r="E207" s="1186"/>
      <c r="F207" s="1187">
        <v>32432553</v>
      </c>
      <c r="G207" s="1188">
        <v>60323766</v>
      </c>
      <c r="H207" s="1188">
        <v>58363019</v>
      </c>
      <c r="I207" s="1188">
        <v>19562142</v>
      </c>
      <c r="J207" s="1188">
        <v>65562099</v>
      </c>
      <c r="K207" s="1188">
        <v>28943572</v>
      </c>
      <c r="L207" s="1189">
        <v>17152456</v>
      </c>
      <c r="M207" s="1190">
        <v>25192581</v>
      </c>
      <c r="N207" s="1190">
        <v>41404632</v>
      </c>
      <c r="O207" s="1191">
        <v>15623937</v>
      </c>
      <c r="P207" s="1191">
        <v>25753332</v>
      </c>
      <c r="Q207" s="1191">
        <v>75034489</v>
      </c>
      <c r="R207" s="1191">
        <v>33180284</v>
      </c>
      <c r="S207" s="1191">
        <v>10567124</v>
      </c>
      <c r="T207" s="1191">
        <v>1718062</v>
      </c>
      <c r="U207" s="1191">
        <v>94035514</v>
      </c>
      <c r="V207" s="1191">
        <v>153475935</v>
      </c>
      <c r="W207" s="1191">
        <v>18102226</v>
      </c>
      <c r="X207" s="1191">
        <v>14502845</v>
      </c>
      <c r="Y207" s="1191">
        <v>161225382</v>
      </c>
      <c r="Z207" s="1191">
        <v>45031301</v>
      </c>
      <c r="AA207" s="1191">
        <v>11991061</v>
      </c>
      <c r="AB207" s="1191">
        <v>60778674</v>
      </c>
      <c r="AC207" s="1191">
        <v>13203922</v>
      </c>
      <c r="AD207" s="1190">
        <v>0</v>
      </c>
      <c r="AE207" s="1190">
        <v>154037312</v>
      </c>
      <c r="AF207" s="1190">
        <v>16579866</v>
      </c>
      <c r="AG207" s="1190">
        <v>99787491</v>
      </c>
      <c r="AH207" s="1190">
        <v>47689064</v>
      </c>
      <c r="AI207" s="1190">
        <v>17985867</v>
      </c>
      <c r="AJ207" s="1190">
        <v>152870189</v>
      </c>
      <c r="AK207" s="1190">
        <v>75594213</v>
      </c>
      <c r="AL207" s="1190">
        <v>124622757</v>
      </c>
      <c r="AM207" s="1190">
        <v>53031122</v>
      </c>
      <c r="AN207" s="1190">
        <v>56235974</v>
      </c>
      <c r="AO207" s="1190">
        <v>39898205</v>
      </c>
      <c r="AP207" s="1190">
        <v>53838234</v>
      </c>
      <c r="AQ207" s="1190">
        <v>37810640</v>
      </c>
      <c r="AR207" s="1190">
        <v>49614373</v>
      </c>
      <c r="AS207" s="1190">
        <v>17118368</v>
      </c>
      <c r="AT207" s="1190">
        <v>15002975</v>
      </c>
      <c r="AU207" s="1190">
        <v>22116442</v>
      </c>
      <c r="AV207" s="1190">
        <v>6887011</v>
      </c>
      <c r="AW207" s="1190">
        <v>0</v>
      </c>
      <c r="AX207" s="1190">
        <v>43483993</v>
      </c>
      <c r="AY207" s="1190">
        <v>946734762</v>
      </c>
      <c r="AZ207" s="1190">
        <v>16216736</v>
      </c>
      <c r="BA207" s="1190">
        <v>12085834</v>
      </c>
      <c r="BB207" s="1190">
        <v>29315196</v>
      </c>
      <c r="BC207" s="1190">
        <v>122965036</v>
      </c>
      <c r="BD207" s="1190">
        <v>7365363</v>
      </c>
      <c r="BE207" s="1190">
        <v>15471477</v>
      </c>
      <c r="BF207" s="1190">
        <v>59895374</v>
      </c>
      <c r="BG207" s="1190">
        <v>66590697</v>
      </c>
      <c r="BH207" s="1190">
        <v>321963776</v>
      </c>
      <c r="BI207" s="1190">
        <v>34356147</v>
      </c>
      <c r="BJ207" s="1190">
        <v>15707131</v>
      </c>
      <c r="BK207" s="1118"/>
      <c r="BL207" s="1118"/>
    </row>
    <row r="208" spans="1:64" s="401" customFormat="1" x14ac:dyDescent="0.3">
      <c r="A208" s="1154">
        <v>558</v>
      </c>
      <c r="B208" s="1222"/>
      <c r="C208" s="1153">
        <v>558</v>
      </c>
      <c r="D208" s="1203"/>
      <c r="E208" s="1203"/>
      <c r="F208" s="1204"/>
      <c r="G208" s="1205"/>
      <c r="H208" s="1205"/>
      <c r="I208" s="1205"/>
      <c r="J208" s="1205"/>
      <c r="K208" s="1205"/>
      <c r="L208" s="1206"/>
      <c r="M208" s="1196"/>
      <c r="N208" s="1196"/>
      <c r="O208" s="1207"/>
      <c r="P208" s="1207"/>
      <c r="Q208" s="1207"/>
      <c r="R208" s="1207"/>
      <c r="S208" s="1207"/>
      <c r="T208" s="1207"/>
      <c r="U208" s="1207"/>
      <c r="V208" s="1207"/>
      <c r="W208" s="1207"/>
      <c r="X208" s="1207"/>
      <c r="Y208" s="1207"/>
      <c r="Z208" s="1207"/>
      <c r="AA208" s="1207"/>
      <c r="AB208" s="1207"/>
      <c r="AC208" s="1207"/>
      <c r="AD208" s="1196"/>
      <c r="AE208" s="1196"/>
      <c r="AF208" s="1196"/>
      <c r="AG208" s="1196"/>
      <c r="AH208" s="1196"/>
      <c r="AI208" s="1196"/>
      <c r="AJ208" s="1196"/>
      <c r="AK208" s="1196"/>
      <c r="AL208" s="1196"/>
      <c r="AM208" s="1196"/>
      <c r="AN208" s="1196"/>
      <c r="AO208" s="1196"/>
      <c r="AP208" s="1196"/>
      <c r="AQ208" s="1196"/>
      <c r="AR208" s="1196"/>
      <c r="AS208" s="1196"/>
      <c r="AT208" s="1196"/>
      <c r="AU208" s="1196"/>
      <c r="AV208" s="1196"/>
      <c r="AW208" s="1196"/>
      <c r="AX208" s="1196"/>
      <c r="AY208" s="1196"/>
      <c r="AZ208" s="1196"/>
      <c r="BA208" s="1196"/>
      <c r="BB208" s="1196"/>
      <c r="BC208" s="1196"/>
      <c r="BD208" s="1196"/>
      <c r="BE208" s="1196"/>
      <c r="BF208" s="1196"/>
      <c r="BG208" s="1196"/>
      <c r="BH208" s="1196"/>
      <c r="BI208" s="1196"/>
      <c r="BJ208" s="1196"/>
      <c r="BK208" s="1120"/>
      <c r="BL208" s="1120"/>
    </row>
    <row r="209" spans="1:64" s="401" customFormat="1" x14ac:dyDescent="0.3">
      <c r="A209" s="1154">
        <v>559</v>
      </c>
      <c r="B209" s="1222"/>
      <c r="C209" s="1153">
        <v>559</v>
      </c>
      <c r="D209" s="1203"/>
      <c r="E209" s="1203"/>
      <c r="F209" s="1204"/>
      <c r="G209" s="1205"/>
      <c r="H209" s="1205"/>
      <c r="I209" s="1205"/>
      <c r="J209" s="1205"/>
      <c r="K209" s="1205"/>
      <c r="L209" s="1206"/>
      <c r="M209" s="1196"/>
      <c r="N209" s="1196"/>
      <c r="O209" s="1207"/>
      <c r="P209" s="1207"/>
      <c r="Q209" s="1207"/>
      <c r="R209" s="1207"/>
      <c r="S209" s="1207"/>
      <c r="T209" s="1207"/>
      <c r="U209" s="1207"/>
      <c r="V209" s="1207"/>
      <c r="W209" s="1207"/>
      <c r="X209" s="1207"/>
      <c r="Y209" s="1207"/>
      <c r="Z209" s="1207"/>
      <c r="AA209" s="1207"/>
      <c r="AB209" s="1207"/>
      <c r="AC209" s="1207"/>
      <c r="AD209" s="1196"/>
      <c r="AE209" s="1196"/>
      <c r="AF209" s="1196"/>
      <c r="AG209" s="1196"/>
      <c r="AH209" s="1196"/>
      <c r="AI209" s="1196"/>
      <c r="AJ209" s="1196"/>
      <c r="AK209" s="1196"/>
      <c r="AL209" s="1196"/>
      <c r="AM209" s="1196"/>
      <c r="AN209" s="1196"/>
      <c r="AO209" s="1196"/>
      <c r="AP209" s="1196"/>
      <c r="AQ209" s="1196"/>
      <c r="AR209" s="1196"/>
      <c r="AS209" s="1196"/>
      <c r="AT209" s="1196"/>
      <c r="AU209" s="1196"/>
      <c r="AV209" s="1196"/>
      <c r="AW209" s="1196"/>
      <c r="AX209" s="1196"/>
      <c r="AY209" s="1196"/>
      <c r="AZ209" s="1196"/>
      <c r="BA209" s="1196"/>
      <c r="BB209" s="1196"/>
      <c r="BC209" s="1196"/>
      <c r="BD209" s="1196"/>
      <c r="BE209" s="1196"/>
      <c r="BF209" s="1196"/>
      <c r="BG209" s="1196"/>
      <c r="BH209" s="1196"/>
      <c r="BI209" s="1196"/>
      <c r="BJ209" s="1196"/>
      <c r="BK209" s="1120"/>
      <c r="BL209" s="1120"/>
    </row>
    <row r="210" spans="1:64" s="401" customFormat="1" x14ac:dyDescent="0.3">
      <c r="A210" s="1154">
        <v>560</v>
      </c>
      <c r="B210" s="1222"/>
      <c r="C210" s="1153">
        <v>560</v>
      </c>
      <c r="D210" s="1203"/>
      <c r="E210" s="1203"/>
      <c r="F210" s="1204"/>
      <c r="G210" s="1205"/>
      <c r="H210" s="1205"/>
      <c r="I210" s="1205"/>
      <c r="J210" s="1205"/>
      <c r="K210" s="1205"/>
      <c r="L210" s="1206"/>
      <c r="M210" s="1196"/>
      <c r="N210" s="1196"/>
      <c r="O210" s="1207"/>
      <c r="P210" s="1207"/>
      <c r="Q210" s="1207"/>
      <c r="R210" s="1207"/>
      <c r="S210" s="1207"/>
      <c r="T210" s="1207"/>
      <c r="U210" s="1207"/>
      <c r="V210" s="1207"/>
      <c r="W210" s="1207"/>
      <c r="X210" s="1207"/>
      <c r="Y210" s="1207"/>
      <c r="Z210" s="1207"/>
      <c r="AA210" s="1207"/>
      <c r="AB210" s="1207"/>
      <c r="AC210" s="1207"/>
      <c r="AD210" s="1196"/>
      <c r="AE210" s="1196"/>
      <c r="AF210" s="1196"/>
      <c r="AG210" s="1196"/>
      <c r="AH210" s="1196"/>
      <c r="AI210" s="1196"/>
      <c r="AJ210" s="1196"/>
      <c r="AK210" s="1196"/>
      <c r="AL210" s="1196"/>
      <c r="AM210" s="1196"/>
      <c r="AN210" s="1196"/>
      <c r="AO210" s="1196"/>
      <c r="AP210" s="1196"/>
      <c r="AQ210" s="1196"/>
      <c r="AR210" s="1196"/>
      <c r="AS210" s="1196"/>
      <c r="AT210" s="1196"/>
      <c r="AU210" s="1196"/>
      <c r="AV210" s="1196"/>
      <c r="AW210" s="1196"/>
      <c r="AX210" s="1196"/>
      <c r="AY210" s="1196"/>
      <c r="AZ210" s="1196"/>
      <c r="BA210" s="1196"/>
      <c r="BB210" s="1196"/>
      <c r="BC210" s="1196"/>
      <c r="BD210" s="1196"/>
      <c r="BE210" s="1196"/>
      <c r="BF210" s="1196"/>
      <c r="BG210" s="1196"/>
      <c r="BH210" s="1196"/>
      <c r="BI210" s="1196"/>
      <c r="BJ210" s="1196"/>
      <c r="BK210" s="1120"/>
      <c r="BL210" s="1120"/>
    </row>
    <row r="211" spans="1:64" s="401" customFormat="1" x14ac:dyDescent="0.3">
      <c r="A211" s="1154">
        <v>561</v>
      </c>
      <c r="B211" s="1222"/>
      <c r="C211" s="1153">
        <v>561</v>
      </c>
      <c r="D211" s="1203"/>
      <c r="E211" s="1203"/>
      <c r="F211" s="1204"/>
      <c r="G211" s="1205"/>
      <c r="H211" s="1205"/>
      <c r="I211" s="1205"/>
      <c r="J211" s="1205"/>
      <c r="K211" s="1205"/>
      <c r="L211" s="1206"/>
      <c r="M211" s="1196"/>
      <c r="N211" s="1196"/>
      <c r="O211" s="1207"/>
      <c r="P211" s="1207"/>
      <c r="Q211" s="1207"/>
      <c r="R211" s="1207"/>
      <c r="S211" s="1207"/>
      <c r="T211" s="1207"/>
      <c r="U211" s="1207"/>
      <c r="V211" s="1207"/>
      <c r="W211" s="1207"/>
      <c r="X211" s="1207"/>
      <c r="Y211" s="1207"/>
      <c r="Z211" s="1207"/>
      <c r="AA211" s="1207"/>
      <c r="AB211" s="1207"/>
      <c r="AC211" s="1207"/>
      <c r="AD211" s="1196"/>
      <c r="AE211" s="1196"/>
      <c r="AF211" s="1196"/>
      <c r="AG211" s="1196"/>
      <c r="AH211" s="1196"/>
      <c r="AI211" s="1196"/>
      <c r="AJ211" s="1196"/>
      <c r="AK211" s="1196"/>
      <c r="AL211" s="1196"/>
      <c r="AM211" s="1196"/>
      <c r="AN211" s="1196"/>
      <c r="AO211" s="1196"/>
      <c r="AP211" s="1196"/>
      <c r="AQ211" s="1196"/>
      <c r="AR211" s="1196"/>
      <c r="AS211" s="1196"/>
      <c r="AT211" s="1196"/>
      <c r="AU211" s="1196"/>
      <c r="AV211" s="1196"/>
      <c r="AW211" s="1196"/>
      <c r="AX211" s="1196"/>
      <c r="AY211" s="1196"/>
      <c r="AZ211" s="1196"/>
      <c r="BA211" s="1196"/>
      <c r="BB211" s="1196"/>
      <c r="BC211" s="1196"/>
      <c r="BD211" s="1196"/>
      <c r="BE211" s="1196"/>
      <c r="BF211" s="1196"/>
      <c r="BG211" s="1196"/>
      <c r="BH211" s="1196"/>
      <c r="BI211" s="1196"/>
      <c r="BJ211" s="1196"/>
      <c r="BK211" s="1120"/>
      <c r="BL211" s="1120"/>
    </row>
    <row r="212" spans="1:64" s="401" customFormat="1" x14ac:dyDescent="0.3">
      <c r="A212" s="1154">
        <v>562</v>
      </c>
      <c r="B212" s="1222"/>
      <c r="C212" s="1153">
        <v>562</v>
      </c>
      <c r="D212" s="1203"/>
      <c r="E212" s="1203"/>
      <c r="F212" s="1204"/>
      <c r="G212" s="1205"/>
      <c r="H212" s="1205"/>
      <c r="I212" s="1205"/>
      <c r="J212" s="1205"/>
      <c r="K212" s="1205"/>
      <c r="L212" s="1206"/>
      <c r="M212" s="1196"/>
      <c r="N212" s="1196"/>
      <c r="O212" s="1207"/>
      <c r="P212" s="1207"/>
      <c r="Q212" s="1207"/>
      <c r="R212" s="1207"/>
      <c r="S212" s="1207"/>
      <c r="T212" s="1207"/>
      <c r="U212" s="1207"/>
      <c r="V212" s="1207"/>
      <c r="W212" s="1207"/>
      <c r="X212" s="1207"/>
      <c r="Y212" s="1207"/>
      <c r="Z212" s="1207"/>
      <c r="AA212" s="1207"/>
      <c r="AB212" s="1207"/>
      <c r="AC212" s="1207"/>
      <c r="AD212" s="1196"/>
      <c r="AE212" s="1196"/>
      <c r="AF212" s="1196"/>
      <c r="AG212" s="1196"/>
      <c r="AH212" s="1196"/>
      <c r="AI212" s="1196"/>
      <c r="AJ212" s="1196"/>
      <c r="AK212" s="1196"/>
      <c r="AL212" s="1196"/>
      <c r="AM212" s="1196"/>
      <c r="AN212" s="1196"/>
      <c r="AO212" s="1196"/>
      <c r="AP212" s="1196"/>
      <c r="AQ212" s="1196"/>
      <c r="AR212" s="1196"/>
      <c r="AS212" s="1196"/>
      <c r="AT212" s="1196"/>
      <c r="AU212" s="1196"/>
      <c r="AV212" s="1196"/>
      <c r="AW212" s="1196"/>
      <c r="AX212" s="1196"/>
      <c r="AY212" s="1196"/>
      <c r="AZ212" s="1196"/>
      <c r="BA212" s="1196"/>
      <c r="BB212" s="1196"/>
      <c r="BC212" s="1196"/>
      <c r="BD212" s="1196"/>
      <c r="BE212" s="1196"/>
      <c r="BF212" s="1196"/>
      <c r="BG212" s="1196"/>
      <c r="BH212" s="1196"/>
      <c r="BI212" s="1196"/>
      <c r="BJ212" s="1196"/>
      <c r="BK212" s="1120"/>
      <c r="BL212" s="1120"/>
    </row>
    <row r="213" spans="1:64" s="401" customFormat="1" x14ac:dyDescent="0.3">
      <c r="A213" s="1154">
        <v>563</v>
      </c>
      <c r="B213" s="1222"/>
      <c r="C213" s="1153">
        <v>563</v>
      </c>
      <c r="D213" s="1203"/>
      <c r="E213" s="1203"/>
      <c r="F213" s="1204"/>
      <c r="G213" s="1205"/>
      <c r="H213" s="1205"/>
      <c r="I213" s="1205"/>
      <c r="J213" s="1205"/>
      <c r="K213" s="1205"/>
      <c r="L213" s="1206"/>
      <c r="M213" s="1196"/>
      <c r="N213" s="1196"/>
      <c r="O213" s="1207"/>
      <c r="P213" s="1207"/>
      <c r="Q213" s="1207"/>
      <c r="R213" s="1207"/>
      <c r="S213" s="1207"/>
      <c r="T213" s="1207"/>
      <c r="U213" s="1207"/>
      <c r="V213" s="1207"/>
      <c r="W213" s="1207"/>
      <c r="X213" s="1207"/>
      <c r="Y213" s="1207"/>
      <c r="Z213" s="1207"/>
      <c r="AA213" s="1207"/>
      <c r="AB213" s="1207"/>
      <c r="AC213" s="1207"/>
      <c r="AD213" s="1196"/>
      <c r="AE213" s="1196"/>
      <c r="AF213" s="1196"/>
      <c r="AG213" s="1196"/>
      <c r="AH213" s="1196"/>
      <c r="AI213" s="1196"/>
      <c r="AJ213" s="1196"/>
      <c r="AK213" s="1196"/>
      <c r="AL213" s="1196"/>
      <c r="AM213" s="1196"/>
      <c r="AN213" s="1196"/>
      <c r="AO213" s="1196"/>
      <c r="AP213" s="1196"/>
      <c r="AQ213" s="1196"/>
      <c r="AR213" s="1196"/>
      <c r="AS213" s="1196"/>
      <c r="AT213" s="1196"/>
      <c r="AU213" s="1196"/>
      <c r="AV213" s="1196"/>
      <c r="AW213" s="1196"/>
      <c r="AX213" s="1196"/>
      <c r="AY213" s="1196"/>
      <c r="AZ213" s="1196"/>
      <c r="BA213" s="1196"/>
      <c r="BB213" s="1196"/>
      <c r="BC213" s="1196"/>
      <c r="BD213" s="1196"/>
      <c r="BE213" s="1196"/>
      <c r="BF213" s="1196"/>
      <c r="BG213" s="1196"/>
      <c r="BH213" s="1196"/>
      <c r="BI213" s="1196"/>
      <c r="BJ213" s="1196"/>
      <c r="BK213" s="1120"/>
      <c r="BL213" s="1120"/>
    </row>
    <row r="214" spans="1:64" s="401" customFormat="1" x14ac:dyDescent="0.3">
      <c r="A214" s="1154">
        <v>564</v>
      </c>
      <c r="B214" s="1222"/>
      <c r="C214" s="1153">
        <v>564</v>
      </c>
      <c r="D214" s="1203"/>
      <c r="E214" s="1203"/>
      <c r="F214" s="1204"/>
      <c r="G214" s="1205"/>
      <c r="H214" s="1205"/>
      <c r="I214" s="1205"/>
      <c r="J214" s="1205"/>
      <c r="K214" s="1205"/>
      <c r="L214" s="1206"/>
      <c r="M214" s="1196"/>
      <c r="N214" s="1196"/>
      <c r="O214" s="1207"/>
      <c r="P214" s="1207"/>
      <c r="Q214" s="1207"/>
      <c r="R214" s="1207"/>
      <c r="S214" s="1207"/>
      <c r="T214" s="1207"/>
      <c r="U214" s="1207"/>
      <c r="V214" s="1207"/>
      <c r="W214" s="1207"/>
      <c r="X214" s="1207"/>
      <c r="Y214" s="1207"/>
      <c r="Z214" s="1207"/>
      <c r="AA214" s="1207"/>
      <c r="AB214" s="1207"/>
      <c r="AC214" s="1207"/>
      <c r="AD214" s="1196"/>
      <c r="AE214" s="1196"/>
      <c r="AF214" s="1196"/>
      <c r="AG214" s="1196"/>
      <c r="AH214" s="1196"/>
      <c r="AI214" s="1196"/>
      <c r="AJ214" s="1196"/>
      <c r="AK214" s="1196"/>
      <c r="AL214" s="1196"/>
      <c r="AM214" s="1196"/>
      <c r="AN214" s="1196"/>
      <c r="AO214" s="1196"/>
      <c r="AP214" s="1196"/>
      <c r="AQ214" s="1196"/>
      <c r="AR214" s="1196"/>
      <c r="AS214" s="1196"/>
      <c r="AT214" s="1196"/>
      <c r="AU214" s="1196"/>
      <c r="AV214" s="1196"/>
      <c r="AW214" s="1196"/>
      <c r="AX214" s="1196"/>
      <c r="AY214" s="1196"/>
      <c r="AZ214" s="1196"/>
      <c r="BA214" s="1196"/>
      <c r="BB214" s="1196"/>
      <c r="BC214" s="1196"/>
      <c r="BD214" s="1196"/>
      <c r="BE214" s="1196"/>
      <c r="BF214" s="1196"/>
      <c r="BG214" s="1196"/>
      <c r="BH214" s="1196"/>
      <c r="BI214" s="1196"/>
      <c r="BJ214" s="1196"/>
      <c r="BK214" s="1120"/>
      <c r="BL214" s="1120"/>
    </row>
    <row r="215" spans="1:64" s="401" customFormat="1" x14ac:dyDescent="0.3">
      <c r="A215" s="1154">
        <v>565</v>
      </c>
      <c r="B215" s="1222"/>
      <c r="C215" s="1153">
        <v>565</v>
      </c>
      <c r="D215" s="1203"/>
      <c r="E215" s="1203"/>
      <c r="F215" s="1204"/>
      <c r="G215" s="1205"/>
      <c r="H215" s="1205"/>
      <c r="I215" s="1205"/>
      <c r="J215" s="1205"/>
      <c r="K215" s="1205"/>
      <c r="L215" s="1206"/>
      <c r="M215" s="1196"/>
      <c r="N215" s="1196"/>
      <c r="O215" s="1207"/>
      <c r="P215" s="1207"/>
      <c r="Q215" s="1207"/>
      <c r="R215" s="1207"/>
      <c r="S215" s="1207"/>
      <c r="T215" s="1207"/>
      <c r="U215" s="1207"/>
      <c r="V215" s="1207"/>
      <c r="W215" s="1207"/>
      <c r="X215" s="1207"/>
      <c r="Y215" s="1207"/>
      <c r="Z215" s="1207"/>
      <c r="AA215" s="1207"/>
      <c r="AB215" s="1207"/>
      <c r="AC215" s="1207"/>
      <c r="AD215" s="1196"/>
      <c r="AE215" s="1196"/>
      <c r="AF215" s="1196"/>
      <c r="AG215" s="1196"/>
      <c r="AH215" s="1196"/>
      <c r="AI215" s="1196"/>
      <c r="AJ215" s="1196"/>
      <c r="AK215" s="1196"/>
      <c r="AL215" s="1196"/>
      <c r="AM215" s="1196"/>
      <c r="AN215" s="1196"/>
      <c r="AO215" s="1196"/>
      <c r="AP215" s="1196"/>
      <c r="AQ215" s="1196"/>
      <c r="AR215" s="1196"/>
      <c r="AS215" s="1196"/>
      <c r="AT215" s="1196"/>
      <c r="AU215" s="1196"/>
      <c r="AV215" s="1196"/>
      <c r="AW215" s="1196"/>
      <c r="AX215" s="1196"/>
      <c r="AY215" s="1196"/>
      <c r="AZ215" s="1196"/>
      <c r="BA215" s="1196"/>
      <c r="BB215" s="1196"/>
      <c r="BC215" s="1196"/>
      <c r="BD215" s="1196"/>
      <c r="BE215" s="1196"/>
      <c r="BF215" s="1196"/>
      <c r="BG215" s="1196"/>
      <c r="BH215" s="1196"/>
      <c r="BI215" s="1196"/>
      <c r="BJ215" s="1196"/>
      <c r="BK215" s="1120"/>
      <c r="BL215" s="1120"/>
    </row>
    <row r="216" spans="1:64" s="401" customFormat="1" x14ac:dyDescent="0.3">
      <c r="A216" s="1154">
        <v>566</v>
      </c>
      <c r="B216" s="1222"/>
      <c r="C216" s="1153">
        <v>566</v>
      </c>
      <c r="D216" s="1203"/>
      <c r="E216" s="1203"/>
      <c r="F216" s="1204"/>
      <c r="G216" s="1205"/>
      <c r="H216" s="1205"/>
      <c r="I216" s="1205"/>
      <c r="J216" s="1205"/>
      <c r="K216" s="1205"/>
      <c r="L216" s="1206"/>
      <c r="M216" s="1196"/>
      <c r="N216" s="1196"/>
      <c r="O216" s="1207"/>
      <c r="P216" s="1207"/>
      <c r="Q216" s="1207"/>
      <c r="R216" s="1207"/>
      <c r="S216" s="1207"/>
      <c r="T216" s="1207"/>
      <c r="U216" s="1207"/>
      <c r="V216" s="1207"/>
      <c r="W216" s="1207"/>
      <c r="X216" s="1207"/>
      <c r="Y216" s="1207"/>
      <c r="Z216" s="1207"/>
      <c r="AA216" s="1207"/>
      <c r="AB216" s="1207"/>
      <c r="AC216" s="1207"/>
      <c r="AD216" s="1196"/>
      <c r="AE216" s="1196"/>
      <c r="AF216" s="1196"/>
      <c r="AG216" s="1196"/>
      <c r="AH216" s="1196"/>
      <c r="AI216" s="1196"/>
      <c r="AJ216" s="1196"/>
      <c r="AK216" s="1196"/>
      <c r="AL216" s="1196"/>
      <c r="AM216" s="1196"/>
      <c r="AN216" s="1196"/>
      <c r="AO216" s="1196"/>
      <c r="AP216" s="1196"/>
      <c r="AQ216" s="1196"/>
      <c r="AR216" s="1196"/>
      <c r="AS216" s="1196"/>
      <c r="AT216" s="1196"/>
      <c r="AU216" s="1196"/>
      <c r="AV216" s="1196"/>
      <c r="AW216" s="1196"/>
      <c r="AX216" s="1196"/>
      <c r="AY216" s="1196"/>
      <c r="AZ216" s="1196"/>
      <c r="BA216" s="1196"/>
      <c r="BB216" s="1196"/>
      <c r="BC216" s="1196"/>
      <c r="BD216" s="1196"/>
      <c r="BE216" s="1196"/>
      <c r="BF216" s="1196"/>
      <c r="BG216" s="1196"/>
      <c r="BH216" s="1196"/>
      <c r="BI216" s="1196"/>
      <c r="BJ216" s="1196"/>
      <c r="BK216" s="1120"/>
      <c r="BL216" s="1120"/>
    </row>
    <row r="217" spans="1:64" s="401" customFormat="1" x14ac:dyDescent="0.3">
      <c r="A217" s="1154">
        <v>567</v>
      </c>
      <c r="B217" s="1222"/>
      <c r="C217" s="1153">
        <v>567</v>
      </c>
      <c r="D217" s="1203"/>
      <c r="E217" s="1203"/>
      <c r="F217" s="1204"/>
      <c r="G217" s="1205"/>
      <c r="H217" s="1205"/>
      <c r="I217" s="1205"/>
      <c r="J217" s="1205"/>
      <c r="K217" s="1205"/>
      <c r="L217" s="1206"/>
      <c r="M217" s="1196"/>
      <c r="N217" s="1196"/>
      <c r="O217" s="1207"/>
      <c r="P217" s="1207"/>
      <c r="Q217" s="1207"/>
      <c r="R217" s="1207"/>
      <c r="S217" s="1207"/>
      <c r="T217" s="1207"/>
      <c r="U217" s="1207"/>
      <c r="V217" s="1207"/>
      <c r="W217" s="1207"/>
      <c r="X217" s="1207"/>
      <c r="Y217" s="1207"/>
      <c r="Z217" s="1207"/>
      <c r="AA217" s="1207"/>
      <c r="AB217" s="1207"/>
      <c r="AC217" s="1207"/>
      <c r="AD217" s="1196"/>
      <c r="AE217" s="1196"/>
      <c r="AF217" s="1196"/>
      <c r="AG217" s="1196"/>
      <c r="AH217" s="1196"/>
      <c r="AI217" s="1196"/>
      <c r="AJ217" s="1196"/>
      <c r="AK217" s="1196"/>
      <c r="AL217" s="1196"/>
      <c r="AM217" s="1196"/>
      <c r="AN217" s="1196"/>
      <c r="AO217" s="1196"/>
      <c r="AP217" s="1196"/>
      <c r="AQ217" s="1196"/>
      <c r="AR217" s="1196"/>
      <c r="AS217" s="1196"/>
      <c r="AT217" s="1196"/>
      <c r="AU217" s="1196"/>
      <c r="AV217" s="1196"/>
      <c r="AW217" s="1196"/>
      <c r="AX217" s="1196"/>
      <c r="AY217" s="1196"/>
      <c r="AZ217" s="1196"/>
      <c r="BA217" s="1196"/>
      <c r="BB217" s="1196"/>
      <c r="BC217" s="1196"/>
      <c r="BD217" s="1196"/>
      <c r="BE217" s="1196"/>
      <c r="BF217" s="1196"/>
      <c r="BG217" s="1196"/>
      <c r="BH217" s="1196"/>
      <c r="BI217" s="1196"/>
      <c r="BJ217" s="1196"/>
      <c r="BK217" s="1120"/>
      <c r="BL217" s="1120"/>
    </row>
    <row r="218" spans="1:64" s="401" customFormat="1" x14ac:dyDescent="0.3">
      <c r="A218" s="1154">
        <v>568</v>
      </c>
      <c r="B218" s="1222"/>
      <c r="C218" s="1153">
        <v>568</v>
      </c>
      <c r="D218" s="1203"/>
      <c r="E218" s="1203"/>
      <c r="F218" s="1204"/>
      <c r="G218" s="1205"/>
      <c r="H218" s="1205"/>
      <c r="I218" s="1205"/>
      <c r="J218" s="1205"/>
      <c r="K218" s="1205"/>
      <c r="L218" s="1206"/>
      <c r="M218" s="1196"/>
      <c r="N218" s="1196"/>
      <c r="O218" s="1207"/>
      <c r="P218" s="1207"/>
      <c r="Q218" s="1207"/>
      <c r="R218" s="1207"/>
      <c r="S218" s="1207"/>
      <c r="T218" s="1207"/>
      <c r="U218" s="1207"/>
      <c r="V218" s="1207"/>
      <c r="W218" s="1207"/>
      <c r="X218" s="1207"/>
      <c r="Y218" s="1207"/>
      <c r="Z218" s="1207"/>
      <c r="AA218" s="1207"/>
      <c r="AB218" s="1207"/>
      <c r="AC218" s="1207"/>
      <c r="AD218" s="1196"/>
      <c r="AE218" s="1196"/>
      <c r="AF218" s="1196"/>
      <c r="AG218" s="1196"/>
      <c r="AH218" s="1196"/>
      <c r="AI218" s="1196"/>
      <c r="AJ218" s="1196"/>
      <c r="AK218" s="1196"/>
      <c r="AL218" s="1196"/>
      <c r="AM218" s="1196"/>
      <c r="AN218" s="1196"/>
      <c r="AO218" s="1196"/>
      <c r="AP218" s="1196"/>
      <c r="AQ218" s="1196"/>
      <c r="AR218" s="1196"/>
      <c r="AS218" s="1196"/>
      <c r="AT218" s="1196"/>
      <c r="AU218" s="1196"/>
      <c r="AV218" s="1196"/>
      <c r="AW218" s="1196"/>
      <c r="AX218" s="1196"/>
      <c r="AY218" s="1196"/>
      <c r="AZ218" s="1196"/>
      <c r="BA218" s="1196"/>
      <c r="BB218" s="1196"/>
      <c r="BC218" s="1196"/>
      <c r="BD218" s="1196"/>
      <c r="BE218" s="1196"/>
      <c r="BF218" s="1196"/>
      <c r="BG218" s="1196"/>
      <c r="BH218" s="1196"/>
      <c r="BI218" s="1196"/>
      <c r="BJ218" s="1196"/>
      <c r="BK218" s="1120"/>
      <c r="BL218" s="1120"/>
    </row>
    <row r="219" spans="1:64" s="401" customFormat="1" x14ac:dyDescent="0.3">
      <c r="A219" s="1154">
        <v>569</v>
      </c>
      <c r="B219" s="1222"/>
      <c r="C219" s="1153">
        <v>569</v>
      </c>
      <c r="D219" s="1203"/>
      <c r="E219" s="1203"/>
      <c r="F219" s="1204"/>
      <c r="G219" s="1205"/>
      <c r="H219" s="1205"/>
      <c r="I219" s="1205"/>
      <c r="J219" s="1205"/>
      <c r="K219" s="1205"/>
      <c r="L219" s="1206"/>
      <c r="M219" s="1196"/>
      <c r="N219" s="1196"/>
      <c r="O219" s="1207"/>
      <c r="P219" s="1207"/>
      <c r="Q219" s="1207"/>
      <c r="R219" s="1207"/>
      <c r="S219" s="1207"/>
      <c r="T219" s="1207"/>
      <c r="U219" s="1207"/>
      <c r="V219" s="1207"/>
      <c r="W219" s="1207"/>
      <c r="X219" s="1207"/>
      <c r="Y219" s="1207"/>
      <c r="Z219" s="1207"/>
      <c r="AA219" s="1207"/>
      <c r="AB219" s="1207"/>
      <c r="AC219" s="1207"/>
      <c r="AD219" s="1196"/>
      <c r="AE219" s="1196"/>
      <c r="AF219" s="1196"/>
      <c r="AG219" s="1196"/>
      <c r="AH219" s="1196"/>
      <c r="AI219" s="1196"/>
      <c r="AJ219" s="1196"/>
      <c r="AK219" s="1196"/>
      <c r="AL219" s="1196"/>
      <c r="AM219" s="1196"/>
      <c r="AN219" s="1196"/>
      <c r="AO219" s="1196"/>
      <c r="AP219" s="1196"/>
      <c r="AQ219" s="1196"/>
      <c r="AR219" s="1196"/>
      <c r="AS219" s="1196"/>
      <c r="AT219" s="1196"/>
      <c r="AU219" s="1196"/>
      <c r="AV219" s="1196"/>
      <c r="AW219" s="1196"/>
      <c r="AX219" s="1196"/>
      <c r="AY219" s="1196"/>
      <c r="AZ219" s="1196"/>
      <c r="BA219" s="1196"/>
      <c r="BB219" s="1196"/>
      <c r="BC219" s="1196"/>
      <c r="BD219" s="1196"/>
      <c r="BE219" s="1196"/>
      <c r="BF219" s="1196"/>
      <c r="BG219" s="1196"/>
      <c r="BH219" s="1196"/>
      <c r="BI219" s="1196"/>
      <c r="BJ219" s="1196"/>
      <c r="BK219" s="1120"/>
      <c r="BL219" s="1120"/>
    </row>
    <row r="220" spans="1:64" s="401" customFormat="1" x14ac:dyDescent="0.3">
      <c r="A220" s="1154">
        <v>570</v>
      </c>
      <c r="B220" s="1222"/>
      <c r="C220" s="1153">
        <v>570</v>
      </c>
      <c r="D220" s="1203"/>
      <c r="E220" s="1203"/>
      <c r="F220" s="1204"/>
      <c r="G220" s="1205"/>
      <c r="H220" s="1205"/>
      <c r="I220" s="1205"/>
      <c r="J220" s="1205"/>
      <c r="K220" s="1205"/>
      <c r="L220" s="1206"/>
      <c r="M220" s="1196"/>
      <c r="N220" s="1196"/>
      <c r="O220" s="1207"/>
      <c r="P220" s="1207"/>
      <c r="Q220" s="1207"/>
      <c r="R220" s="1207"/>
      <c r="S220" s="1207"/>
      <c r="T220" s="1207"/>
      <c r="U220" s="1207"/>
      <c r="V220" s="1207"/>
      <c r="W220" s="1207"/>
      <c r="X220" s="1207"/>
      <c r="Y220" s="1207"/>
      <c r="Z220" s="1207"/>
      <c r="AA220" s="1207"/>
      <c r="AB220" s="1207"/>
      <c r="AC220" s="1207"/>
      <c r="AD220" s="1196"/>
      <c r="AE220" s="1196"/>
      <c r="AF220" s="1196"/>
      <c r="AG220" s="1196"/>
      <c r="AH220" s="1196"/>
      <c r="AI220" s="1196"/>
      <c r="AJ220" s="1196"/>
      <c r="AK220" s="1196"/>
      <c r="AL220" s="1196"/>
      <c r="AM220" s="1196"/>
      <c r="AN220" s="1196"/>
      <c r="AO220" s="1196"/>
      <c r="AP220" s="1196"/>
      <c r="AQ220" s="1196"/>
      <c r="AR220" s="1196"/>
      <c r="AS220" s="1196"/>
      <c r="AT220" s="1196"/>
      <c r="AU220" s="1196"/>
      <c r="AV220" s="1196"/>
      <c r="AW220" s="1196"/>
      <c r="AX220" s="1196"/>
      <c r="AY220" s="1196"/>
      <c r="AZ220" s="1196"/>
      <c r="BA220" s="1196"/>
      <c r="BB220" s="1196"/>
      <c r="BC220" s="1196"/>
      <c r="BD220" s="1196"/>
      <c r="BE220" s="1196"/>
      <c r="BF220" s="1196"/>
      <c r="BG220" s="1196"/>
      <c r="BH220" s="1196"/>
      <c r="BI220" s="1196"/>
      <c r="BJ220" s="1196"/>
      <c r="BK220" s="1120"/>
      <c r="BL220" s="1120"/>
    </row>
    <row r="221" spans="1:64" s="401" customFormat="1" x14ac:dyDescent="0.3">
      <c r="A221" s="1154">
        <v>571</v>
      </c>
      <c r="B221" s="1222"/>
      <c r="C221" s="1153">
        <v>571</v>
      </c>
      <c r="D221" s="1203"/>
      <c r="E221" s="1203"/>
      <c r="F221" s="1204"/>
      <c r="G221" s="1205"/>
      <c r="H221" s="1205"/>
      <c r="I221" s="1205"/>
      <c r="J221" s="1205"/>
      <c r="K221" s="1205"/>
      <c r="L221" s="1206"/>
      <c r="M221" s="1196"/>
      <c r="N221" s="1196"/>
      <c r="O221" s="1207"/>
      <c r="P221" s="1207"/>
      <c r="Q221" s="1207"/>
      <c r="R221" s="1207"/>
      <c r="S221" s="1207"/>
      <c r="T221" s="1207"/>
      <c r="U221" s="1207"/>
      <c r="V221" s="1207"/>
      <c r="W221" s="1207"/>
      <c r="X221" s="1207"/>
      <c r="Y221" s="1207"/>
      <c r="Z221" s="1207"/>
      <c r="AA221" s="1207"/>
      <c r="AB221" s="1207"/>
      <c r="AC221" s="1207"/>
      <c r="AD221" s="1196"/>
      <c r="AE221" s="1196"/>
      <c r="AF221" s="1196"/>
      <c r="AG221" s="1196"/>
      <c r="AH221" s="1196"/>
      <c r="AI221" s="1196"/>
      <c r="AJ221" s="1196"/>
      <c r="AK221" s="1196"/>
      <c r="AL221" s="1196"/>
      <c r="AM221" s="1196"/>
      <c r="AN221" s="1196"/>
      <c r="AO221" s="1196"/>
      <c r="AP221" s="1196"/>
      <c r="AQ221" s="1196"/>
      <c r="AR221" s="1196"/>
      <c r="AS221" s="1196"/>
      <c r="AT221" s="1196"/>
      <c r="AU221" s="1196"/>
      <c r="AV221" s="1196"/>
      <c r="AW221" s="1196"/>
      <c r="AX221" s="1196"/>
      <c r="AY221" s="1196"/>
      <c r="AZ221" s="1196"/>
      <c r="BA221" s="1196"/>
      <c r="BB221" s="1196"/>
      <c r="BC221" s="1196"/>
      <c r="BD221" s="1196"/>
      <c r="BE221" s="1196"/>
      <c r="BF221" s="1196"/>
      <c r="BG221" s="1196"/>
      <c r="BH221" s="1196"/>
      <c r="BI221" s="1196"/>
      <c r="BJ221" s="1196"/>
      <c r="BK221" s="1120"/>
      <c r="BL221" s="1120"/>
    </row>
    <row r="222" spans="1:64" s="401" customFormat="1" x14ac:dyDescent="0.3">
      <c r="A222" s="1154">
        <v>572</v>
      </c>
      <c r="B222" s="1222"/>
      <c r="C222" s="1153">
        <v>572</v>
      </c>
      <c r="D222" s="1203"/>
      <c r="E222" s="1203"/>
      <c r="F222" s="1204"/>
      <c r="G222" s="1205"/>
      <c r="H222" s="1205"/>
      <c r="I222" s="1205"/>
      <c r="J222" s="1205"/>
      <c r="K222" s="1205"/>
      <c r="L222" s="1206"/>
      <c r="M222" s="1196"/>
      <c r="N222" s="1196"/>
      <c r="O222" s="1207"/>
      <c r="P222" s="1207"/>
      <c r="Q222" s="1207"/>
      <c r="R222" s="1207"/>
      <c r="S222" s="1207"/>
      <c r="T222" s="1207"/>
      <c r="U222" s="1207"/>
      <c r="V222" s="1207"/>
      <c r="W222" s="1207"/>
      <c r="X222" s="1207"/>
      <c r="Y222" s="1207"/>
      <c r="Z222" s="1207"/>
      <c r="AA222" s="1207"/>
      <c r="AB222" s="1207"/>
      <c r="AC222" s="1207"/>
      <c r="AD222" s="1196"/>
      <c r="AE222" s="1196"/>
      <c r="AF222" s="1196"/>
      <c r="AG222" s="1196"/>
      <c r="AH222" s="1196"/>
      <c r="AI222" s="1196"/>
      <c r="AJ222" s="1196"/>
      <c r="AK222" s="1196"/>
      <c r="AL222" s="1196"/>
      <c r="AM222" s="1196"/>
      <c r="AN222" s="1196"/>
      <c r="AO222" s="1196"/>
      <c r="AP222" s="1196"/>
      <c r="AQ222" s="1196"/>
      <c r="AR222" s="1196"/>
      <c r="AS222" s="1196"/>
      <c r="AT222" s="1196"/>
      <c r="AU222" s="1196"/>
      <c r="AV222" s="1196"/>
      <c r="AW222" s="1196"/>
      <c r="AX222" s="1196"/>
      <c r="AY222" s="1196"/>
      <c r="AZ222" s="1196"/>
      <c r="BA222" s="1196"/>
      <c r="BB222" s="1196"/>
      <c r="BC222" s="1196"/>
      <c r="BD222" s="1196"/>
      <c r="BE222" s="1196"/>
      <c r="BF222" s="1196"/>
      <c r="BG222" s="1196"/>
      <c r="BH222" s="1196"/>
      <c r="BI222" s="1196"/>
      <c r="BJ222" s="1196"/>
      <c r="BK222" s="1120"/>
      <c r="BL222" s="1120"/>
    </row>
    <row r="223" spans="1:64" s="401" customFormat="1" x14ac:dyDescent="0.3">
      <c r="A223" s="1154">
        <v>573</v>
      </c>
      <c r="B223" s="1222"/>
      <c r="C223" s="1153">
        <v>573</v>
      </c>
      <c r="D223" s="1203"/>
      <c r="E223" s="1203"/>
      <c r="F223" s="1204"/>
      <c r="G223" s="1205"/>
      <c r="H223" s="1205"/>
      <c r="I223" s="1205"/>
      <c r="J223" s="1205"/>
      <c r="K223" s="1205"/>
      <c r="L223" s="1206"/>
      <c r="M223" s="1196"/>
      <c r="N223" s="1196"/>
      <c r="O223" s="1207"/>
      <c r="P223" s="1207"/>
      <c r="Q223" s="1207"/>
      <c r="R223" s="1207"/>
      <c r="S223" s="1207"/>
      <c r="T223" s="1207"/>
      <c r="U223" s="1207"/>
      <c r="V223" s="1207"/>
      <c r="W223" s="1207"/>
      <c r="X223" s="1207"/>
      <c r="Y223" s="1207"/>
      <c r="Z223" s="1207"/>
      <c r="AA223" s="1207"/>
      <c r="AB223" s="1207"/>
      <c r="AC223" s="1207"/>
      <c r="AD223" s="1196"/>
      <c r="AE223" s="1196"/>
      <c r="AF223" s="1196"/>
      <c r="AG223" s="1196"/>
      <c r="AH223" s="1196"/>
      <c r="AI223" s="1196"/>
      <c r="AJ223" s="1196"/>
      <c r="AK223" s="1196"/>
      <c r="AL223" s="1196"/>
      <c r="AM223" s="1196"/>
      <c r="AN223" s="1196"/>
      <c r="AO223" s="1196"/>
      <c r="AP223" s="1196"/>
      <c r="AQ223" s="1196"/>
      <c r="AR223" s="1196"/>
      <c r="AS223" s="1196"/>
      <c r="AT223" s="1196"/>
      <c r="AU223" s="1196"/>
      <c r="AV223" s="1196"/>
      <c r="AW223" s="1196"/>
      <c r="AX223" s="1196"/>
      <c r="AY223" s="1196"/>
      <c r="AZ223" s="1196"/>
      <c r="BA223" s="1196"/>
      <c r="BB223" s="1196"/>
      <c r="BC223" s="1196"/>
      <c r="BD223" s="1196"/>
      <c r="BE223" s="1196"/>
      <c r="BF223" s="1196"/>
      <c r="BG223" s="1196"/>
      <c r="BH223" s="1196"/>
      <c r="BI223" s="1196"/>
      <c r="BJ223" s="1196"/>
      <c r="BK223" s="1120"/>
      <c r="BL223" s="1120"/>
    </row>
    <row r="224" spans="1:64" s="401" customFormat="1" x14ac:dyDescent="0.3">
      <c r="A224" s="1154">
        <v>574</v>
      </c>
      <c r="B224" s="1222"/>
      <c r="C224" s="1153">
        <v>574</v>
      </c>
      <c r="D224" s="1203"/>
      <c r="E224" s="1203"/>
      <c r="F224" s="1204"/>
      <c r="G224" s="1205"/>
      <c r="H224" s="1205"/>
      <c r="I224" s="1205"/>
      <c r="J224" s="1205"/>
      <c r="K224" s="1205"/>
      <c r="L224" s="1206"/>
      <c r="M224" s="1196"/>
      <c r="N224" s="1196"/>
      <c r="O224" s="1207"/>
      <c r="P224" s="1207"/>
      <c r="Q224" s="1207"/>
      <c r="R224" s="1207"/>
      <c r="S224" s="1207"/>
      <c r="T224" s="1207"/>
      <c r="U224" s="1207"/>
      <c r="V224" s="1207"/>
      <c r="W224" s="1207"/>
      <c r="X224" s="1207"/>
      <c r="Y224" s="1207"/>
      <c r="Z224" s="1207"/>
      <c r="AA224" s="1207"/>
      <c r="AB224" s="1207"/>
      <c r="AC224" s="1207"/>
      <c r="AD224" s="1196"/>
      <c r="AE224" s="1196"/>
      <c r="AF224" s="1196"/>
      <c r="AG224" s="1196"/>
      <c r="AH224" s="1196"/>
      <c r="AI224" s="1196"/>
      <c r="AJ224" s="1196"/>
      <c r="AK224" s="1196"/>
      <c r="AL224" s="1196"/>
      <c r="AM224" s="1196"/>
      <c r="AN224" s="1196"/>
      <c r="AO224" s="1196"/>
      <c r="AP224" s="1196"/>
      <c r="AQ224" s="1196"/>
      <c r="AR224" s="1196"/>
      <c r="AS224" s="1196"/>
      <c r="AT224" s="1196"/>
      <c r="AU224" s="1196"/>
      <c r="AV224" s="1196"/>
      <c r="AW224" s="1196"/>
      <c r="AX224" s="1196"/>
      <c r="AY224" s="1196"/>
      <c r="AZ224" s="1196"/>
      <c r="BA224" s="1196"/>
      <c r="BB224" s="1196"/>
      <c r="BC224" s="1196"/>
      <c r="BD224" s="1196"/>
      <c r="BE224" s="1196"/>
      <c r="BF224" s="1196"/>
      <c r="BG224" s="1196"/>
      <c r="BH224" s="1196"/>
      <c r="BI224" s="1196"/>
      <c r="BJ224" s="1196"/>
      <c r="BK224" s="1120"/>
      <c r="BL224" s="1120"/>
    </row>
    <row r="225" spans="1:64" s="401" customFormat="1" x14ac:dyDescent="0.3">
      <c r="A225" s="1154">
        <v>575</v>
      </c>
      <c r="B225" s="1222">
        <v>575</v>
      </c>
      <c r="C225" s="1195">
        <v>575</v>
      </c>
      <c r="D225" s="1195" t="s">
        <v>333</v>
      </c>
      <c r="E225" s="1195"/>
      <c r="F225" s="1170">
        <v>116331</v>
      </c>
      <c r="G225" s="1171">
        <v>334301</v>
      </c>
      <c r="H225" s="1171">
        <v>0</v>
      </c>
      <c r="I225" s="1171">
        <v>0</v>
      </c>
      <c r="J225" s="1171">
        <v>505983</v>
      </c>
      <c r="K225" s="1171">
        <v>0</v>
      </c>
      <c r="L225" s="1172">
        <v>46025</v>
      </c>
      <c r="M225" s="1173">
        <v>0</v>
      </c>
      <c r="N225" s="1173">
        <v>236906</v>
      </c>
      <c r="O225" s="1174">
        <v>0</v>
      </c>
      <c r="P225" s="1174">
        <v>0</v>
      </c>
      <c r="Q225" s="1174">
        <v>0</v>
      </c>
      <c r="R225" s="1174">
        <v>0</v>
      </c>
      <c r="S225" s="1174">
        <v>0</v>
      </c>
      <c r="T225" s="1174">
        <v>0</v>
      </c>
      <c r="U225" s="1174">
        <v>0</v>
      </c>
      <c r="V225" s="1174">
        <v>0</v>
      </c>
      <c r="W225" s="1174">
        <v>0</v>
      </c>
      <c r="X225" s="1174">
        <v>0</v>
      </c>
      <c r="Y225" s="1174">
        <v>0</v>
      </c>
      <c r="Z225" s="1174">
        <v>0</v>
      </c>
      <c r="AA225" s="1174">
        <v>0</v>
      </c>
      <c r="AB225" s="1174">
        <v>0</v>
      </c>
      <c r="AC225" s="1174">
        <v>85000</v>
      </c>
      <c r="AD225" s="1173">
        <v>0</v>
      </c>
      <c r="AE225" s="1173">
        <v>0</v>
      </c>
      <c r="AF225" s="1173">
        <v>0</v>
      </c>
      <c r="AG225" s="1173">
        <v>0</v>
      </c>
      <c r="AH225" s="1173">
        <v>0</v>
      </c>
      <c r="AI225" s="1173">
        <v>0</v>
      </c>
      <c r="AJ225" s="1173">
        <v>0</v>
      </c>
      <c r="AK225" s="1173">
        <v>0</v>
      </c>
      <c r="AL225" s="1173">
        <v>0</v>
      </c>
      <c r="AM225" s="1173">
        <v>0</v>
      </c>
      <c r="AN225" s="1173">
        <v>0</v>
      </c>
      <c r="AO225" s="1173">
        <v>26586</v>
      </c>
      <c r="AP225" s="1173">
        <v>0</v>
      </c>
      <c r="AQ225" s="1173">
        <v>0</v>
      </c>
      <c r="AR225" s="1173">
        <v>35839</v>
      </c>
      <c r="AS225" s="1173">
        <v>147297</v>
      </c>
      <c r="AT225" s="1173">
        <v>32197</v>
      </c>
      <c r="AU225" s="1173">
        <v>38444</v>
      </c>
      <c r="AV225" s="1173">
        <v>4003</v>
      </c>
      <c r="AW225" s="1173">
        <v>990000</v>
      </c>
      <c r="AX225" s="1173">
        <v>0</v>
      </c>
      <c r="AY225" s="1173">
        <v>0</v>
      </c>
      <c r="AZ225" s="1173">
        <v>65876</v>
      </c>
      <c r="BA225" s="1173">
        <v>0</v>
      </c>
      <c r="BB225" s="1173">
        <v>0</v>
      </c>
      <c r="BC225" s="1173">
        <v>0</v>
      </c>
      <c r="BD225" s="1173">
        <v>0</v>
      </c>
      <c r="BE225" s="1173">
        <v>0</v>
      </c>
      <c r="BF225" s="1173">
        <v>0</v>
      </c>
      <c r="BG225" s="1173">
        <v>0</v>
      </c>
      <c r="BH225" s="1173">
        <v>170848</v>
      </c>
      <c r="BI225" s="1173">
        <v>0</v>
      </c>
      <c r="BJ225" s="1173">
        <v>0</v>
      </c>
      <c r="BK225" s="1118"/>
      <c r="BL225" s="1118"/>
    </row>
    <row r="226" spans="1:64" s="401" customFormat="1" x14ac:dyDescent="0.3">
      <c r="A226" s="1154">
        <v>576</v>
      </c>
      <c r="B226" s="1222">
        <v>576</v>
      </c>
      <c r="C226" s="1195">
        <v>576</v>
      </c>
      <c r="D226" s="1195" t="s">
        <v>334</v>
      </c>
      <c r="E226" s="1195"/>
      <c r="F226" s="1170">
        <v>0</v>
      </c>
      <c r="G226" s="1171">
        <v>0</v>
      </c>
      <c r="H226" s="1171">
        <v>0</v>
      </c>
      <c r="I226" s="1171">
        <v>0</v>
      </c>
      <c r="J226" s="1171">
        <v>0</v>
      </c>
      <c r="K226" s="1171">
        <v>0</v>
      </c>
      <c r="L226" s="1172">
        <v>0</v>
      </c>
      <c r="M226" s="1173">
        <v>0</v>
      </c>
      <c r="N226" s="1173">
        <v>0</v>
      </c>
      <c r="O226" s="1174">
        <v>0</v>
      </c>
      <c r="P226" s="1174">
        <v>0</v>
      </c>
      <c r="Q226" s="1174">
        <v>0</v>
      </c>
      <c r="R226" s="1174">
        <v>0</v>
      </c>
      <c r="S226" s="1174">
        <v>0</v>
      </c>
      <c r="T226" s="1174">
        <v>0</v>
      </c>
      <c r="U226" s="1174">
        <v>947437</v>
      </c>
      <c r="V226" s="1174">
        <v>0</v>
      </c>
      <c r="W226" s="1174">
        <v>113463</v>
      </c>
      <c r="X226" s="1174">
        <v>129894</v>
      </c>
      <c r="Y226" s="1174">
        <v>1960</v>
      </c>
      <c r="Z226" s="1174">
        <v>0</v>
      </c>
      <c r="AA226" s="1174">
        <v>0</v>
      </c>
      <c r="AB226" s="1174">
        <v>117961</v>
      </c>
      <c r="AC226" s="1174">
        <v>0</v>
      </c>
      <c r="AD226" s="1173">
        <v>0</v>
      </c>
      <c r="AE226" s="1173">
        <v>0</v>
      </c>
      <c r="AF226" s="1173">
        <v>0</v>
      </c>
      <c r="AG226" s="1173">
        <v>0</v>
      </c>
      <c r="AH226" s="1173">
        <v>0</v>
      </c>
      <c r="AI226" s="1173">
        <v>0</v>
      </c>
      <c r="AJ226" s="1173">
        <v>151500</v>
      </c>
      <c r="AK226" s="1173">
        <v>0</v>
      </c>
      <c r="AL226" s="1173">
        <v>0</v>
      </c>
      <c r="AM226" s="1173">
        <v>0</v>
      </c>
      <c r="AN226" s="1173">
        <v>0</v>
      </c>
      <c r="AO226" s="1173">
        <v>0</v>
      </c>
      <c r="AP226" s="1173">
        <v>0</v>
      </c>
      <c r="AQ226" s="1173">
        <v>0</v>
      </c>
      <c r="AR226" s="1173">
        <v>0</v>
      </c>
      <c r="AS226" s="1173">
        <v>0</v>
      </c>
      <c r="AT226" s="1173">
        <v>0</v>
      </c>
      <c r="AU226" s="1173">
        <v>0</v>
      </c>
      <c r="AV226" s="1173">
        <v>0</v>
      </c>
      <c r="AW226" s="1173">
        <v>0</v>
      </c>
      <c r="AX226" s="1173">
        <v>0</v>
      </c>
      <c r="AY226" s="1173">
        <v>6367</v>
      </c>
      <c r="AZ226" s="1173">
        <v>0</v>
      </c>
      <c r="BA226" s="1173">
        <v>205</v>
      </c>
      <c r="BB226" s="1173">
        <v>2775</v>
      </c>
      <c r="BC226" s="1173">
        <v>2866571</v>
      </c>
      <c r="BD226" s="1173">
        <v>0</v>
      </c>
      <c r="BE226" s="1173">
        <v>0</v>
      </c>
      <c r="BF226" s="1173">
        <v>0</v>
      </c>
      <c r="BG226" s="1173">
        <v>0</v>
      </c>
      <c r="BH226" s="1173">
        <v>0</v>
      </c>
      <c r="BI226" s="1173">
        <v>0</v>
      </c>
      <c r="BJ226" s="1173">
        <v>0</v>
      </c>
      <c r="BK226" s="1118"/>
      <c r="BL226" s="1118"/>
    </row>
    <row r="227" spans="1:64" s="401" customFormat="1" x14ac:dyDescent="0.3">
      <c r="A227" s="1154">
        <v>577</v>
      </c>
      <c r="B227" s="1222">
        <v>577</v>
      </c>
      <c r="C227" s="1195">
        <v>577</v>
      </c>
      <c r="D227" s="1195" t="s">
        <v>383</v>
      </c>
      <c r="E227" s="1195"/>
      <c r="F227" s="1170">
        <v>0</v>
      </c>
      <c r="G227" s="1171">
        <v>0</v>
      </c>
      <c r="H227" s="1171">
        <v>0</v>
      </c>
      <c r="I227" s="1171">
        <v>0</v>
      </c>
      <c r="J227" s="1171">
        <v>0</v>
      </c>
      <c r="K227" s="1171">
        <v>0</v>
      </c>
      <c r="L227" s="1172">
        <v>0</v>
      </c>
      <c r="M227" s="1173">
        <v>0</v>
      </c>
      <c r="N227" s="1173">
        <v>0</v>
      </c>
      <c r="O227" s="1174">
        <v>0</v>
      </c>
      <c r="P227" s="1174">
        <v>0</v>
      </c>
      <c r="Q227" s="1174">
        <v>0</v>
      </c>
      <c r="R227" s="1174">
        <v>0</v>
      </c>
      <c r="S227" s="1174">
        <v>0</v>
      </c>
      <c r="T227" s="1174">
        <v>1</v>
      </c>
      <c r="U227" s="1174">
        <v>0</v>
      </c>
      <c r="V227" s="1174">
        <v>0</v>
      </c>
      <c r="W227" s="1174">
        <v>0</v>
      </c>
      <c r="X227" s="1174">
        <v>0</v>
      </c>
      <c r="Y227" s="1174">
        <v>0</v>
      </c>
      <c r="Z227" s="1174">
        <v>0</v>
      </c>
      <c r="AA227" s="1174">
        <v>0</v>
      </c>
      <c r="AB227" s="1174">
        <v>0</v>
      </c>
      <c r="AC227" s="1174">
        <v>0</v>
      </c>
      <c r="AD227" s="1173">
        <v>0</v>
      </c>
      <c r="AE227" s="1173">
        <v>0</v>
      </c>
      <c r="AF227" s="1173">
        <v>0</v>
      </c>
      <c r="AG227" s="1173">
        <v>0</v>
      </c>
      <c r="AH227" s="1173">
        <v>0</v>
      </c>
      <c r="AI227" s="1173">
        <v>0</v>
      </c>
      <c r="AJ227" s="1173">
        <v>0</v>
      </c>
      <c r="AK227" s="1173">
        <v>0</v>
      </c>
      <c r="AL227" s="1173">
        <v>0</v>
      </c>
      <c r="AM227" s="1173">
        <v>0</v>
      </c>
      <c r="AN227" s="1173">
        <v>0</v>
      </c>
      <c r="AO227" s="1173">
        <v>0</v>
      </c>
      <c r="AP227" s="1173">
        <v>0</v>
      </c>
      <c r="AQ227" s="1173">
        <v>0</v>
      </c>
      <c r="AR227" s="1173">
        <v>0</v>
      </c>
      <c r="AS227" s="1173">
        <v>0</v>
      </c>
      <c r="AT227" s="1173">
        <v>0</v>
      </c>
      <c r="AU227" s="1173">
        <v>0</v>
      </c>
      <c r="AV227" s="1173">
        <v>0</v>
      </c>
      <c r="AW227" s="1173">
        <v>0</v>
      </c>
      <c r="AX227" s="1173">
        <v>0</v>
      </c>
      <c r="AY227" s="1173">
        <v>0</v>
      </c>
      <c r="AZ227" s="1173">
        <v>0</v>
      </c>
      <c r="BA227" s="1173">
        <v>0</v>
      </c>
      <c r="BB227" s="1173">
        <v>0</v>
      </c>
      <c r="BC227" s="1173">
        <v>0</v>
      </c>
      <c r="BD227" s="1173">
        <v>0</v>
      </c>
      <c r="BE227" s="1173">
        <v>0</v>
      </c>
      <c r="BF227" s="1173">
        <v>0</v>
      </c>
      <c r="BG227" s="1173">
        <v>0</v>
      </c>
      <c r="BH227" s="1173">
        <v>0</v>
      </c>
      <c r="BI227" s="1173">
        <v>0</v>
      </c>
      <c r="BJ227" s="1173">
        <v>0</v>
      </c>
      <c r="BK227" s="1118"/>
      <c r="BL227" s="1118"/>
    </row>
    <row r="228" spans="1:64" s="401" customFormat="1" x14ac:dyDescent="0.3">
      <c r="A228" s="1154">
        <v>578</v>
      </c>
      <c r="B228" s="1222"/>
      <c r="C228" s="1195">
        <v>578</v>
      </c>
      <c r="D228" s="1195" t="s">
        <v>384</v>
      </c>
      <c r="E228" s="1195"/>
      <c r="F228" s="1204"/>
      <c r="G228" s="1205"/>
      <c r="H228" s="1205"/>
      <c r="I228" s="1205"/>
      <c r="J228" s="1205"/>
      <c r="K228" s="1205"/>
      <c r="L228" s="1206"/>
      <c r="M228" s="1196"/>
      <c r="N228" s="1196"/>
      <c r="O228" s="1207"/>
      <c r="P228" s="1207"/>
      <c r="Q228" s="1207"/>
      <c r="R228" s="1207"/>
      <c r="S228" s="1207"/>
      <c r="T228" s="1207"/>
      <c r="U228" s="1207"/>
      <c r="V228" s="1207"/>
      <c r="W228" s="1207"/>
      <c r="X228" s="1207"/>
      <c r="Y228" s="1207"/>
      <c r="Z228" s="1207"/>
      <c r="AA228" s="1207"/>
      <c r="AB228" s="1207"/>
      <c r="AC228" s="1207"/>
      <c r="AD228" s="1196"/>
      <c r="AE228" s="1196"/>
      <c r="AF228" s="1196"/>
      <c r="AG228" s="1196"/>
      <c r="AH228" s="1196"/>
      <c r="AI228" s="1196"/>
      <c r="AJ228" s="1196"/>
      <c r="AK228" s="1196"/>
      <c r="AL228" s="1196"/>
      <c r="AM228" s="1196"/>
      <c r="AN228" s="1196"/>
      <c r="AO228" s="1196"/>
      <c r="AP228" s="1196"/>
      <c r="AQ228" s="1196"/>
      <c r="AR228" s="1196"/>
      <c r="AS228" s="1196"/>
      <c r="AT228" s="1196"/>
      <c r="AU228" s="1196"/>
      <c r="AV228" s="1196"/>
      <c r="AW228" s="1196"/>
      <c r="AX228" s="1196"/>
      <c r="AY228" s="1196"/>
      <c r="AZ228" s="1196"/>
      <c r="BA228" s="1196"/>
      <c r="BB228" s="1196"/>
      <c r="BC228" s="1196"/>
      <c r="BD228" s="1196"/>
      <c r="BE228" s="1196"/>
      <c r="BF228" s="1196"/>
      <c r="BG228" s="1196"/>
      <c r="BH228" s="1196"/>
      <c r="BI228" s="1196"/>
      <c r="BJ228" s="1196"/>
      <c r="BK228" s="1118"/>
      <c r="BL228" s="1118"/>
    </row>
    <row r="229" spans="1:64" s="401" customFormat="1" x14ac:dyDescent="0.3">
      <c r="A229" s="1154">
        <v>579</v>
      </c>
      <c r="B229" s="1222"/>
      <c r="C229" s="1195">
        <v>579</v>
      </c>
      <c r="D229" s="1195" t="s">
        <v>385</v>
      </c>
      <c r="E229" s="1195"/>
      <c r="F229" s="1204"/>
      <c r="G229" s="1205"/>
      <c r="H229" s="1205"/>
      <c r="I229" s="1205"/>
      <c r="J229" s="1205"/>
      <c r="K229" s="1205"/>
      <c r="L229" s="1206"/>
      <c r="M229" s="1196"/>
      <c r="N229" s="1196"/>
      <c r="O229" s="1207"/>
      <c r="P229" s="1207"/>
      <c r="Q229" s="1207"/>
      <c r="R229" s="1207"/>
      <c r="S229" s="1207"/>
      <c r="T229" s="1207"/>
      <c r="U229" s="1207"/>
      <c r="V229" s="1207"/>
      <c r="W229" s="1207"/>
      <c r="X229" s="1207"/>
      <c r="Y229" s="1207"/>
      <c r="Z229" s="1207"/>
      <c r="AA229" s="1207"/>
      <c r="AB229" s="1207"/>
      <c r="AC229" s="1207"/>
      <c r="AD229" s="1196"/>
      <c r="AE229" s="1196"/>
      <c r="AF229" s="1196"/>
      <c r="AG229" s="1196"/>
      <c r="AH229" s="1196"/>
      <c r="AI229" s="1196"/>
      <c r="AJ229" s="1196"/>
      <c r="AK229" s="1196"/>
      <c r="AL229" s="1196"/>
      <c r="AM229" s="1196"/>
      <c r="AN229" s="1196"/>
      <c r="AO229" s="1196"/>
      <c r="AP229" s="1196"/>
      <c r="AQ229" s="1196"/>
      <c r="AR229" s="1196"/>
      <c r="AS229" s="1196"/>
      <c r="AT229" s="1196"/>
      <c r="AU229" s="1196"/>
      <c r="AV229" s="1196"/>
      <c r="AW229" s="1196"/>
      <c r="AX229" s="1196"/>
      <c r="AY229" s="1196"/>
      <c r="AZ229" s="1196"/>
      <c r="BA229" s="1196"/>
      <c r="BB229" s="1196"/>
      <c r="BC229" s="1196"/>
      <c r="BD229" s="1196"/>
      <c r="BE229" s="1196"/>
      <c r="BF229" s="1196"/>
      <c r="BG229" s="1196"/>
      <c r="BH229" s="1196"/>
      <c r="BI229" s="1196"/>
      <c r="BJ229" s="1196"/>
      <c r="BK229" s="1118"/>
      <c r="BL229" s="1118"/>
    </row>
    <row r="230" spans="1:64" s="401" customFormat="1" x14ac:dyDescent="0.3">
      <c r="A230" s="1154">
        <v>580</v>
      </c>
      <c r="B230" s="1222"/>
      <c r="C230" s="1195">
        <v>580</v>
      </c>
      <c r="D230" s="1195" t="s">
        <v>386</v>
      </c>
      <c r="E230" s="1195"/>
      <c r="F230" s="1204"/>
      <c r="G230" s="1205"/>
      <c r="H230" s="1205"/>
      <c r="I230" s="1205"/>
      <c r="J230" s="1205"/>
      <c r="K230" s="1205"/>
      <c r="L230" s="1206"/>
      <c r="M230" s="1196"/>
      <c r="N230" s="1196"/>
      <c r="O230" s="1207"/>
      <c r="P230" s="1207"/>
      <c r="Q230" s="1207"/>
      <c r="R230" s="1207"/>
      <c r="S230" s="1207"/>
      <c r="T230" s="1207"/>
      <c r="U230" s="1207"/>
      <c r="V230" s="1207"/>
      <c r="W230" s="1207"/>
      <c r="X230" s="1207"/>
      <c r="Y230" s="1207"/>
      <c r="Z230" s="1207"/>
      <c r="AA230" s="1207"/>
      <c r="AB230" s="1207"/>
      <c r="AC230" s="1207"/>
      <c r="AD230" s="1196"/>
      <c r="AE230" s="1196"/>
      <c r="AF230" s="1196"/>
      <c r="AG230" s="1196"/>
      <c r="AH230" s="1196"/>
      <c r="AI230" s="1196"/>
      <c r="AJ230" s="1196"/>
      <c r="AK230" s="1196"/>
      <c r="AL230" s="1196"/>
      <c r="AM230" s="1196"/>
      <c r="AN230" s="1196"/>
      <c r="AO230" s="1196"/>
      <c r="AP230" s="1196"/>
      <c r="AQ230" s="1196"/>
      <c r="AR230" s="1196"/>
      <c r="AS230" s="1196"/>
      <c r="AT230" s="1196"/>
      <c r="AU230" s="1196"/>
      <c r="AV230" s="1196"/>
      <c r="AW230" s="1196"/>
      <c r="AX230" s="1196"/>
      <c r="AY230" s="1196"/>
      <c r="AZ230" s="1196"/>
      <c r="BA230" s="1196"/>
      <c r="BB230" s="1196"/>
      <c r="BC230" s="1196"/>
      <c r="BD230" s="1196"/>
      <c r="BE230" s="1196"/>
      <c r="BF230" s="1196"/>
      <c r="BG230" s="1196"/>
      <c r="BH230" s="1196"/>
      <c r="BI230" s="1196"/>
      <c r="BJ230" s="1196"/>
      <c r="BK230" s="1118"/>
      <c r="BL230" s="1118"/>
    </row>
    <row r="231" spans="1:64" s="401" customFormat="1" x14ac:dyDescent="0.3">
      <c r="A231" s="1154">
        <v>581</v>
      </c>
      <c r="B231" s="1222"/>
      <c r="C231" s="1195">
        <v>581</v>
      </c>
      <c r="D231" s="1195" t="s">
        <v>387</v>
      </c>
      <c r="E231" s="1195"/>
      <c r="F231" s="1204"/>
      <c r="G231" s="1205"/>
      <c r="H231" s="1205"/>
      <c r="I231" s="1205"/>
      <c r="J231" s="1205"/>
      <c r="K231" s="1205"/>
      <c r="L231" s="1206"/>
      <c r="M231" s="1196"/>
      <c r="N231" s="1196"/>
      <c r="O231" s="1207"/>
      <c r="P231" s="1207"/>
      <c r="Q231" s="1207"/>
      <c r="R231" s="1207"/>
      <c r="S231" s="1207"/>
      <c r="T231" s="1207"/>
      <c r="U231" s="1207"/>
      <c r="V231" s="1207"/>
      <c r="W231" s="1207"/>
      <c r="X231" s="1207"/>
      <c r="Y231" s="1207"/>
      <c r="Z231" s="1207"/>
      <c r="AA231" s="1207"/>
      <c r="AB231" s="1207"/>
      <c r="AC231" s="1207"/>
      <c r="AD231" s="1196"/>
      <c r="AE231" s="1196"/>
      <c r="AF231" s="1196"/>
      <c r="AG231" s="1196"/>
      <c r="AH231" s="1196"/>
      <c r="AI231" s="1196"/>
      <c r="AJ231" s="1196"/>
      <c r="AK231" s="1196"/>
      <c r="AL231" s="1196"/>
      <c r="AM231" s="1196"/>
      <c r="AN231" s="1196"/>
      <c r="AO231" s="1196"/>
      <c r="AP231" s="1196"/>
      <c r="AQ231" s="1196"/>
      <c r="AR231" s="1196"/>
      <c r="AS231" s="1196"/>
      <c r="AT231" s="1196"/>
      <c r="AU231" s="1196"/>
      <c r="AV231" s="1196"/>
      <c r="AW231" s="1196"/>
      <c r="AX231" s="1196"/>
      <c r="AY231" s="1196"/>
      <c r="AZ231" s="1196"/>
      <c r="BA231" s="1196"/>
      <c r="BB231" s="1196"/>
      <c r="BC231" s="1196"/>
      <c r="BD231" s="1196"/>
      <c r="BE231" s="1196"/>
      <c r="BF231" s="1196"/>
      <c r="BG231" s="1196"/>
      <c r="BH231" s="1196"/>
      <c r="BI231" s="1196"/>
      <c r="BJ231" s="1196"/>
      <c r="BK231" s="1118"/>
      <c r="BL231" s="1118"/>
    </row>
    <row r="232" spans="1:64" s="401" customFormat="1" x14ac:dyDescent="0.3">
      <c r="A232" s="1154">
        <v>582</v>
      </c>
      <c r="B232" s="1222"/>
      <c r="C232" s="1195">
        <v>582</v>
      </c>
      <c r="D232" s="1195" t="s">
        <v>388</v>
      </c>
      <c r="E232" s="1195"/>
      <c r="F232" s="1204"/>
      <c r="G232" s="1205"/>
      <c r="H232" s="1205"/>
      <c r="I232" s="1205"/>
      <c r="J232" s="1205"/>
      <c r="K232" s="1205"/>
      <c r="L232" s="1206"/>
      <c r="M232" s="1196"/>
      <c r="N232" s="1196"/>
      <c r="O232" s="1207"/>
      <c r="P232" s="1207"/>
      <c r="Q232" s="1207"/>
      <c r="R232" s="1207"/>
      <c r="S232" s="1207"/>
      <c r="T232" s="1207"/>
      <c r="U232" s="1207"/>
      <c r="V232" s="1207"/>
      <c r="W232" s="1207"/>
      <c r="X232" s="1207"/>
      <c r="Y232" s="1207"/>
      <c r="Z232" s="1207"/>
      <c r="AA232" s="1207"/>
      <c r="AB232" s="1207"/>
      <c r="AC232" s="1207"/>
      <c r="AD232" s="1196"/>
      <c r="AE232" s="1196"/>
      <c r="AF232" s="1196"/>
      <c r="AG232" s="1196"/>
      <c r="AH232" s="1196"/>
      <c r="AI232" s="1196"/>
      <c r="AJ232" s="1196"/>
      <c r="AK232" s="1196"/>
      <c r="AL232" s="1196"/>
      <c r="AM232" s="1196"/>
      <c r="AN232" s="1196"/>
      <c r="AO232" s="1196"/>
      <c r="AP232" s="1196"/>
      <c r="AQ232" s="1196"/>
      <c r="AR232" s="1196"/>
      <c r="AS232" s="1196"/>
      <c r="AT232" s="1196"/>
      <c r="AU232" s="1196"/>
      <c r="AV232" s="1196"/>
      <c r="AW232" s="1196"/>
      <c r="AX232" s="1196"/>
      <c r="AY232" s="1196"/>
      <c r="AZ232" s="1196"/>
      <c r="BA232" s="1196"/>
      <c r="BB232" s="1196"/>
      <c r="BC232" s="1196"/>
      <c r="BD232" s="1196"/>
      <c r="BE232" s="1196"/>
      <c r="BF232" s="1196"/>
      <c r="BG232" s="1196"/>
      <c r="BH232" s="1196"/>
      <c r="BI232" s="1196"/>
      <c r="BJ232" s="1196"/>
      <c r="BK232" s="1118"/>
      <c r="BL232" s="1118"/>
    </row>
    <row r="233" spans="1:64" s="401" customFormat="1" x14ac:dyDescent="0.3">
      <c r="A233" s="1154">
        <v>583</v>
      </c>
      <c r="B233" s="1222"/>
      <c r="C233" s="1195">
        <v>583</v>
      </c>
      <c r="D233" s="1195" t="s">
        <v>389</v>
      </c>
      <c r="E233" s="1195"/>
      <c r="F233" s="1204"/>
      <c r="G233" s="1205"/>
      <c r="H233" s="1205"/>
      <c r="I233" s="1205"/>
      <c r="J233" s="1205"/>
      <c r="K233" s="1205"/>
      <c r="L233" s="1206"/>
      <c r="M233" s="1196"/>
      <c r="N233" s="1196"/>
      <c r="O233" s="1207"/>
      <c r="P233" s="1207"/>
      <c r="Q233" s="1207"/>
      <c r="R233" s="1207"/>
      <c r="S233" s="1207"/>
      <c r="T233" s="1207"/>
      <c r="U233" s="1207"/>
      <c r="V233" s="1207"/>
      <c r="W233" s="1207"/>
      <c r="X233" s="1207"/>
      <c r="Y233" s="1207"/>
      <c r="Z233" s="1207"/>
      <c r="AA233" s="1207"/>
      <c r="AB233" s="1207"/>
      <c r="AC233" s="1207"/>
      <c r="AD233" s="1196"/>
      <c r="AE233" s="1196"/>
      <c r="AF233" s="1196"/>
      <c r="AG233" s="1196"/>
      <c r="AH233" s="1196"/>
      <c r="AI233" s="1196"/>
      <c r="AJ233" s="1196"/>
      <c r="AK233" s="1196"/>
      <c r="AL233" s="1196"/>
      <c r="AM233" s="1196"/>
      <c r="AN233" s="1196"/>
      <c r="AO233" s="1196"/>
      <c r="AP233" s="1196"/>
      <c r="AQ233" s="1196"/>
      <c r="AR233" s="1196"/>
      <c r="AS233" s="1196"/>
      <c r="AT233" s="1196"/>
      <c r="AU233" s="1196"/>
      <c r="AV233" s="1196"/>
      <c r="AW233" s="1196"/>
      <c r="AX233" s="1196"/>
      <c r="AY233" s="1196"/>
      <c r="AZ233" s="1196"/>
      <c r="BA233" s="1196"/>
      <c r="BB233" s="1196"/>
      <c r="BC233" s="1196"/>
      <c r="BD233" s="1196"/>
      <c r="BE233" s="1196"/>
      <c r="BF233" s="1196"/>
      <c r="BG233" s="1196"/>
      <c r="BH233" s="1196"/>
      <c r="BI233" s="1196"/>
      <c r="BJ233" s="1196"/>
      <c r="BK233" s="1118"/>
      <c r="BL233" s="1118"/>
    </row>
    <row r="234" spans="1:64" s="401" customFormat="1" x14ac:dyDescent="0.3">
      <c r="A234" s="1154">
        <v>584</v>
      </c>
      <c r="B234" s="1222"/>
      <c r="C234" s="1195">
        <v>584</v>
      </c>
      <c r="D234" s="1195" t="s">
        <v>390</v>
      </c>
      <c r="E234" s="1195"/>
      <c r="F234" s="1204"/>
      <c r="G234" s="1205"/>
      <c r="H234" s="1205"/>
      <c r="I234" s="1205"/>
      <c r="J234" s="1205"/>
      <c r="K234" s="1205"/>
      <c r="L234" s="1206"/>
      <c r="M234" s="1196"/>
      <c r="N234" s="1196"/>
      <c r="O234" s="1207"/>
      <c r="P234" s="1207"/>
      <c r="Q234" s="1207"/>
      <c r="R234" s="1207"/>
      <c r="S234" s="1207"/>
      <c r="T234" s="1207"/>
      <c r="U234" s="1207"/>
      <c r="V234" s="1207"/>
      <c r="W234" s="1207"/>
      <c r="X234" s="1207"/>
      <c r="Y234" s="1207"/>
      <c r="Z234" s="1207"/>
      <c r="AA234" s="1207"/>
      <c r="AB234" s="1207"/>
      <c r="AC234" s="1207"/>
      <c r="AD234" s="1196"/>
      <c r="AE234" s="1196"/>
      <c r="AF234" s="1196"/>
      <c r="AG234" s="1196"/>
      <c r="AH234" s="1196"/>
      <c r="AI234" s="1196"/>
      <c r="AJ234" s="1196"/>
      <c r="AK234" s="1196"/>
      <c r="AL234" s="1196"/>
      <c r="AM234" s="1196"/>
      <c r="AN234" s="1196"/>
      <c r="AO234" s="1196"/>
      <c r="AP234" s="1196"/>
      <c r="AQ234" s="1196"/>
      <c r="AR234" s="1196"/>
      <c r="AS234" s="1196"/>
      <c r="AT234" s="1196"/>
      <c r="AU234" s="1196"/>
      <c r="AV234" s="1196"/>
      <c r="AW234" s="1196"/>
      <c r="AX234" s="1196"/>
      <c r="AY234" s="1196"/>
      <c r="AZ234" s="1196"/>
      <c r="BA234" s="1196"/>
      <c r="BB234" s="1196"/>
      <c r="BC234" s="1196"/>
      <c r="BD234" s="1196"/>
      <c r="BE234" s="1196"/>
      <c r="BF234" s="1196"/>
      <c r="BG234" s="1196"/>
      <c r="BH234" s="1196"/>
      <c r="BI234" s="1196"/>
      <c r="BJ234" s="1196"/>
      <c r="BK234" s="1118"/>
      <c r="BL234" s="1118"/>
    </row>
    <row r="235" spans="1:64" s="401" customFormat="1" x14ac:dyDescent="0.3">
      <c r="A235" s="1154">
        <v>585</v>
      </c>
      <c r="B235" s="1222"/>
      <c r="C235" s="1195">
        <v>585</v>
      </c>
      <c r="D235" s="1195" t="s">
        <v>391</v>
      </c>
      <c r="E235" s="1195"/>
      <c r="F235" s="1204"/>
      <c r="G235" s="1205"/>
      <c r="H235" s="1205"/>
      <c r="I235" s="1205"/>
      <c r="J235" s="1205"/>
      <c r="K235" s="1205"/>
      <c r="L235" s="1206"/>
      <c r="M235" s="1196"/>
      <c r="N235" s="1196"/>
      <c r="O235" s="1207"/>
      <c r="P235" s="1207"/>
      <c r="Q235" s="1207"/>
      <c r="R235" s="1207"/>
      <c r="S235" s="1207"/>
      <c r="T235" s="1207"/>
      <c r="U235" s="1207"/>
      <c r="V235" s="1207"/>
      <c r="W235" s="1207"/>
      <c r="X235" s="1207"/>
      <c r="Y235" s="1207"/>
      <c r="Z235" s="1207"/>
      <c r="AA235" s="1207"/>
      <c r="AB235" s="1207"/>
      <c r="AC235" s="1207"/>
      <c r="AD235" s="1196"/>
      <c r="AE235" s="1196"/>
      <c r="AF235" s="1196"/>
      <c r="AG235" s="1196"/>
      <c r="AH235" s="1196"/>
      <c r="AI235" s="1196"/>
      <c r="AJ235" s="1196"/>
      <c r="AK235" s="1196"/>
      <c r="AL235" s="1196"/>
      <c r="AM235" s="1196"/>
      <c r="AN235" s="1196"/>
      <c r="AO235" s="1196"/>
      <c r="AP235" s="1196"/>
      <c r="AQ235" s="1196"/>
      <c r="AR235" s="1196"/>
      <c r="AS235" s="1196"/>
      <c r="AT235" s="1196"/>
      <c r="AU235" s="1196"/>
      <c r="AV235" s="1196"/>
      <c r="AW235" s="1196"/>
      <c r="AX235" s="1196"/>
      <c r="AY235" s="1196"/>
      <c r="AZ235" s="1196"/>
      <c r="BA235" s="1196"/>
      <c r="BB235" s="1196"/>
      <c r="BC235" s="1196"/>
      <c r="BD235" s="1196"/>
      <c r="BE235" s="1196"/>
      <c r="BF235" s="1196"/>
      <c r="BG235" s="1196"/>
      <c r="BH235" s="1196"/>
      <c r="BI235" s="1196"/>
      <c r="BJ235" s="1196"/>
      <c r="BK235" s="1118"/>
      <c r="BL235" s="1118"/>
    </row>
    <row r="236" spans="1:64" s="401" customFormat="1" x14ac:dyDescent="0.3">
      <c r="A236" s="1154">
        <v>586</v>
      </c>
      <c r="B236" s="1222">
        <v>586</v>
      </c>
      <c r="C236" s="1195">
        <v>586</v>
      </c>
      <c r="D236" s="1195" t="s">
        <v>392</v>
      </c>
      <c r="E236" s="1195"/>
      <c r="F236" s="1170">
        <v>0</v>
      </c>
      <c r="G236" s="1171">
        <v>0</v>
      </c>
      <c r="H236" s="1171">
        <v>0</v>
      </c>
      <c r="I236" s="1171">
        <v>0</v>
      </c>
      <c r="J236" s="1171">
        <v>0</v>
      </c>
      <c r="K236" s="1171">
        <v>0</v>
      </c>
      <c r="L236" s="1172">
        <v>0</v>
      </c>
      <c r="M236" s="1173">
        <v>0</v>
      </c>
      <c r="N236" s="1173">
        <v>0</v>
      </c>
      <c r="O236" s="1174">
        <v>0</v>
      </c>
      <c r="P236" s="1174">
        <v>0</v>
      </c>
      <c r="Q236" s="1174">
        <v>0</v>
      </c>
      <c r="R236" s="1174">
        <v>0</v>
      </c>
      <c r="S236" s="1174">
        <v>0</v>
      </c>
      <c r="T236" s="1174">
        <v>0</v>
      </c>
      <c r="U236" s="1174">
        <v>0</v>
      </c>
      <c r="V236" s="1174">
        <v>0</v>
      </c>
      <c r="W236" s="1174">
        <v>0</v>
      </c>
      <c r="X236" s="1174">
        <v>0</v>
      </c>
      <c r="Y236" s="1174">
        <v>0</v>
      </c>
      <c r="Z236" s="1174">
        <v>0</v>
      </c>
      <c r="AA236" s="1174">
        <v>0</v>
      </c>
      <c r="AB236" s="1174">
        <v>0</v>
      </c>
      <c r="AC236" s="1174">
        <v>0</v>
      </c>
      <c r="AD236" s="1173">
        <v>0</v>
      </c>
      <c r="AE236" s="1173">
        <v>0</v>
      </c>
      <c r="AF236" s="1173">
        <v>0</v>
      </c>
      <c r="AG236" s="1173">
        <v>0</v>
      </c>
      <c r="AH236" s="1173">
        <v>0</v>
      </c>
      <c r="AI236" s="1173">
        <v>0</v>
      </c>
      <c r="AJ236" s="1173">
        <v>0</v>
      </c>
      <c r="AK236" s="1173">
        <v>0</v>
      </c>
      <c r="AL236" s="1173">
        <v>0</v>
      </c>
      <c r="AM236" s="1173">
        <v>0</v>
      </c>
      <c r="AN236" s="1173">
        <v>0</v>
      </c>
      <c r="AO236" s="1173">
        <v>0</v>
      </c>
      <c r="AP236" s="1173">
        <v>0</v>
      </c>
      <c r="AQ236" s="1173">
        <v>0</v>
      </c>
      <c r="AR236" s="1173">
        <v>0</v>
      </c>
      <c r="AS236" s="1173">
        <v>0</v>
      </c>
      <c r="AT236" s="1173">
        <v>0</v>
      </c>
      <c r="AU236" s="1173">
        <v>0</v>
      </c>
      <c r="AV236" s="1173">
        <v>0</v>
      </c>
      <c r="AW236" s="1173">
        <v>0</v>
      </c>
      <c r="AX236" s="1173">
        <v>0</v>
      </c>
      <c r="AY236" s="1173">
        <v>0</v>
      </c>
      <c r="AZ236" s="1173">
        <v>0</v>
      </c>
      <c r="BA236" s="1173">
        <v>0</v>
      </c>
      <c r="BB236" s="1173">
        <v>0</v>
      </c>
      <c r="BC236" s="1173">
        <v>0</v>
      </c>
      <c r="BD236" s="1173">
        <v>0</v>
      </c>
      <c r="BE236" s="1173">
        <v>0</v>
      </c>
      <c r="BF236" s="1173">
        <v>0</v>
      </c>
      <c r="BG236" s="1173">
        <v>0</v>
      </c>
      <c r="BH236" s="1173">
        <v>0</v>
      </c>
      <c r="BI236" s="1173">
        <v>0</v>
      </c>
      <c r="BJ236" s="1173">
        <v>0</v>
      </c>
      <c r="BK236" s="1118"/>
      <c r="BL236" s="1118"/>
    </row>
    <row r="237" spans="1:64" s="401" customFormat="1" x14ac:dyDescent="0.3">
      <c r="A237" s="1154">
        <v>587</v>
      </c>
      <c r="B237" s="1222">
        <v>587</v>
      </c>
      <c r="C237" s="1195">
        <v>587</v>
      </c>
      <c r="D237" s="1195" t="s">
        <v>393</v>
      </c>
      <c r="E237" s="1195"/>
      <c r="F237" s="1170">
        <v>0</v>
      </c>
      <c r="G237" s="1171">
        <v>0</v>
      </c>
      <c r="H237" s="1171">
        <v>0</v>
      </c>
      <c r="I237" s="1171">
        <v>0</v>
      </c>
      <c r="J237" s="1171">
        <v>0</v>
      </c>
      <c r="K237" s="1171">
        <v>0</v>
      </c>
      <c r="L237" s="1172">
        <v>0</v>
      </c>
      <c r="M237" s="1173">
        <v>0</v>
      </c>
      <c r="N237" s="1173">
        <v>0</v>
      </c>
      <c r="O237" s="1174">
        <v>0</v>
      </c>
      <c r="P237" s="1174">
        <v>0</v>
      </c>
      <c r="Q237" s="1174">
        <v>0</v>
      </c>
      <c r="R237" s="1174">
        <v>0</v>
      </c>
      <c r="S237" s="1174">
        <v>0</v>
      </c>
      <c r="T237" s="1174">
        <v>0</v>
      </c>
      <c r="U237" s="1174">
        <v>0</v>
      </c>
      <c r="V237" s="1174">
        <v>0</v>
      </c>
      <c r="W237" s="1174">
        <v>0</v>
      </c>
      <c r="X237" s="1174">
        <v>0</v>
      </c>
      <c r="Y237" s="1174">
        <v>0</v>
      </c>
      <c r="Z237" s="1174">
        <v>0</v>
      </c>
      <c r="AA237" s="1174">
        <v>0</v>
      </c>
      <c r="AB237" s="1174">
        <v>0</v>
      </c>
      <c r="AC237" s="1174">
        <v>0</v>
      </c>
      <c r="AD237" s="1173">
        <v>0</v>
      </c>
      <c r="AE237" s="1173">
        <v>0</v>
      </c>
      <c r="AF237" s="1173">
        <v>0</v>
      </c>
      <c r="AG237" s="1173">
        <v>0</v>
      </c>
      <c r="AH237" s="1173">
        <v>0</v>
      </c>
      <c r="AI237" s="1173">
        <v>0</v>
      </c>
      <c r="AJ237" s="1173">
        <v>0</v>
      </c>
      <c r="AK237" s="1173">
        <v>0</v>
      </c>
      <c r="AL237" s="1173">
        <v>0</v>
      </c>
      <c r="AM237" s="1173">
        <v>0</v>
      </c>
      <c r="AN237" s="1173">
        <v>0</v>
      </c>
      <c r="AO237" s="1173">
        <v>0</v>
      </c>
      <c r="AP237" s="1173">
        <v>0</v>
      </c>
      <c r="AQ237" s="1173">
        <v>0</v>
      </c>
      <c r="AR237" s="1173">
        <v>0</v>
      </c>
      <c r="AS237" s="1173">
        <v>0</v>
      </c>
      <c r="AT237" s="1173">
        <v>0</v>
      </c>
      <c r="AU237" s="1173">
        <v>0</v>
      </c>
      <c r="AV237" s="1173">
        <v>0</v>
      </c>
      <c r="AW237" s="1173">
        <v>0</v>
      </c>
      <c r="AX237" s="1173">
        <v>0</v>
      </c>
      <c r="AY237" s="1173">
        <v>0</v>
      </c>
      <c r="AZ237" s="1173">
        <v>0</v>
      </c>
      <c r="BA237" s="1173">
        <v>0</v>
      </c>
      <c r="BB237" s="1173">
        <v>0</v>
      </c>
      <c r="BC237" s="1173">
        <v>0</v>
      </c>
      <c r="BD237" s="1173">
        <v>0</v>
      </c>
      <c r="BE237" s="1173">
        <v>0</v>
      </c>
      <c r="BF237" s="1173">
        <v>0</v>
      </c>
      <c r="BG237" s="1173">
        <v>0</v>
      </c>
      <c r="BH237" s="1173">
        <v>0</v>
      </c>
      <c r="BI237" s="1173">
        <v>0</v>
      </c>
      <c r="BJ237" s="1173">
        <v>0</v>
      </c>
      <c r="BK237" s="1118"/>
      <c r="BL237" s="1118"/>
    </row>
    <row r="238" spans="1:64" s="401" customFormat="1" x14ac:dyDescent="0.3">
      <c r="A238" s="1154">
        <v>588</v>
      </c>
      <c r="B238" s="1222">
        <v>588</v>
      </c>
      <c r="C238" s="1195">
        <v>588</v>
      </c>
      <c r="D238" s="1195" t="s">
        <v>394</v>
      </c>
      <c r="E238" s="1195"/>
      <c r="F238" s="1170">
        <v>0</v>
      </c>
      <c r="G238" s="1171">
        <v>0</v>
      </c>
      <c r="H238" s="1171">
        <v>0</v>
      </c>
      <c r="I238" s="1171">
        <v>0</v>
      </c>
      <c r="J238" s="1171">
        <v>0</v>
      </c>
      <c r="K238" s="1171">
        <v>0</v>
      </c>
      <c r="L238" s="1172">
        <v>0</v>
      </c>
      <c r="M238" s="1173">
        <v>0</v>
      </c>
      <c r="N238" s="1173">
        <v>0</v>
      </c>
      <c r="O238" s="1174">
        <v>0</v>
      </c>
      <c r="P238" s="1174">
        <v>0</v>
      </c>
      <c r="Q238" s="1174">
        <v>0</v>
      </c>
      <c r="R238" s="1174">
        <v>0</v>
      </c>
      <c r="S238" s="1174">
        <v>0</v>
      </c>
      <c r="T238" s="1174">
        <v>0</v>
      </c>
      <c r="U238" s="1174">
        <v>0</v>
      </c>
      <c r="V238" s="1174">
        <v>0</v>
      </c>
      <c r="W238" s="1174">
        <v>0</v>
      </c>
      <c r="X238" s="1174">
        <v>0</v>
      </c>
      <c r="Y238" s="1174">
        <v>0</v>
      </c>
      <c r="Z238" s="1174">
        <v>0</v>
      </c>
      <c r="AA238" s="1174">
        <v>0</v>
      </c>
      <c r="AB238" s="1174">
        <v>0</v>
      </c>
      <c r="AC238" s="1174">
        <v>0</v>
      </c>
      <c r="AD238" s="1173">
        <v>0</v>
      </c>
      <c r="AE238" s="1173">
        <v>0</v>
      </c>
      <c r="AF238" s="1173">
        <v>0</v>
      </c>
      <c r="AG238" s="1173">
        <v>0</v>
      </c>
      <c r="AH238" s="1173">
        <v>0</v>
      </c>
      <c r="AI238" s="1173">
        <v>0</v>
      </c>
      <c r="AJ238" s="1173">
        <v>0</v>
      </c>
      <c r="AK238" s="1173">
        <v>0</v>
      </c>
      <c r="AL238" s="1173">
        <v>0</v>
      </c>
      <c r="AM238" s="1173">
        <v>0</v>
      </c>
      <c r="AN238" s="1173">
        <v>0</v>
      </c>
      <c r="AO238" s="1173">
        <v>0</v>
      </c>
      <c r="AP238" s="1173">
        <v>0</v>
      </c>
      <c r="AQ238" s="1173">
        <v>0</v>
      </c>
      <c r="AR238" s="1173">
        <v>0</v>
      </c>
      <c r="AS238" s="1173">
        <v>0</v>
      </c>
      <c r="AT238" s="1173">
        <v>0</v>
      </c>
      <c r="AU238" s="1173">
        <v>0</v>
      </c>
      <c r="AV238" s="1173">
        <v>0</v>
      </c>
      <c r="AW238" s="1173">
        <v>0</v>
      </c>
      <c r="AX238" s="1173">
        <v>0</v>
      </c>
      <c r="AY238" s="1173">
        <v>0</v>
      </c>
      <c r="AZ238" s="1173">
        <v>0</v>
      </c>
      <c r="BA238" s="1173">
        <v>0</v>
      </c>
      <c r="BB238" s="1173">
        <v>0</v>
      </c>
      <c r="BC238" s="1173">
        <v>0</v>
      </c>
      <c r="BD238" s="1173">
        <v>0</v>
      </c>
      <c r="BE238" s="1173">
        <v>0</v>
      </c>
      <c r="BF238" s="1173">
        <v>0</v>
      </c>
      <c r="BG238" s="1173">
        <v>0</v>
      </c>
      <c r="BH238" s="1173">
        <v>0</v>
      </c>
      <c r="BI238" s="1173">
        <v>0</v>
      </c>
      <c r="BJ238" s="1173">
        <v>0</v>
      </c>
      <c r="BK238" s="1118"/>
      <c r="BL238" s="1118"/>
    </row>
    <row r="239" spans="1:64" s="401" customFormat="1" x14ac:dyDescent="0.3">
      <c r="A239" s="1154">
        <v>589</v>
      </c>
      <c r="B239" s="1222"/>
      <c r="C239" s="1195">
        <v>589</v>
      </c>
      <c r="D239" s="1195" t="s">
        <v>395</v>
      </c>
      <c r="E239" s="1195"/>
      <c r="F239" s="1204"/>
      <c r="G239" s="1205"/>
      <c r="H239" s="1205"/>
      <c r="I239" s="1205"/>
      <c r="J239" s="1205"/>
      <c r="K239" s="1205"/>
      <c r="L239" s="1206"/>
      <c r="M239" s="1196"/>
      <c r="N239" s="1196"/>
      <c r="O239" s="1207"/>
      <c r="P239" s="1207"/>
      <c r="Q239" s="1207"/>
      <c r="R239" s="1207"/>
      <c r="S239" s="1207"/>
      <c r="T239" s="1207"/>
      <c r="U239" s="1207"/>
      <c r="V239" s="1207"/>
      <c r="W239" s="1207"/>
      <c r="X239" s="1207"/>
      <c r="Y239" s="1207"/>
      <c r="Z239" s="1207"/>
      <c r="AA239" s="1207"/>
      <c r="AB239" s="1207"/>
      <c r="AC239" s="1207"/>
      <c r="AD239" s="1196"/>
      <c r="AE239" s="1196"/>
      <c r="AF239" s="1196"/>
      <c r="AG239" s="1196"/>
      <c r="AH239" s="1196"/>
      <c r="AI239" s="1196"/>
      <c r="AJ239" s="1196"/>
      <c r="AK239" s="1196"/>
      <c r="AL239" s="1196"/>
      <c r="AM239" s="1196"/>
      <c r="AN239" s="1196"/>
      <c r="AO239" s="1196"/>
      <c r="AP239" s="1196"/>
      <c r="AQ239" s="1196"/>
      <c r="AR239" s="1196"/>
      <c r="AS239" s="1196"/>
      <c r="AT239" s="1196"/>
      <c r="AU239" s="1196"/>
      <c r="AV239" s="1196"/>
      <c r="AW239" s="1196"/>
      <c r="AX239" s="1196"/>
      <c r="AY239" s="1196"/>
      <c r="AZ239" s="1196"/>
      <c r="BA239" s="1196"/>
      <c r="BB239" s="1196"/>
      <c r="BC239" s="1196"/>
      <c r="BD239" s="1196"/>
      <c r="BE239" s="1196"/>
      <c r="BF239" s="1196"/>
      <c r="BG239" s="1196"/>
      <c r="BH239" s="1196"/>
      <c r="BI239" s="1196"/>
      <c r="BJ239" s="1196"/>
      <c r="BK239" s="1118"/>
      <c r="BL239" s="1118"/>
    </row>
    <row r="240" spans="1:64" s="401" customFormat="1" x14ac:dyDescent="0.3">
      <c r="A240" s="1154">
        <v>590</v>
      </c>
      <c r="B240" s="1222"/>
      <c r="C240" s="1195">
        <v>590</v>
      </c>
      <c r="D240" s="1194" t="s">
        <v>396</v>
      </c>
      <c r="E240" s="1194"/>
      <c r="F240" s="1204"/>
      <c r="G240" s="1205"/>
      <c r="H240" s="1205"/>
      <c r="I240" s="1205"/>
      <c r="J240" s="1205"/>
      <c r="K240" s="1205"/>
      <c r="L240" s="1206"/>
      <c r="M240" s="1196"/>
      <c r="N240" s="1196"/>
      <c r="O240" s="1207"/>
      <c r="P240" s="1207"/>
      <c r="Q240" s="1207"/>
      <c r="R240" s="1207"/>
      <c r="S240" s="1207"/>
      <c r="T240" s="1207"/>
      <c r="U240" s="1207"/>
      <c r="V240" s="1207"/>
      <c r="W240" s="1207"/>
      <c r="X240" s="1207"/>
      <c r="Y240" s="1207"/>
      <c r="Z240" s="1207"/>
      <c r="AA240" s="1207"/>
      <c r="AB240" s="1207"/>
      <c r="AC240" s="1207"/>
      <c r="AD240" s="1196"/>
      <c r="AE240" s="1196"/>
      <c r="AF240" s="1196"/>
      <c r="AG240" s="1196"/>
      <c r="AH240" s="1196"/>
      <c r="AI240" s="1196"/>
      <c r="AJ240" s="1196"/>
      <c r="AK240" s="1196"/>
      <c r="AL240" s="1196"/>
      <c r="AM240" s="1196"/>
      <c r="AN240" s="1196"/>
      <c r="AO240" s="1196"/>
      <c r="AP240" s="1196"/>
      <c r="AQ240" s="1196"/>
      <c r="AR240" s="1196"/>
      <c r="AS240" s="1196"/>
      <c r="AT240" s="1196"/>
      <c r="AU240" s="1196"/>
      <c r="AV240" s="1196"/>
      <c r="AW240" s="1196"/>
      <c r="AX240" s="1196"/>
      <c r="AY240" s="1196"/>
      <c r="AZ240" s="1196"/>
      <c r="BA240" s="1196"/>
      <c r="BB240" s="1196"/>
      <c r="BC240" s="1196"/>
      <c r="BD240" s="1196"/>
      <c r="BE240" s="1196"/>
      <c r="BF240" s="1196"/>
      <c r="BG240" s="1196"/>
      <c r="BH240" s="1196"/>
      <c r="BI240" s="1196"/>
      <c r="BJ240" s="1196"/>
      <c r="BK240" s="1118"/>
      <c r="BL240" s="1118"/>
    </row>
    <row r="241" spans="1:64" s="401" customFormat="1" x14ac:dyDescent="0.3">
      <c r="A241" s="1154">
        <v>992</v>
      </c>
      <c r="B241" s="1222"/>
      <c r="C241" s="1153">
        <v>992</v>
      </c>
      <c r="D241" s="1203"/>
      <c r="E241" s="1203"/>
      <c r="F241" s="1204"/>
      <c r="G241" s="1205"/>
      <c r="H241" s="1205"/>
      <c r="I241" s="1205"/>
      <c r="J241" s="1205"/>
      <c r="K241" s="1205"/>
      <c r="L241" s="1206"/>
      <c r="M241" s="1196"/>
      <c r="N241" s="1196"/>
      <c r="O241" s="1207"/>
      <c r="P241" s="1207"/>
      <c r="Q241" s="1207"/>
      <c r="R241" s="1207"/>
      <c r="S241" s="1207"/>
      <c r="T241" s="1207"/>
      <c r="U241" s="1207"/>
      <c r="V241" s="1207"/>
      <c r="W241" s="1207"/>
      <c r="X241" s="1207"/>
      <c r="Y241" s="1207"/>
      <c r="Z241" s="1207"/>
      <c r="AA241" s="1207"/>
      <c r="AB241" s="1207"/>
      <c r="AC241" s="1207"/>
      <c r="AD241" s="1196"/>
      <c r="AE241" s="1196"/>
      <c r="AF241" s="1196"/>
      <c r="AG241" s="1196"/>
      <c r="AH241" s="1196"/>
      <c r="AI241" s="1196"/>
      <c r="AJ241" s="1196"/>
      <c r="AK241" s="1196"/>
      <c r="AL241" s="1196"/>
      <c r="AM241" s="1196"/>
      <c r="AN241" s="1196"/>
      <c r="AO241" s="1196"/>
      <c r="AP241" s="1196"/>
      <c r="AQ241" s="1196"/>
      <c r="AR241" s="1196"/>
      <c r="AS241" s="1196"/>
      <c r="AT241" s="1196"/>
      <c r="AU241" s="1196"/>
      <c r="AV241" s="1196"/>
      <c r="AW241" s="1196"/>
      <c r="AX241" s="1196"/>
      <c r="AY241" s="1196"/>
      <c r="AZ241" s="1196"/>
      <c r="BA241" s="1196"/>
      <c r="BB241" s="1196"/>
      <c r="BC241" s="1196"/>
      <c r="BD241" s="1196"/>
      <c r="BE241" s="1196"/>
      <c r="BF241" s="1196"/>
      <c r="BG241" s="1196"/>
      <c r="BH241" s="1196"/>
      <c r="BI241" s="1196"/>
      <c r="BJ241" s="1196"/>
      <c r="BK241" s="1120"/>
      <c r="BL241" s="1120"/>
    </row>
    <row r="242" spans="1:64" s="404" customFormat="1" ht="28.8" x14ac:dyDescent="0.3">
      <c r="A242" s="1154">
        <v>993</v>
      </c>
      <c r="B242" s="1222"/>
      <c r="C242" s="1153">
        <v>993</v>
      </c>
      <c r="D242" s="1160" t="s">
        <v>1421</v>
      </c>
      <c r="E242" s="1160"/>
      <c r="F242" s="1204"/>
      <c r="G242" s="1205"/>
      <c r="H242" s="1205"/>
      <c r="I242" s="1205"/>
      <c r="J242" s="1205"/>
      <c r="K242" s="1205"/>
      <c r="L242" s="1206"/>
      <c r="M242" s="1196"/>
      <c r="N242" s="1196"/>
      <c r="O242" s="1207"/>
      <c r="P242" s="1207"/>
      <c r="Q242" s="1207"/>
      <c r="R242" s="1207"/>
      <c r="S242" s="1207"/>
      <c r="T242" s="1207"/>
      <c r="U242" s="1207"/>
      <c r="V242" s="1207"/>
      <c r="W242" s="1207"/>
      <c r="X242" s="1207"/>
      <c r="Y242" s="1207"/>
      <c r="Z242" s="1207"/>
      <c r="AA242" s="1207"/>
      <c r="AB242" s="1207"/>
      <c r="AC242" s="1207"/>
      <c r="AD242" s="1196"/>
      <c r="AE242" s="1196"/>
      <c r="AF242" s="1196"/>
      <c r="AG242" s="1196"/>
      <c r="AH242" s="1196"/>
      <c r="AI242" s="1196"/>
      <c r="AJ242" s="1196"/>
      <c r="AK242" s="1196"/>
      <c r="AL242" s="1196"/>
      <c r="AM242" s="1196"/>
      <c r="AN242" s="1196"/>
      <c r="AO242" s="1196"/>
      <c r="AP242" s="1196"/>
      <c r="AQ242" s="1196"/>
      <c r="AR242" s="1196"/>
      <c r="AS242" s="1196"/>
      <c r="AT242" s="1196"/>
      <c r="AU242" s="1196"/>
      <c r="AV242" s="1196"/>
      <c r="AW242" s="1196"/>
      <c r="AX242" s="1196"/>
      <c r="AY242" s="1196"/>
      <c r="AZ242" s="1196"/>
      <c r="BA242" s="1196"/>
      <c r="BB242" s="1196"/>
      <c r="BC242" s="1196"/>
      <c r="BD242" s="1196"/>
      <c r="BE242" s="1196"/>
      <c r="BF242" s="1196"/>
      <c r="BG242" s="1196"/>
      <c r="BH242" s="1196"/>
      <c r="BI242" s="1196"/>
      <c r="BJ242" s="1196"/>
      <c r="BK242" s="1120"/>
      <c r="BL242" s="1120"/>
    </row>
    <row r="243" spans="1:64" s="404" customFormat="1" ht="28.8" x14ac:dyDescent="0.3">
      <c r="A243" s="1154">
        <v>994</v>
      </c>
      <c r="B243" s="1222"/>
      <c r="C243" s="1153">
        <v>994</v>
      </c>
      <c r="D243" s="1160" t="s">
        <v>1422</v>
      </c>
      <c r="E243" s="1160"/>
      <c r="F243" s="1204"/>
      <c r="G243" s="1205"/>
      <c r="H243" s="1205"/>
      <c r="I243" s="1205"/>
      <c r="J243" s="1205"/>
      <c r="K243" s="1205"/>
      <c r="L243" s="1206"/>
      <c r="M243" s="1196"/>
      <c r="N243" s="1196"/>
      <c r="O243" s="1207"/>
      <c r="P243" s="1207"/>
      <c r="Q243" s="1207"/>
      <c r="R243" s="1207"/>
      <c r="S243" s="1207"/>
      <c r="T243" s="1207"/>
      <c r="U243" s="1207"/>
      <c r="V243" s="1207"/>
      <c r="W243" s="1207"/>
      <c r="X243" s="1207"/>
      <c r="Y243" s="1207"/>
      <c r="Z243" s="1207"/>
      <c r="AA243" s="1207"/>
      <c r="AB243" s="1207"/>
      <c r="AC243" s="1207"/>
      <c r="AD243" s="1196"/>
      <c r="AE243" s="1196"/>
      <c r="AF243" s="1196"/>
      <c r="AG243" s="1196"/>
      <c r="AH243" s="1196"/>
      <c r="AI243" s="1196"/>
      <c r="AJ243" s="1196"/>
      <c r="AK243" s="1196"/>
      <c r="AL243" s="1196"/>
      <c r="AM243" s="1196"/>
      <c r="AN243" s="1196"/>
      <c r="AO243" s="1196"/>
      <c r="AP243" s="1196"/>
      <c r="AQ243" s="1196"/>
      <c r="AR243" s="1196"/>
      <c r="AS243" s="1196"/>
      <c r="AT243" s="1196"/>
      <c r="AU243" s="1196"/>
      <c r="AV243" s="1196"/>
      <c r="AW243" s="1196"/>
      <c r="AX243" s="1196"/>
      <c r="AY243" s="1196"/>
      <c r="AZ243" s="1196"/>
      <c r="BA243" s="1196"/>
      <c r="BB243" s="1196"/>
      <c r="BC243" s="1196"/>
      <c r="BD243" s="1196"/>
      <c r="BE243" s="1196"/>
      <c r="BF243" s="1196"/>
      <c r="BG243" s="1196"/>
      <c r="BH243" s="1196"/>
      <c r="BI243" s="1196"/>
      <c r="BJ243" s="1196"/>
      <c r="BK243" s="1120"/>
      <c r="BL243" s="1120"/>
    </row>
    <row r="244" spans="1:64" s="404" customFormat="1" ht="28.8" x14ac:dyDescent="0.3">
      <c r="A244" s="1154">
        <v>995</v>
      </c>
      <c r="B244" s="1222"/>
      <c r="C244" s="1153">
        <v>995</v>
      </c>
      <c r="D244" s="1161" t="s">
        <v>285</v>
      </c>
      <c r="E244" s="1161"/>
      <c r="F244" s="1204"/>
      <c r="G244" s="1205"/>
      <c r="H244" s="1205"/>
      <c r="I244" s="1205"/>
      <c r="J244" s="1205"/>
      <c r="K244" s="1205"/>
      <c r="L244" s="1206"/>
      <c r="M244" s="1196"/>
      <c r="N244" s="1196"/>
      <c r="O244" s="1207"/>
      <c r="P244" s="1207"/>
      <c r="Q244" s="1207"/>
      <c r="R244" s="1207"/>
      <c r="S244" s="1207"/>
      <c r="T244" s="1207"/>
      <c r="U244" s="1207"/>
      <c r="V244" s="1207"/>
      <c r="W244" s="1207"/>
      <c r="X244" s="1207"/>
      <c r="Y244" s="1207"/>
      <c r="Z244" s="1207"/>
      <c r="AA244" s="1207"/>
      <c r="AB244" s="1207"/>
      <c r="AC244" s="1207"/>
      <c r="AD244" s="1196"/>
      <c r="AE244" s="1196"/>
      <c r="AF244" s="1196"/>
      <c r="AG244" s="1196"/>
      <c r="AH244" s="1196"/>
      <c r="AI244" s="1196"/>
      <c r="AJ244" s="1196"/>
      <c r="AK244" s="1196"/>
      <c r="AL244" s="1196"/>
      <c r="AM244" s="1196"/>
      <c r="AN244" s="1196"/>
      <c r="AO244" s="1196"/>
      <c r="AP244" s="1196"/>
      <c r="AQ244" s="1196"/>
      <c r="AR244" s="1196"/>
      <c r="AS244" s="1196"/>
      <c r="AT244" s="1196"/>
      <c r="AU244" s="1196"/>
      <c r="AV244" s="1196"/>
      <c r="AW244" s="1196"/>
      <c r="AX244" s="1196"/>
      <c r="AY244" s="1196"/>
      <c r="AZ244" s="1196"/>
      <c r="BA244" s="1196"/>
      <c r="BB244" s="1196"/>
      <c r="BC244" s="1196"/>
      <c r="BD244" s="1196"/>
      <c r="BE244" s="1196"/>
      <c r="BF244" s="1196"/>
      <c r="BG244" s="1196"/>
      <c r="BH244" s="1196"/>
      <c r="BI244" s="1196"/>
      <c r="BJ244" s="1196"/>
      <c r="BK244" s="1120"/>
      <c r="BL244" s="1120"/>
    </row>
    <row r="245" spans="1:64" s="404" customFormat="1" ht="28.8" x14ac:dyDescent="0.3">
      <c r="A245" s="1154">
        <v>996</v>
      </c>
      <c r="B245" s="1222"/>
      <c r="C245" s="1153">
        <v>996</v>
      </c>
      <c r="D245" s="1203" t="s">
        <v>312</v>
      </c>
      <c r="E245" s="1203"/>
      <c r="F245" s="1204"/>
      <c r="G245" s="1204"/>
      <c r="H245" s="1204"/>
      <c r="I245" s="1204"/>
      <c r="J245" s="1204"/>
      <c r="K245" s="1204"/>
      <c r="L245" s="1204"/>
      <c r="M245" s="1204"/>
      <c r="N245" s="1204"/>
      <c r="O245" s="1204"/>
      <c r="P245" s="1204"/>
      <c r="Q245" s="1204"/>
      <c r="R245" s="1204"/>
      <c r="S245" s="1204"/>
      <c r="T245" s="1204"/>
      <c r="U245" s="1204"/>
      <c r="V245" s="1204"/>
      <c r="W245" s="1204"/>
      <c r="X245" s="1204"/>
      <c r="Y245" s="1204"/>
      <c r="Z245" s="1204"/>
      <c r="AA245" s="1204"/>
      <c r="AB245" s="1204"/>
      <c r="AC245" s="1204"/>
      <c r="AD245" s="1204"/>
      <c r="AE245" s="1204"/>
      <c r="AF245" s="1204"/>
      <c r="AG245" s="1204"/>
      <c r="AH245" s="1204"/>
      <c r="AI245" s="1204"/>
      <c r="AJ245" s="1204"/>
      <c r="AK245" s="1204"/>
      <c r="AL245" s="1204"/>
      <c r="AM245" s="1204"/>
      <c r="AN245" s="1204"/>
      <c r="AO245" s="1204"/>
      <c r="AP245" s="1204"/>
      <c r="AQ245" s="1204"/>
      <c r="AR245" s="1204"/>
      <c r="AS245" s="1204"/>
      <c r="AT245" s="1204"/>
      <c r="AU245" s="1204"/>
      <c r="AV245" s="1204"/>
      <c r="AW245" s="1204"/>
      <c r="AX245" s="1204"/>
      <c r="AY245" s="1204"/>
      <c r="AZ245" s="1204"/>
      <c r="BA245" s="1204"/>
      <c r="BB245" s="1204"/>
      <c r="BC245" s="1204"/>
      <c r="BD245" s="1204"/>
      <c r="BE245" s="1204"/>
      <c r="BF245" s="1204"/>
      <c r="BG245" s="1204"/>
      <c r="BH245" s="1204"/>
      <c r="BI245" s="1204"/>
      <c r="BJ245" s="1204"/>
      <c r="BK245" s="1119"/>
      <c r="BL245" s="1119"/>
    </row>
    <row r="246" spans="1:64" s="401" customFormat="1" x14ac:dyDescent="0.3">
      <c r="A246" s="1154">
        <v>997</v>
      </c>
      <c r="B246" s="1222"/>
      <c r="C246" s="1193">
        <v>997</v>
      </c>
      <c r="D246" s="1169"/>
      <c r="E246" s="1169"/>
      <c r="F246" s="1163"/>
      <c r="G246" s="1164"/>
      <c r="H246" s="1164"/>
      <c r="I246" s="1164"/>
      <c r="J246" s="1164"/>
      <c r="K246" s="1164"/>
      <c r="L246" s="1165"/>
      <c r="M246" s="1166"/>
      <c r="N246" s="1166"/>
      <c r="O246" s="1167"/>
      <c r="P246" s="1167"/>
      <c r="Q246" s="1167"/>
      <c r="R246" s="1167"/>
      <c r="S246" s="1167"/>
      <c r="T246" s="1167"/>
      <c r="U246" s="1167"/>
      <c r="V246" s="1167"/>
      <c r="W246" s="1167"/>
      <c r="X246" s="1167"/>
      <c r="Y246" s="1167"/>
      <c r="Z246" s="1167"/>
      <c r="AA246" s="1167"/>
      <c r="AB246" s="1167"/>
      <c r="AC246" s="1167"/>
      <c r="AD246" s="1166"/>
      <c r="AE246" s="1166"/>
      <c r="AF246" s="1166"/>
      <c r="AG246" s="1166"/>
      <c r="AH246" s="1166"/>
      <c r="AI246" s="1166"/>
      <c r="AJ246" s="1166"/>
      <c r="AK246" s="1166"/>
      <c r="AL246" s="1166"/>
      <c r="AM246" s="1166"/>
      <c r="AN246" s="1166"/>
      <c r="AO246" s="1166"/>
      <c r="AP246" s="1166"/>
      <c r="AQ246" s="1166"/>
      <c r="AR246" s="1166"/>
      <c r="AS246" s="1166"/>
      <c r="AT246" s="1166"/>
      <c r="AU246" s="1166"/>
      <c r="AV246" s="1166"/>
      <c r="AW246" s="1166"/>
      <c r="AX246" s="1166"/>
      <c r="AY246" s="1166"/>
      <c r="AZ246" s="1166"/>
      <c r="BA246" s="1166"/>
      <c r="BB246" s="1166"/>
      <c r="BC246" s="1166"/>
      <c r="BD246" s="1166"/>
      <c r="BE246" s="1166"/>
      <c r="BF246" s="1166"/>
      <c r="BG246" s="1166"/>
      <c r="BH246" s="1166"/>
      <c r="BI246" s="1166"/>
      <c r="BJ246" s="1166"/>
      <c r="BK246" s="1120"/>
      <c r="BL246" s="1120"/>
    </row>
    <row r="247" spans="1:64" s="401" customFormat="1" x14ac:dyDescent="0.3">
      <c r="A247" s="1185">
        <v>998</v>
      </c>
      <c r="B247" s="1222">
        <v>998</v>
      </c>
      <c r="C247" s="1183">
        <v>998</v>
      </c>
      <c r="D247" s="1184" t="s">
        <v>287</v>
      </c>
      <c r="E247" s="1184"/>
      <c r="F247" s="1178">
        <v>52</v>
      </c>
      <c r="G247" s="1179">
        <v>52</v>
      </c>
      <c r="H247" s="1179">
        <v>52</v>
      </c>
      <c r="I247" s="1179">
        <v>52</v>
      </c>
      <c r="J247" s="1179">
        <v>52</v>
      </c>
      <c r="K247" s="1179">
        <v>52</v>
      </c>
      <c r="L247" s="1180">
        <v>52</v>
      </c>
      <c r="M247" s="1181">
        <v>52</v>
      </c>
      <c r="N247" s="1181">
        <v>52</v>
      </c>
      <c r="O247" s="1182">
        <v>52</v>
      </c>
      <c r="P247" s="1182">
        <v>52</v>
      </c>
      <c r="Q247" s="1182">
        <v>52</v>
      </c>
      <c r="R247" s="1182">
        <v>52</v>
      </c>
      <c r="S247" s="1182">
        <v>52</v>
      </c>
      <c r="T247" s="1182">
        <v>52</v>
      </c>
      <c r="U247" s="1182">
        <v>52</v>
      </c>
      <c r="V247" s="1182">
        <v>52</v>
      </c>
      <c r="W247" s="1182">
        <v>52</v>
      </c>
      <c r="X247" s="1182">
        <v>52</v>
      </c>
      <c r="Y247" s="1182">
        <v>52</v>
      </c>
      <c r="Z247" s="1182">
        <v>52</v>
      </c>
      <c r="AA247" s="1182">
        <v>52</v>
      </c>
      <c r="AB247" s="1182">
        <v>52</v>
      </c>
      <c r="AC247" s="1182">
        <v>52</v>
      </c>
      <c r="AD247" s="1181">
        <v>52</v>
      </c>
      <c r="AE247" s="1181">
        <v>52</v>
      </c>
      <c r="AF247" s="1181">
        <v>52</v>
      </c>
      <c r="AG247" s="1181">
        <v>52</v>
      </c>
      <c r="AH247" s="1181">
        <v>52</v>
      </c>
      <c r="AI247" s="1181">
        <v>52</v>
      </c>
      <c r="AJ247" s="1181">
        <v>52</v>
      </c>
      <c r="AK247" s="1181">
        <v>52</v>
      </c>
      <c r="AL247" s="1181">
        <v>52</v>
      </c>
      <c r="AM247" s="1181">
        <v>52</v>
      </c>
      <c r="AN247" s="1181">
        <v>52</v>
      </c>
      <c r="AO247" s="1181">
        <v>52</v>
      </c>
      <c r="AP247" s="1181">
        <v>52</v>
      </c>
      <c r="AQ247" s="1181">
        <v>52</v>
      </c>
      <c r="AR247" s="1181">
        <v>52</v>
      </c>
      <c r="AS247" s="1181">
        <v>52</v>
      </c>
      <c r="AT247" s="1181">
        <v>52</v>
      </c>
      <c r="AU247" s="1181">
        <v>52</v>
      </c>
      <c r="AV247" s="1181">
        <v>52</v>
      </c>
      <c r="AW247" s="1181">
        <v>52</v>
      </c>
      <c r="AX247" s="1181">
        <v>52</v>
      </c>
      <c r="AY247" s="1181">
        <v>52</v>
      </c>
      <c r="AZ247" s="1181">
        <v>52</v>
      </c>
      <c r="BA247" s="1181">
        <v>52</v>
      </c>
      <c r="BB247" s="1181">
        <v>52</v>
      </c>
      <c r="BC247" s="1181">
        <v>52</v>
      </c>
      <c r="BD247" s="1181">
        <v>52</v>
      </c>
      <c r="BE247" s="1181">
        <v>52</v>
      </c>
      <c r="BF247" s="1181">
        <v>52</v>
      </c>
      <c r="BG247" s="1181">
        <v>52</v>
      </c>
      <c r="BH247" s="1181">
        <v>52</v>
      </c>
      <c r="BI247" s="1181">
        <v>52</v>
      </c>
      <c r="BJ247" s="1181">
        <v>52</v>
      </c>
      <c r="BK247" s="1120"/>
      <c r="BL247" s="1120"/>
    </row>
    <row r="248" spans="1:64" s="401" customFormat="1" x14ac:dyDescent="0.3">
      <c r="A248" s="1185">
        <v>999</v>
      </c>
      <c r="B248" s="1222">
        <v>999</v>
      </c>
      <c r="C248" s="1183">
        <v>999</v>
      </c>
      <c r="D248" s="1184" t="s">
        <v>288</v>
      </c>
      <c r="E248" s="1184"/>
      <c r="F248" s="1178">
        <v>52821</v>
      </c>
      <c r="G248" s="1179">
        <v>52823</v>
      </c>
      <c r="H248" s="1179">
        <v>52824</v>
      </c>
      <c r="I248" s="1179">
        <v>52825</v>
      </c>
      <c r="J248" s="1179">
        <v>52826</v>
      </c>
      <c r="K248" s="1179">
        <v>52827</v>
      </c>
      <c r="L248" s="1180">
        <v>52828</v>
      </c>
      <c r="M248" s="1181">
        <v>52829</v>
      </c>
      <c r="N248" s="1181">
        <v>52830</v>
      </c>
      <c r="O248" s="1182">
        <v>52831</v>
      </c>
      <c r="P248" s="1182">
        <v>52832</v>
      </c>
      <c r="Q248" s="1182">
        <v>52833</v>
      </c>
      <c r="R248" s="1182">
        <v>52834</v>
      </c>
      <c r="S248" s="1182">
        <v>52835</v>
      </c>
      <c r="T248" s="1182">
        <v>524017</v>
      </c>
      <c r="U248" s="1182">
        <v>52994</v>
      </c>
      <c r="V248" s="1182">
        <v>52836</v>
      </c>
      <c r="W248" s="1182">
        <v>52837</v>
      </c>
      <c r="X248" s="1182">
        <v>52838</v>
      </c>
      <c r="Y248" s="1182">
        <v>52839</v>
      </c>
      <c r="Z248" s="1182">
        <v>52840</v>
      </c>
      <c r="AA248" s="1182">
        <v>52841</v>
      </c>
      <c r="AB248" s="1182">
        <v>52842</v>
      </c>
      <c r="AC248" s="1182">
        <v>52843</v>
      </c>
      <c r="AD248" s="1181">
        <v>52844</v>
      </c>
      <c r="AE248" s="1181">
        <v>52845</v>
      </c>
      <c r="AF248" s="1181">
        <v>52846</v>
      </c>
      <c r="AG248" s="1181">
        <v>52847</v>
      </c>
      <c r="AH248" s="1181">
        <v>52848</v>
      </c>
      <c r="AI248" s="1181">
        <v>52849</v>
      </c>
      <c r="AJ248" s="1181">
        <v>52850</v>
      </c>
      <c r="AK248" s="1181">
        <v>52851</v>
      </c>
      <c r="AL248" s="1181">
        <v>52995</v>
      </c>
      <c r="AM248" s="1181">
        <v>52852</v>
      </c>
      <c r="AN248" s="1181">
        <v>52853</v>
      </c>
      <c r="AO248" s="1181">
        <v>52854</v>
      </c>
      <c r="AP248" s="1181">
        <v>52856</v>
      </c>
      <c r="AQ248" s="1181">
        <v>52857</v>
      </c>
      <c r="AR248" s="1181">
        <v>52858</v>
      </c>
      <c r="AS248" s="1181">
        <v>52859</v>
      </c>
      <c r="AT248" s="1181">
        <v>52860</v>
      </c>
      <c r="AU248" s="1181">
        <v>52861</v>
      </c>
      <c r="AV248" s="1181">
        <v>52862</v>
      </c>
      <c r="AW248" s="1181">
        <v>52863</v>
      </c>
      <c r="AX248" s="1181">
        <v>52864</v>
      </c>
      <c r="AY248" s="1181">
        <v>52865</v>
      </c>
      <c r="AZ248" s="1181">
        <v>52866</v>
      </c>
      <c r="BA248" s="1181">
        <v>52867</v>
      </c>
      <c r="BB248" s="1181">
        <v>52868</v>
      </c>
      <c r="BC248" s="1181">
        <v>52869</v>
      </c>
      <c r="BD248" s="1181">
        <v>52870</v>
      </c>
      <c r="BE248" s="1181">
        <v>52871</v>
      </c>
      <c r="BF248" s="1181">
        <v>52872</v>
      </c>
      <c r="BG248" s="1181">
        <v>52873</v>
      </c>
      <c r="BH248" s="1181">
        <v>52996</v>
      </c>
      <c r="BI248" s="1181">
        <v>52874</v>
      </c>
      <c r="BJ248" s="1181">
        <v>52875</v>
      </c>
      <c r="BK248" s="1115"/>
      <c r="BL248" s="1115"/>
    </row>
    <row r="249" spans="1:64" x14ac:dyDescent="0.3">
      <c r="A249" s="1154">
        <v>1000</v>
      </c>
      <c r="B249" s="1222"/>
      <c r="C249" s="1154">
        <v>1000</v>
      </c>
      <c r="D249" s="1192"/>
      <c r="E249" s="1227"/>
      <c r="F249" s="1163"/>
      <c r="G249" s="1164"/>
      <c r="H249" s="1164"/>
      <c r="I249" s="1164"/>
      <c r="J249" s="1164"/>
      <c r="K249" s="1164"/>
      <c r="L249" s="1165"/>
      <c r="M249" s="1166"/>
      <c r="N249" s="1166"/>
      <c r="O249" s="1167"/>
      <c r="P249" s="1167"/>
      <c r="Q249" s="1167"/>
      <c r="R249" s="1167"/>
      <c r="S249" s="1167"/>
      <c r="T249" s="1167"/>
      <c r="U249" s="1167"/>
      <c r="V249" s="1167"/>
      <c r="W249" s="1167"/>
      <c r="X249" s="1167"/>
      <c r="Y249" s="1167"/>
      <c r="Z249" s="1167"/>
      <c r="AA249" s="1167"/>
      <c r="AB249" s="1167"/>
      <c r="AC249" s="1167"/>
      <c r="AD249" s="1166"/>
      <c r="AE249" s="1166"/>
      <c r="AF249" s="1166"/>
      <c r="AG249" s="1166"/>
      <c r="AH249" s="1166"/>
      <c r="AI249" s="1166"/>
      <c r="AJ249" s="1166"/>
      <c r="AK249" s="1166"/>
      <c r="AL249" s="1166"/>
      <c r="AM249" s="1166"/>
      <c r="AN249" s="1166"/>
      <c r="AO249" s="1166"/>
      <c r="AP249" s="1166"/>
      <c r="AQ249" s="1166"/>
      <c r="AR249" s="1166"/>
      <c r="AS249" s="1166"/>
      <c r="AT249" s="1166"/>
      <c r="AU249" s="1166"/>
      <c r="AV249" s="1166"/>
      <c r="AW249" s="1166"/>
      <c r="AX249" s="1166"/>
      <c r="AY249" s="1166"/>
      <c r="AZ249" s="1166"/>
      <c r="BA249" s="1166"/>
      <c r="BB249" s="1166"/>
      <c r="BC249" s="1166"/>
      <c r="BD249" s="1166"/>
      <c r="BE249" s="1166"/>
      <c r="BF249" s="1166"/>
      <c r="BG249" s="1166"/>
      <c r="BH249" s="1166"/>
      <c r="BI249" s="1166"/>
      <c r="BJ249" s="1166"/>
      <c r="BK249" s="1115"/>
      <c r="BL249" s="1115"/>
    </row>
    <row r="250" spans="1:64" x14ac:dyDescent="0.3">
      <c r="A250" s="1154">
        <v>537</v>
      </c>
      <c r="B250" s="1222"/>
      <c r="C250" s="1154">
        <v>537</v>
      </c>
      <c r="D250" s="1192"/>
      <c r="E250" s="1227"/>
      <c r="F250" s="1163"/>
      <c r="G250" s="1164"/>
      <c r="H250" s="1164"/>
      <c r="I250" s="1164"/>
      <c r="J250" s="1164"/>
      <c r="K250" s="1164"/>
      <c r="L250" s="1165"/>
      <c r="M250" s="1166"/>
      <c r="N250" s="1166"/>
      <c r="O250" s="1167"/>
      <c r="P250" s="1167"/>
      <c r="Q250" s="1167"/>
      <c r="R250" s="1167"/>
      <c r="S250" s="1167"/>
      <c r="T250" s="1167"/>
      <c r="U250" s="1167"/>
      <c r="V250" s="1167"/>
      <c r="W250" s="1167"/>
      <c r="X250" s="1167"/>
      <c r="Y250" s="1167"/>
      <c r="Z250" s="1167"/>
      <c r="AA250" s="1167"/>
      <c r="AB250" s="1167"/>
      <c r="AC250" s="1167"/>
      <c r="AD250" s="1166"/>
      <c r="AE250" s="1166"/>
      <c r="AF250" s="1166"/>
      <c r="AG250" s="1166"/>
      <c r="AH250" s="1166"/>
      <c r="AI250" s="1166"/>
      <c r="AJ250" s="1166"/>
      <c r="AK250" s="1166"/>
      <c r="AL250" s="1166"/>
      <c r="AM250" s="1166"/>
      <c r="AN250" s="1166"/>
      <c r="AO250" s="1166"/>
      <c r="AP250" s="1166"/>
      <c r="AQ250" s="1166"/>
      <c r="AR250" s="1166"/>
      <c r="AS250" s="1166"/>
      <c r="AT250" s="1166"/>
      <c r="AU250" s="1166"/>
      <c r="AV250" s="1166"/>
      <c r="AW250" s="1166"/>
      <c r="AX250" s="1166"/>
      <c r="AY250" s="1166"/>
      <c r="AZ250" s="1166"/>
      <c r="BA250" s="1166"/>
      <c r="BB250" s="1166"/>
      <c r="BC250" s="1166"/>
      <c r="BD250" s="1166"/>
      <c r="BE250" s="1166"/>
      <c r="BF250" s="1166"/>
      <c r="BG250" s="1166"/>
      <c r="BH250" s="1166"/>
      <c r="BI250" s="1166"/>
      <c r="BJ250" s="1166"/>
      <c r="BK250" s="1115"/>
      <c r="BL250" s="1115"/>
    </row>
    <row r="251" spans="1:64" x14ac:dyDescent="0.3">
      <c r="A251" s="1154">
        <v>538</v>
      </c>
      <c r="B251" s="1222"/>
      <c r="C251" s="1154">
        <v>538</v>
      </c>
      <c r="D251" s="1192"/>
      <c r="E251" s="1227"/>
      <c r="F251" s="1163"/>
      <c r="G251" s="1164"/>
      <c r="H251" s="1164"/>
      <c r="I251" s="1164"/>
      <c r="J251" s="1164"/>
      <c r="K251" s="1164"/>
      <c r="L251" s="1165"/>
      <c r="M251" s="1166"/>
      <c r="N251" s="1166"/>
      <c r="O251" s="1167"/>
      <c r="P251" s="1167"/>
      <c r="Q251" s="1167"/>
      <c r="R251" s="1167"/>
      <c r="S251" s="1167"/>
      <c r="T251" s="1167"/>
      <c r="U251" s="1167"/>
      <c r="V251" s="1167"/>
      <c r="W251" s="1167"/>
      <c r="X251" s="1167"/>
      <c r="Y251" s="1167"/>
      <c r="Z251" s="1167"/>
      <c r="AA251" s="1167"/>
      <c r="AB251" s="1167"/>
      <c r="AC251" s="1167"/>
      <c r="AD251" s="1166"/>
      <c r="AE251" s="1166"/>
      <c r="AF251" s="1166"/>
      <c r="AG251" s="1166"/>
      <c r="AH251" s="1166"/>
      <c r="AI251" s="1166"/>
      <c r="AJ251" s="1166"/>
      <c r="AK251" s="1166"/>
      <c r="AL251" s="1166"/>
      <c r="AM251" s="1166"/>
      <c r="AN251" s="1166"/>
      <c r="AO251" s="1166"/>
      <c r="AP251" s="1166"/>
      <c r="AQ251" s="1166"/>
      <c r="AR251" s="1166"/>
      <c r="AS251" s="1166"/>
      <c r="AT251" s="1166"/>
      <c r="AU251" s="1166"/>
      <c r="AV251" s="1166"/>
      <c r="AW251" s="1166"/>
      <c r="AX251" s="1166"/>
      <c r="AY251" s="1166"/>
      <c r="AZ251" s="1166"/>
      <c r="BA251" s="1166"/>
      <c r="BB251" s="1166"/>
      <c r="BC251" s="1166"/>
      <c r="BD251" s="1166"/>
      <c r="BE251" s="1166"/>
      <c r="BF251" s="1166"/>
      <c r="BG251" s="1166"/>
      <c r="BH251" s="1166"/>
      <c r="BI251" s="1166"/>
      <c r="BJ251" s="1166"/>
      <c r="BK251" s="1115"/>
      <c r="BL251" s="1115"/>
    </row>
    <row r="252" spans="1:64" s="401" customFormat="1" x14ac:dyDescent="0.3">
      <c r="A252" s="1154">
        <v>591</v>
      </c>
      <c r="B252" s="1222">
        <v>591</v>
      </c>
      <c r="C252" s="1152"/>
      <c r="D252" s="1192" t="s">
        <v>365</v>
      </c>
      <c r="E252" s="1227"/>
      <c r="F252" s="1163">
        <v>4058182</v>
      </c>
      <c r="G252" s="1164">
        <v>5090727</v>
      </c>
      <c r="H252" s="1164">
        <v>6050233</v>
      </c>
      <c r="I252" s="1164">
        <v>2722336</v>
      </c>
      <c r="J252" s="1164">
        <v>5272151</v>
      </c>
      <c r="K252" s="1164">
        <v>3436774</v>
      </c>
      <c r="L252" s="1165">
        <v>1656001</v>
      </c>
      <c r="M252" s="1166">
        <v>2200754</v>
      </c>
      <c r="N252" s="1166">
        <v>3683367</v>
      </c>
      <c r="O252" s="1167">
        <v>1113950</v>
      </c>
      <c r="P252" s="1167">
        <v>2659969</v>
      </c>
      <c r="Q252" s="1167">
        <v>4584807</v>
      </c>
      <c r="R252" s="1167">
        <v>3047344</v>
      </c>
      <c r="S252" s="1167">
        <v>1359175</v>
      </c>
      <c r="T252" s="1167">
        <v>0</v>
      </c>
      <c r="U252" s="1167">
        <v>5961376</v>
      </c>
      <c r="V252" s="1167">
        <v>12109364</v>
      </c>
      <c r="W252" s="1167">
        <v>2536877</v>
      </c>
      <c r="X252" s="1167">
        <v>1403246</v>
      </c>
      <c r="Y252" s="1167">
        <v>10417792</v>
      </c>
      <c r="Z252" s="1167">
        <v>3533264</v>
      </c>
      <c r="AA252" s="1167">
        <v>781151</v>
      </c>
      <c r="AB252" s="1167">
        <v>5985035</v>
      </c>
      <c r="AC252" s="1167">
        <v>952415</v>
      </c>
      <c r="AD252" s="1166">
        <v>2496276</v>
      </c>
      <c r="AE252" s="1166">
        <v>10832403</v>
      </c>
      <c r="AF252" s="1166">
        <v>1530744</v>
      </c>
      <c r="AG252" s="1166">
        <v>8139605</v>
      </c>
      <c r="AH252" s="1166">
        <v>5995239</v>
      </c>
      <c r="AI252" s="1166">
        <v>1572208</v>
      </c>
      <c r="AJ252" s="1166">
        <v>18467157</v>
      </c>
      <c r="AK252" s="1166">
        <v>6147415</v>
      </c>
      <c r="AL252" s="1166">
        <v>13092373</v>
      </c>
      <c r="AM252" s="1166">
        <v>4797175</v>
      </c>
      <c r="AN252" s="1166">
        <v>6691092</v>
      </c>
      <c r="AO252" s="1166">
        <v>4892388</v>
      </c>
      <c r="AP252" s="1166">
        <v>4041251</v>
      </c>
      <c r="AQ252" s="1166">
        <v>3162995</v>
      </c>
      <c r="AR252" s="1166">
        <v>7326109</v>
      </c>
      <c r="AS252" s="1166">
        <v>2114290</v>
      </c>
      <c r="AT252" s="1166">
        <v>5522883</v>
      </c>
      <c r="AU252" s="1166">
        <v>2243356</v>
      </c>
      <c r="AV252" s="1166">
        <v>691580</v>
      </c>
      <c r="AW252" s="1166">
        <v>18676276</v>
      </c>
      <c r="AX252" s="1166">
        <v>3777804</v>
      </c>
      <c r="AY252" s="1166">
        <v>60929138</v>
      </c>
      <c r="AZ252" s="1166">
        <v>2106066</v>
      </c>
      <c r="BA252" s="1166">
        <v>18172155</v>
      </c>
      <c r="BB252" s="1166">
        <v>2425610</v>
      </c>
      <c r="BC252" s="1166">
        <v>8193819</v>
      </c>
      <c r="BD252" s="1166">
        <v>564069</v>
      </c>
      <c r="BE252" s="1166">
        <v>1866633</v>
      </c>
      <c r="BF252" s="1166">
        <v>6812230</v>
      </c>
      <c r="BG252" s="1166">
        <v>6901317</v>
      </c>
      <c r="BH252" s="1166">
        <v>24221921</v>
      </c>
      <c r="BI252" s="1166">
        <v>5847510</v>
      </c>
      <c r="BJ252" s="1166">
        <v>1009294</v>
      </c>
      <c r="BK252" s="1120"/>
      <c r="BL252" s="1120"/>
    </row>
    <row r="253" spans="1:64" s="401" customFormat="1" ht="28.8" x14ac:dyDescent="0.3">
      <c r="A253" s="1154">
        <v>592</v>
      </c>
      <c r="B253" s="1222">
        <v>592</v>
      </c>
      <c r="C253" s="1152"/>
      <c r="D253" s="1192" t="s">
        <v>366</v>
      </c>
      <c r="E253" s="1227"/>
      <c r="F253" s="1163">
        <v>-442400</v>
      </c>
      <c r="G253" s="1164">
        <v>-515005</v>
      </c>
      <c r="H253" s="1164">
        <v>159286</v>
      </c>
      <c r="I253" s="1164">
        <v>-353287</v>
      </c>
      <c r="J253" s="1164">
        <v>862550</v>
      </c>
      <c r="K253" s="1164">
        <v>442461</v>
      </c>
      <c r="L253" s="1165">
        <v>69590</v>
      </c>
      <c r="M253" s="1166">
        <v>41366</v>
      </c>
      <c r="N253" s="1166">
        <v>11241</v>
      </c>
      <c r="O253" s="1167">
        <v>34005</v>
      </c>
      <c r="P253" s="1167">
        <v>64364</v>
      </c>
      <c r="Q253" s="1167">
        <v>258116</v>
      </c>
      <c r="R253" s="1167">
        <v>450941</v>
      </c>
      <c r="S253" s="1167">
        <v>124831</v>
      </c>
      <c r="T253" s="1167">
        <v>0</v>
      </c>
      <c r="U253" s="1167">
        <v>1977873</v>
      </c>
      <c r="V253" s="1167">
        <v>242384</v>
      </c>
      <c r="W253" s="1167">
        <v>105353</v>
      </c>
      <c r="X253" s="1167">
        <v>-615738</v>
      </c>
      <c r="Y253" s="1167">
        <v>1701552</v>
      </c>
      <c r="Z253" s="1167">
        <v>110575</v>
      </c>
      <c r="AA253" s="1167">
        <v>53691</v>
      </c>
      <c r="AB253" s="1167">
        <v>657186</v>
      </c>
      <c r="AC253" s="1167">
        <v>56843</v>
      </c>
      <c r="AD253" s="1166">
        <v>-1551078</v>
      </c>
      <c r="AE253" s="1166">
        <v>1515105</v>
      </c>
      <c r="AF253" s="1166">
        <v>235847</v>
      </c>
      <c r="AG253" s="1166">
        <v>-717748</v>
      </c>
      <c r="AH253" s="1166">
        <v>-243501</v>
      </c>
      <c r="AI253" s="1166">
        <v>26736</v>
      </c>
      <c r="AJ253" s="1166">
        <v>222555</v>
      </c>
      <c r="AK253" s="1166">
        <v>39241</v>
      </c>
      <c r="AL253" s="1166">
        <v>577019</v>
      </c>
      <c r="AM253" s="1166">
        <v>719903</v>
      </c>
      <c r="AN253" s="1166">
        <v>-153149</v>
      </c>
      <c r="AO253" s="1166">
        <v>23396</v>
      </c>
      <c r="AP253" s="1166">
        <v>569475</v>
      </c>
      <c r="AQ253" s="1166">
        <v>443345</v>
      </c>
      <c r="AR253" s="1166">
        <v>-634926</v>
      </c>
      <c r="AS253" s="1166">
        <v>375988</v>
      </c>
      <c r="AT253" s="1166">
        <v>3150576</v>
      </c>
      <c r="AU253" s="1166">
        <v>4357</v>
      </c>
      <c r="AV253" s="1166">
        <v>43613</v>
      </c>
      <c r="AW253" s="1166">
        <v>-1545816</v>
      </c>
      <c r="AX253" s="1166">
        <v>434737</v>
      </c>
      <c r="AY253" s="1166">
        <v>-5647649</v>
      </c>
      <c r="AZ253" s="1166">
        <v>-218743</v>
      </c>
      <c r="BA253" s="1166">
        <v>-788204</v>
      </c>
      <c r="BB253" s="1166">
        <v>396097</v>
      </c>
      <c r="BC253" s="1166">
        <v>166909</v>
      </c>
      <c r="BD253" s="1166">
        <v>107569</v>
      </c>
      <c r="BE253" s="1166">
        <v>127050</v>
      </c>
      <c r="BF253" s="1166">
        <v>96339</v>
      </c>
      <c r="BG253" s="1166">
        <v>-602732</v>
      </c>
      <c r="BH253" s="1166">
        <v>258683</v>
      </c>
      <c r="BI253" s="1166">
        <v>94486</v>
      </c>
      <c r="BJ253" s="1166">
        <v>222975</v>
      </c>
      <c r="BK253" s="1120"/>
      <c r="BL253" s="1120"/>
    </row>
    <row r="254" spans="1:64" s="401" customFormat="1" x14ac:dyDescent="0.3">
      <c r="A254" s="1154">
        <v>595</v>
      </c>
      <c r="B254" s="1222"/>
      <c r="C254" s="1154">
        <v>595</v>
      </c>
      <c r="D254" s="1227"/>
      <c r="E254" s="1227"/>
      <c r="F254" s="1163"/>
      <c r="G254" s="1164"/>
      <c r="H254" s="1164"/>
      <c r="I254" s="1164"/>
      <c r="J254" s="1164"/>
      <c r="K254" s="1164"/>
      <c r="L254" s="1165"/>
      <c r="M254" s="1166"/>
      <c r="N254" s="1166"/>
      <c r="O254" s="1167"/>
      <c r="P254" s="1167"/>
      <c r="Q254" s="1167"/>
      <c r="R254" s="1167"/>
      <c r="S254" s="1167"/>
      <c r="T254" s="1167"/>
      <c r="U254" s="1167"/>
      <c r="V254" s="1167"/>
      <c r="W254" s="1167"/>
      <c r="X254" s="1167"/>
      <c r="Y254" s="1167"/>
      <c r="Z254" s="1167"/>
      <c r="AA254" s="1167"/>
      <c r="AB254" s="1167"/>
      <c r="AC254" s="1167"/>
      <c r="AD254" s="1166"/>
      <c r="AE254" s="1166"/>
      <c r="AF254" s="1166"/>
      <c r="AG254" s="1166"/>
      <c r="AH254" s="1166"/>
      <c r="AI254" s="1166"/>
      <c r="AJ254" s="1166"/>
      <c r="AK254" s="1166"/>
      <c r="AL254" s="1166"/>
      <c r="AM254" s="1166"/>
      <c r="AN254" s="1166"/>
      <c r="AO254" s="1166"/>
      <c r="AP254" s="1166"/>
      <c r="AQ254" s="1166"/>
      <c r="AR254" s="1166"/>
      <c r="AS254" s="1166"/>
      <c r="AT254" s="1166"/>
      <c r="AU254" s="1166"/>
      <c r="AV254" s="1166"/>
      <c r="AW254" s="1166"/>
      <c r="AX254" s="1166"/>
      <c r="AY254" s="1166"/>
      <c r="AZ254" s="1166"/>
      <c r="BA254" s="1166"/>
      <c r="BB254" s="1166"/>
      <c r="BC254" s="1166"/>
      <c r="BD254" s="1166"/>
      <c r="BE254" s="1166"/>
      <c r="BF254" s="1166"/>
      <c r="BG254" s="1166"/>
      <c r="BH254" s="1166"/>
      <c r="BI254" s="1166"/>
      <c r="BJ254" s="1166"/>
      <c r="BK254" s="1120"/>
      <c r="BL254" s="1120"/>
    </row>
    <row r="255" spans="1:64" s="401" customFormat="1" x14ac:dyDescent="0.3">
      <c r="A255" s="1154">
        <v>596</v>
      </c>
      <c r="B255" s="1222"/>
      <c r="C255" s="1221">
        <v>596</v>
      </c>
      <c r="D255" s="1227"/>
      <c r="E255" s="1227"/>
      <c r="F255" s="1163"/>
      <c r="G255" s="1164"/>
      <c r="H255" s="1164"/>
      <c r="I255" s="1164"/>
      <c r="J255" s="1164"/>
      <c r="K255" s="1164"/>
      <c r="L255" s="1165"/>
      <c r="M255" s="1166"/>
      <c r="N255" s="1166"/>
      <c r="O255" s="1167"/>
      <c r="P255" s="1167"/>
      <c r="Q255" s="1167"/>
      <c r="R255" s="1167"/>
      <c r="S255" s="1167"/>
      <c r="T255" s="1167"/>
      <c r="U255" s="1167"/>
      <c r="V255" s="1167"/>
      <c r="W255" s="1167"/>
      <c r="X255" s="1167"/>
      <c r="Y255" s="1167"/>
      <c r="Z255" s="1167"/>
      <c r="AA255" s="1167"/>
      <c r="AB255" s="1167"/>
      <c r="AC255" s="1167"/>
      <c r="AD255" s="1166"/>
      <c r="AE255" s="1166"/>
      <c r="AF255" s="1166"/>
      <c r="AG255" s="1166"/>
      <c r="AH255" s="1166"/>
      <c r="AI255" s="1166"/>
      <c r="AJ255" s="1166"/>
      <c r="AK255" s="1166"/>
      <c r="AL255" s="1166"/>
      <c r="AM255" s="1166"/>
      <c r="AN255" s="1166"/>
      <c r="AO255" s="1166"/>
      <c r="AP255" s="1166"/>
      <c r="AQ255" s="1166"/>
      <c r="AR255" s="1166"/>
      <c r="AS255" s="1166"/>
      <c r="AT255" s="1166"/>
      <c r="AU255" s="1166"/>
      <c r="AV255" s="1166"/>
      <c r="AW255" s="1166"/>
      <c r="AX255" s="1166"/>
      <c r="AY255" s="1166"/>
      <c r="AZ255" s="1166"/>
      <c r="BA255" s="1166"/>
      <c r="BB255" s="1166"/>
      <c r="BC255" s="1166"/>
      <c r="BD255" s="1166"/>
      <c r="BE255" s="1166"/>
      <c r="BF255" s="1166"/>
      <c r="BG255" s="1166"/>
      <c r="BH255" s="1166"/>
      <c r="BI255" s="1166"/>
      <c r="BJ255" s="1166"/>
      <c r="BK255" s="1120"/>
      <c r="BL255" s="1120"/>
    </row>
    <row r="256" spans="1:64" s="401" customFormat="1" x14ac:dyDescent="0.3">
      <c r="A256" s="1154">
        <v>597</v>
      </c>
      <c r="B256" s="1222"/>
      <c r="C256" s="1221">
        <v>597</v>
      </c>
      <c r="D256" s="1227"/>
      <c r="E256" s="1227"/>
      <c r="F256" s="1163"/>
      <c r="G256" s="1164"/>
      <c r="H256" s="1164"/>
      <c r="I256" s="1164"/>
      <c r="J256" s="1164"/>
      <c r="K256" s="1164"/>
      <c r="L256" s="1165"/>
      <c r="M256" s="1166"/>
      <c r="N256" s="1166"/>
      <c r="O256" s="1167"/>
      <c r="P256" s="1167"/>
      <c r="Q256" s="1167"/>
      <c r="R256" s="1167"/>
      <c r="S256" s="1167"/>
      <c r="T256" s="1167"/>
      <c r="U256" s="1167"/>
      <c r="V256" s="1167"/>
      <c r="W256" s="1167"/>
      <c r="X256" s="1167"/>
      <c r="Y256" s="1167"/>
      <c r="Z256" s="1167"/>
      <c r="AA256" s="1167"/>
      <c r="AB256" s="1167"/>
      <c r="AC256" s="1167"/>
      <c r="AD256" s="1166"/>
      <c r="AE256" s="1166"/>
      <c r="AF256" s="1166"/>
      <c r="AG256" s="1166"/>
      <c r="AH256" s="1166"/>
      <c r="AI256" s="1166"/>
      <c r="AJ256" s="1166"/>
      <c r="AK256" s="1166"/>
      <c r="AL256" s="1166"/>
      <c r="AM256" s="1166"/>
      <c r="AN256" s="1166"/>
      <c r="AO256" s="1166"/>
      <c r="AP256" s="1166"/>
      <c r="AQ256" s="1166"/>
      <c r="AR256" s="1166"/>
      <c r="AS256" s="1166"/>
      <c r="AT256" s="1166"/>
      <c r="AU256" s="1166"/>
      <c r="AV256" s="1166"/>
      <c r="AW256" s="1166"/>
      <c r="AX256" s="1166"/>
      <c r="AY256" s="1166"/>
      <c r="AZ256" s="1166"/>
      <c r="BA256" s="1166"/>
      <c r="BB256" s="1166"/>
      <c r="BC256" s="1166"/>
      <c r="BD256" s="1166"/>
      <c r="BE256" s="1166"/>
      <c r="BF256" s="1166"/>
      <c r="BG256" s="1166"/>
      <c r="BH256" s="1166"/>
      <c r="BI256" s="1166"/>
      <c r="BJ256" s="1166"/>
      <c r="BK256" s="1120"/>
      <c r="BL256" s="1120"/>
    </row>
    <row r="257" spans="1:64" s="401" customFormat="1" x14ac:dyDescent="0.3">
      <c r="A257" s="1152"/>
      <c r="B257" s="1222"/>
      <c r="C257" s="1221"/>
      <c r="D257" s="1227"/>
      <c r="E257" s="1227"/>
      <c r="F257" s="1163"/>
      <c r="G257" s="1164"/>
      <c r="H257" s="1164"/>
      <c r="I257" s="1164"/>
      <c r="J257" s="1164"/>
      <c r="K257" s="1164"/>
      <c r="L257" s="1165"/>
      <c r="M257" s="1166"/>
      <c r="N257" s="1166"/>
      <c r="O257" s="1167"/>
      <c r="P257" s="1167"/>
      <c r="Q257" s="1167"/>
      <c r="R257" s="1167"/>
      <c r="S257" s="1167"/>
      <c r="T257" s="1167"/>
      <c r="U257" s="1167"/>
      <c r="V257" s="1167"/>
      <c r="W257" s="1167"/>
      <c r="X257" s="1167"/>
      <c r="Y257" s="1167"/>
      <c r="Z257" s="1167"/>
      <c r="AA257" s="1167"/>
      <c r="AB257" s="1167"/>
      <c r="AC257" s="1167"/>
      <c r="AD257" s="1166"/>
      <c r="AE257" s="1166"/>
      <c r="AF257" s="1166"/>
      <c r="AG257" s="1166"/>
      <c r="AH257" s="1166"/>
      <c r="AI257" s="1166"/>
      <c r="AJ257" s="1166"/>
      <c r="AK257" s="1166"/>
      <c r="AL257" s="1166"/>
      <c r="AM257" s="1166"/>
      <c r="AN257" s="1166"/>
      <c r="AO257" s="1166"/>
      <c r="AP257" s="1166"/>
      <c r="AQ257" s="1166"/>
      <c r="AR257" s="1166"/>
      <c r="AS257" s="1166"/>
      <c r="AT257" s="1166"/>
      <c r="AU257" s="1166"/>
      <c r="AV257" s="1166"/>
      <c r="AW257" s="1166"/>
      <c r="AX257" s="1166"/>
      <c r="AY257" s="1166"/>
      <c r="AZ257" s="1166"/>
      <c r="BA257" s="1166"/>
      <c r="BB257" s="1166"/>
      <c r="BC257" s="1166"/>
      <c r="BD257" s="1166"/>
      <c r="BE257" s="1166"/>
      <c r="BF257" s="1166"/>
      <c r="BG257" s="1166"/>
      <c r="BH257" s="1166"/>
      <c r="BI257" s="1166"/>
      <c r="BJ257" s="1166"/>
      <c r="BK257" s="1120"/>
      <c r="BL257" s="1120"/>
    </row>
    <row r="258" spans="1:64" s="401" customFormat="1" x14ac:dyDescent="0.3">
      <c r="A258" s="1154">
        <v>598</v>
      </c>
      <c r="B258" s="1222"/>
      <c r="C258" s="1221">
        <v>598</v>
      </c>
      <c r="D258" s="1227"/>
      <c r="E258" s="1227"/>
      <c r="F258" s="1163"/>
      <c r="G258" s="1164"/>
      <c r="H258" s="1164"/>
      <c r="I258" s="1164"/>
      <c r="J258" s="1164"/>
      <c r="K258" s="1164"/>
      <c r="L258" s="1165"/>
      <c r="M258" s="1166"/>
      <c r="N258" s="1166"/>
      <c r="O258" s="1167"/>
      <c r="P258" s="1167"/>
      <c r="Q258" s="1167"/>
      <c r="R258" s="1167"/>
      <c r="S258" s="1167"/>
      <c r="T258" s="1167"/>
      <c r="U258" s="1167"/>
      <c r="V258" s="1167"/>
      <c r="W258" s="1167"/>
      <c r="X258" s="1167"/>
      <c r="Y258" s="1167"/>
      <c r="Z258" s="1167"/>
      <c r="AA258" s="1167"/>
      <c r="AB258" s="1167"/>
      <c r="AC258" s="1167"/>
      <c r="AD258" s="1166"/>
      <c r="AE258" s="1166"/>
      <c r="AF258" s="1166"/>
      <c r="AG258" s="1166"/>
      <c r="AH258" s="1166"/>
      <c r="AI258" s="1166"/>
      <c r="AJ258" s="1166"/>
      <c r="AK258" s="1166"/>
      <c r="AL258" s="1166"/>
      <c r="AM258" s="1166"/>
      <c r="AN258" s="1166"/>
      <c r="AO258" s="1166"/>
      <c r="AP258" s="1166"/>
      <c r="AQ258" s="1166"/>
      <c r="AR258" s="1166"/>
      <c r="AS258" s="1166"/>
      <c r="AT258" s="1166"/>
      <c r="AU258" s="1166"/>
      <c r="AV258" s="1166"/>
      <c r="AW258" s="1166"/>
      <c r="AX258" s="1166"/>
      <c r="AY258" s="1166"/>
      <c r="AZ258" s="1166"/>
      <c r="BA258" s="1166"/>
      <c r="BB258" s="1166"/>
      <c r="BC258" s="1166"/>
      <c r="BD258" s="1166"/>
      <c r="BE258" s="1166"/>
      <c r="BF258" s="1166"/>
      <c r="BG258" s="1166"/>
      <c r="BH258" s="1166"/>
      <c r="BI258" s="1166"/>
      <c r="BJ258" s="1166"/>
      <c r="BK258" s="1120"/>
      <c r="BL258" s="1120"/>
    </row>
    <row r="259" spans="1:64" s="401" customFormat="1" x14ac:dyDescent="0.3">
      <c r="A259" s="1154">
        <v>599</v>
      </c>
      <c r="B259" s="1222"/>
      <c r="C259" s="1221">
        <v>599</v>
      </c>
      <c r="D259" s="1227"/>
      <c r="E259" s="1227"/>
      <c r="F259" s="1163"/>
      <c r="G259" s="1164"/>
      <c r="H259" s="1164"/>
      <c r="I259" s="1164"/>
      <c r="J259" s="1164"/>
      <c r="K259" s="1164"/>
      <c r="L259" s="1165"/>
      <c r="M259" s="1166"/>
      <c r="N259" s="1166"/>
      <c r="O259" s="1167"/>
      <c r="P259" s="1167"/>
      <c r="Q259" s="1167"/>
      <c r="R259" s="1167"/>
      <c r="S259" s="1167"/>
      <c r="T259" s="1167"/>
      <c r="U259" s="1167"/>
      <c r="V259" s="1167"/>
      <c r="W259" s="1167"/>
      <c r="X259" s="1167"/>
      <c r="Y259" s="1167"/>
      <c r="Z259" s="1167"/>
      <c r="AA259" s="1167"/>
      <c r="AB259" s="1167"/>
      <c r="AC259" s="1167"/>
      <c r="AD259" s="1166"/>
      <c r="AE259" s="1166"/>
      <c r="AF259" s="1166"/>
      <c r="AG259" s="1166"/>
      <c r="AH259" s="1166"/>
      <c r="AI259" s="1166"/>
      <c r="AJ259" s="1166"/>
      <c r="AK259" s="1166"/>
      <c r="AL259" s="1166"/>
      <c r="AM259" s="1166"/>
      <c r="AN259" s="1166"/>
      <c r="AO259" s="1166"/>
      <c r="AP259" s="1166"/>
      <c r="AQ259" s="1166"/>
      <c r="AR259" s="1166"/>
      <c r="AS259" s="1166"/>
      <c r="AT259" s="1166"/>
      <c r="AU259" s="1166"/>
      <c r="AV259" s="1166"/>
      <c r="AW259" s="1166"/>
      <c r="AX259" s="1166"/>
      <c r="AY259" s="1166"/>
      <c r="AZ259" s="1166"/>
      <c r="BA259" s="1166"/>
      <c r="BB259" s="1166"/>
      <c r="BC259" s="1166"/>
      <c r="BD259" s="1166"/>
      <c r="BE259" s="1166"/>
      <c r="BF259" s="1166"/>
      <c r="BG259" s="1166"/>
      <c r="BH259" s="1166"/>
      <c r="BI259" s="1166"/>
      <c r="BJ259" s="1166"/>
      <c r="BK259" s="1120"/>
      <c r="BL259" s="1120"/>
    </row>
    <row r="260" spans="1:64" s="401" customFormat="1" ht="100.8" x14ac:dyDescent="0.3">
      <c r="A260" s="1175">
        <v>600</v>
      </c>
      <c r="B260" s="1222"/>
      <c r="C260" s="1176">
        <v>600</v>
      </c>
      <c r="D260" s="1177" t="s">
        <v>564</v>
      </c>
      <c r="E260" s="1177"/>
      <c r="F260" s="1178"/>
      <c r="G260" s="1179"/>
      <c r="H260" s="1179"/>
      <c r="I260" s="1179"/>
      <c r="J260" s="1179"/>
      <c r="K260" s="1179"/>
      <c r="L260" s="1180"/>
      <c r="M260" s="1181"/>
      <c r="N260" s="1181"/>
      <c r="O260" s="1182"/>
      <c r="P260" s="1182"/>
      <c r="Q260" s="1182"/>
      <c r="R260" s="1182"/>
      <c r="S260" s="1182"/>
      <c r="T260" s="1182"/>
      <c r="U260" s="1182"/>
      <c r="V260" s="1182"/>
      <c r="W260" s="1182"/>
      <c r="X260" s="1182"/>
      <c r="Y260" s="1182"/>
      <c r="Z260" s="1182"/>
      <c r="AA260" s="1182"/>
      <c r="AB260" s="1182"/>
      <c r="AC260" s="1182"/>
      <c r="AD260" s="1181"/>
      <c r="AE260" s="1181"/>
      <c r="AF260" s="1181"/>
      <c r="AG260" s="1181"/>
      <c r="AH260" s="1181"/>
      <c r="AI260" s="1181"/>
      <c r="AJ260" s="1181"/>
      <c r="AK260" s="1181"/>
      <c r="AL260" s="1181"/>
      <c r="AM260" s="1181"/>
      <c r="AN260" s="1181"/>
      <c r="AO260" s="1181"/>
      <c r="AP260" s="1181"/>
      <c r="AQ260" s="1181"/>
      <c r="AR260" s="1181"/>
      <c r="AS260" s="1181"/>
      <c r="AT260" s="1181"/>
      <c r="AU260" s="1181"/>
      <c r="AV260" s="1181"/>
      <c r="AW260" s="1181"/>
      <c r="AX260" s="1181"/>
      <c r="AY260" s="1181"/>
      <c r="AZ260" s="1181"/>
      <c r="BA260" s="1181"/>
      <c r="BB260" s="1181"/>
      <c r="BC260" s="1181"/>
      <c r="BD260" s="1181"/>
      <c r="BE260" s="1181"/>
      <c r="BF260" s="1181"/>
      <c r="BG260" s="1181"/>
      <c r="BH260" s="1181"/>
      <c r="BI260" s="1181"/>
      <c r="BJ260" s="1181"/>
      <c r="BK260" s="1120"/>
      <c r="BL260" s="1120"/>
    </row>
    <row r="261" spans="1:64" s="401" customFormat="1" ht="201.6" x14ac:dyDescent="0.3">
      <c r="A261" s="1175">
        <v>601</v>
      </c>
      <c r="B261" s="1222"/>
      <c r="C261" s="1176">
        <v>601</v>
      </c>
      <c r="D261" s="1177" t="s">
        <v>565</v>
      </c>
      <c r="E261" s="1177"/>
      <c r="F261" s="1178"/>
      <c r="G261" s="1179"/>
      <c r="H261" s="1179"/>
      <c r="I261" s="1179"/>
      <c r="J261" s="1179"/>
      <c r="K261" s="1179"/>
      <c r="L261" s="1180"/>
      <c r="M261" s="1181"/>
      <c r="N261" s="1181"/>
      <c r="O261" s="1182"/>
      <c r="P261" s="1182"/>
      <c r="Q261" s="1182"/>
      <c r="R261" s="1182"/>
      <c r="S261" s="1182"/>
      <c r="T261" s="1182"/>
      <c r="U261" s="1182"/>
      <c r="V261" s="1182"/>
      <c r="W261" s="1182"/>
      <c r="X261" s="1182"/>
      <c r="Y261" s="1182"/>
      <c r="Z261" s="1182"/>
      <c r="AA261" s="1182"/>
      <c r="AB261" s="1182"/>
      <c r="AC261" s="1182"/>
      <c r="AD261" s="1181"/>
      <c r="AE261" s="1181"/>
      <c r="AF261" s="1181"/>
      <c r="AG261" s="1181"/>
      <c r="AH261" s="1181"/>
      <c r="AI261" s="1181"/>
      <c r="AJ261" s="1181"/>
      <c r="AK261" s="1181"/>
      <c r="AL261" s="1181"/>
      <c r="AM261" s="1181"/>
      <c r="AN261" s="1181"/>
      <c r="AO261" s="1181"/>
      <c r="AP261" s="1181"/>
      <c r="AQ261" s="1181"/>
      <c r="AR261" s="1181"/>
      <c r="AS261" s="1181"/>
      <c r="AT261" s="1181"/>
      <c r="AU261" s="1181"/>
      <c r="AV261" s="1181"/>
      <c r="AW261" s="1181"/>
      <c r="AX261" s="1181"/>
      <c r="AY261" s="1181"/>
      <c r="AZ261" s="1181"/>
      <c r="BA261" s="1181"/>
      <c r="BB261" s="1181"/>
      <c r="BC261" s="1181"/>
      <c r="BD261" s="1181"/>
      <c r="BE261" s="1181"/>
      <c r="BF261" s="1181"/>
      <c r="BG261" s="1181"/>
      <c r="BH261" s="1181"/>
      <c r="BI261" s="1181"/>
      <c r="BJ261" s="1181"/>
      <c r="BK261" s="1120"/>
      <c r="BL261" s="1120"/>
    </row>
    <row r="262" spans="1:64" s="401" customFormat="1" x14ac:dyDescent="0.3">
      <c r="A262" s="1175">
        <v>602</v>
      </c>
      <c r="B262" s="1222"/>
      <c r="C262" s="1176">
        <v>602</v>
      </c>
      <c r="D262" s="1177"/>
      <c r="E262" s="1177"/>
      <c r="F262" s="1178"/>
      <c r="G262" s="1179"/>
      <c r="H262" s="1179"/>
      <c r="I262" s="1179"/>
      <c r="J262" s="1179"/>
      <c r="K262" s="1179"/>
      <c r="L262" s="1180"/>
      <c r="M262" s="1181"/>
      <c r="N262" s="1181"/>
      <c r="O262" s="1182"/>
      <c r="P262" s="1182"/>
      <c r="Q262" s="1182"/>
      <c r="R262" s="1182"/>
      <c r="S262" s="1182"/>
      <c r="T262" s="1182"/>
      <c r="U262" s="1182"/>
      <c r="V262" s="1182"/>
      <c r="W262" s="1182"/>
      <c r="X262" s="1182"/>
      <c r="Y262" s="1182"/>
      <c r="Z262" s="1182"/>
      <c r="AA262" s="1182"/>
      <c r="AB262" s="1182"/>
      <c r="AC262" s="1182"/>
      <c r="AD262" s="1181"/>
      <c r="AE262" s="1181"/>
      <c r="AF262" s="1181"/>
      <c r="AG262" s="1181"/>
      <c r="AH262" s="1181"/>
      <c r="AI262" s="1181"/>
      <c r="AJ262" s="1181"/>
      <c r="AK262" s="1181"/>
      <c r="AL262" s="1181"/>
      <c r="AM262" s="1181"/>
      <c r="AN262" s="1181"/>
      <c r="AO262" s="1181"/>
      <c r="AP262" s="1181"/>
      <c r="AQ262" s="1181"/>
      <c r="AR262" s="1181"/>
      <c r="AS262" s="1181"/>
      <c r="AT262" s="1181"/>
      <c r="AU262" s="1181"/>
      <c r="AV262" s="1181"/>
      <c r="AW262" s="1181"/>
      <c r="AX262" s="1181"/>
      <c r="AY262" s="1181"/>
      <c r="AZ262" s="1181"/>
      <c r="BA262" s="1181"/>
      <c r="BB262" s="1181"/>
      <c r="BC262" s="1181"/>
      <c r="BD262" s="1181"/>
      <c r="BE262" s="1181"/>
      <c r="BF262" s="1181"/>
      <c r="BG262" s="1181"/>
      <c r="BH262" s="1181"/>
      <c r="BI262" s="1181"/>
      <c r="BJ262" s="1181"/>
      <c r="BK262" s="1120"/>
      <c r="BL262" s="1120"/>
    </row>
    <row r="263" spans="1:64" s="401" customFormat="1" ht="172.8" x14ac:dyDescent="0.3">
      <c r="A263" s="1154">
        <v>603</v>
      </c>
      <c r="B263" s="1222"/>
      <c r="C263" s="1211">
        <v>603</v>
      </c>
      <c r="D263" s="1210" t="s">
        <v>415</v>
      </c>
      <c r="E263" s="1210"/>
      <c r="F263" s="1163"/>
      <c r="G263" s="1164"/>
      <c r="H263" s="1164"/>
      <c r="I263" s="1164"/>
      <c r="J263" s="1164"/>
      <c r="K263" s="1164"/>
      <c r="L263" s="1165"/>
      <c r="M263" s="1166"/>
      <c r="N263" s="1166"/>
      <c r="O263" s="1167"/>
      <c r="P263" s="1167"/>
      <c r="Q263" s="1167"/>
      <c r="R263" s="1167"/>
      <c r="S263" s="1167"/>
      <c r="T263" s="1167"/>
      <c r="U263" s="1167"/>
      <c r="V263" s="1167"/>
      <c r="W263" s="1167"/>
      <c r="X263" s="1167"/>
      <c r="Y263" s="1167"/>
      <c r="Z263" s="1167"/>
      <c r="AA263" s="1167"/>
      <c r="AB263" s="1167"/>
      <c r="AC263" s="1167"/>
      <c r="AD263" s="1166"/>
      <c r="AE263" s="1166"/>
      <c r="AF263" s="1166"/>
      <c r="AG263" s="1166"/>
      <c r="AH263" s="1166"/>
      <c r="AI263" s="1166"/>
      <c r="AJ263" s="1166"/>
      <c r="AK263" s="1166"/>
      <c r="AL263" s="1166"/>
      <c r="AM263" s="1166"/>
      <c r="AN263" s="1166"/>
      <c r="AO263" s="1166"/>
      <c r="AP263" s="1166"/>
      <c r="AQ263" s="1166"/>
      <c r="AR263" s="1166"/>
      <c r="AS263" s="1166"/>
      <c r="AT263" s="1166"/>
      <c r="AU263" s="1166"/>
      <c r="AV263" s="1166"/>
      <c r="AW263" s="1166"/>
      <c r="AX263" s="1166"/>
      <c r="AY263" s="1166"/>
      <c r="AZ263" s="1166"/>
      <c r="BA263" s="1166"/>
      <c r="BB263" s="1166"/>
      <c r="BC263" s="1166"/>
      <c r="BD263" s="1166"/>
      <c r="BE263" s="1166"/>
      <c r="BF263" s="1166"/>
      <c r="BG263" s="1166"/>
      <c r="BH263" s="1166"/>
      <c r="BI263" s="1166"/>
      <c r="BJ263" s="1166"/>
      <c r="BK263" s="1120"/>
      <c r="BL263" s="1120"/>
    </row>
    <row r="264" spans="1:64" s="401" customFormat="1" ht="115.2" x14ac:dyDescent="0.3">
      <c r="A264" s="1154">
        <v>604</v>
      </c>
      <c r="B264" s="1222"/>
      <c r="C264" s="1211">
        <v>604</v>
      </c>
      <c r="D264" s="1210" t="s">
        <v>416</v>
      </c>
      <c r="E264" s="1210"/>
      <c r="F264" s="1163">
        <v>0</v>
      </c>
      <c r="G264" s="1164">
        <v>0</v>
      </c>
      <c r="H264" s="1164">
        <v>0</v>
      </c>
      <c r="I264" s="1164">
        <v>0</v>
      </c>
      <c r="J264" s="1164">
        <v>0</v>
      </c>
      <c r="K264" s="1164">
        <v>0</v>
      </c>
      <c r="L264" s="1165">
        <v>0</v>
      </c>
      <c r="M264" s="1166">
        <v>0</v>
      </c>
      <c r="N264" s="1166">
        <v>0</v>
      </c>
      <c r="O264" s="1167">
        <v>0</v>
      </c>
      <c r="P264" s="1167">
        <v>0</v>
      </c>
      <c r="Q264" s="1167">
        <v>0</v>
      </c>
      <c r="R264" s="1167">
        <v>0</v>
      </c>
      <c r="S264" s="1167">
        <v>0</v>
      </c>
      <c r="T264" s="1167">
        <v>0</v>
      </c>
      <c r="U264" s="1167">
        <v>0</v>
      </c>
      <c r="V264" s="1167">
        <v>0</v>
      </c>
      <c r="W264" s="1167">
        <v>0</v>
      </c>
      <c r="X264" s="1167">
        <v>0</v>
      </c>
      <c r="Y264" s="1167">
        <v>0</v>
      </c>
      <c r="Z264" s="1167">
        <v>0</v>
      </c>
      <c r="AA264" s="1167">
        <v>0</v>
      </c>
      <c r="AB264" s="1167">
        <v>0</v>
      </c>
      <c r="AC264" s="1167">
        <v>0</v>
      </c>
      <c r="AD264" s="1166">
        <v>0</v>
      </c>
      <c r="AE264" s="1166">
        <v>0</v>
      </c>
      <c r="AF264" s="1166">
        <v>0</v>
      </c>
      <c r="AG264" s="1166">
        <v>0</v>
      </c>
      <c r="AH264" s="1166">
        <v>0</v>
      </c>
      <c r="AI264" s="1166">
        <v>0</v>
      </c>
      <c r="AJ264" s="1166">
        <v>0</v>
      </c>
      <c r="AK264" s="1166">
        <v>0</v>
      </c>
      <c r="AL264" s="1166">
        <v>0</v>
      </c>
      <c r="AM264" s="1166">
        <v>0</v>
      </c>
      <c r="AN264" s="1166">
        <v>0</v>
      </c>
      <c r="AO264" s="1166">
        <v>0</v>
      </c>
      <c r="AP264" s="1166">
        <v>0</v>
      </c>
      <c r="AQ264" s="1166">
        <v>0</v>
      </c>
      <c r="AR264" s="1166">
        <v>0</v>
      </c>
      <c r="AS264" s="1166">
        <v>0</v>
      </c>
      <c r="AT264" s="1166">
        <v>0</v>
      </c>
      <c r="AU264" s="1166">
        <v>0</v>
      </c>
      <c r="AV264" s="1166">
        <v>0</v>
      </c>
      <c r="AW264" s="1166">
        <v>0</v>
      </c>
      <c r="AX264" s="1166">
        <v>0</v>
      </c>
      <c r="AY264" s="1166">
        <v>0</v>
      </c>
      <c r="AZ264" s="1166">
        <v>0</v>
      </c>
      <c r="BA264" s="1166">
        <v>0</v>
      </c>
      <c r="BB264" s="1166">
        <v>0</v>
      </c>
      <c r="BC264" s="1166">
        <v>0</v>
      </c>
      <c r="BD264" s="1166">
        <v>0</v>
      </c>
      <c r="BE264" s="1166">
        <v>0</v>
      </c>
      <c r="BF264" s="1166">
        <v>0</v>
      </c>
      <c r="BG264" s="1166">
        <v>0</v>
      </c>
      <c r="BH264" s="1166">
        <v>0</v>
      </c>
      <c r="BI264" s="1166">
        <v>0</v>
      </c>
      <c r="BJ264" s="1166">
        <v>0</v>
      </c>
      <c r="BK264" s="1120"/>
      <c r="BL264" s="1120"/>
    </row>
    <row r="265" spans="1:64" s="401" customFormat="1" ht="43.2" x14ac:dyDescent="0.3">
      <c r="A265" s="1154">
        <v>605</v>
      </c>
      <c r="B265" s="1222"/>
      <c r="C265" s="1211">
        <v>605</v>
      </c>
      <c r="D265" s="1210" t="s">
        <v>418</v>
      </c>
      <c r="E265" s="1210"/>
      <c r="F265" s="1163">
        <v>0</v>
      </c>
      <c r="G265" s="1164">
        <v>0</v>
      </c>
      <c r="H265" s="1164">
        <v>0</v>
      </c>
      <c r="I265" s="1164">
        <v>0</v>
      </c>
      <c r="J265" s="1164">
        <v>0</v>
      </c>
      <c r="K265" s="1164">
        <v>0</v>
      </c>
      <c r="L265" s="1165">
        <v>0</v>
      </c>
      <c r="M265" s="1166">
        <v>0</v>
      </c>
      <c r="N265" s="1166">
        <v>0</v>
      </c>
      <c r="O265" s="1167">
        <v>0</v>
      </c>
      <c r="P265" s="1167">
        <v>0</v>
      </c>
      <c r="Q265" s="1167">
        <v>0</v>
      </c>
      <c r="R265" s="1167">
        <v>0</v>
      </c>
      <c r="S265" s="1167">
        <v>0</v>
      </c>
      <c r="T265" s="1167">
        <v>0</v>
      </c>
      <c r="U265" s="1167">
        <v>0</v>
      </c>
      <c r="V265" s="1167">
        <v>0</v>
      </c>
      <c r="W265" s="1167">
        <v>0</v>
      </c>
      <c r="X265" s="1167">
        <v>0</v>
      </c>
      <c r="Y265" s="1167">
        <v>0</v>
      </c>
      <c r="Z265" s="1167">
        <v>0</v>
      </c>
      <c r="AA265" s="1167">
        <v>0</v>
      </c>
      <c r="AB265" s="1167">
        <v>0</v>
      </c>
      <c r="AC265" s="1167">
        <v>0</v>
      </c>
      <c r="AD265" s="1166">
        <v>0</v>
      </c>
      <c r="AE265" s="1166">
        <v>0</v>
      </c>
      <c r="AF265" s="1166">
        <v>0</v>
      </c>
      <c r="AG265" s="1166">
        <v>0</v>
      </c>
      <c r="AH265" s="1166">
        <v>0</v>
      </c>
      <c r="AI265" s="1166">
        <v>0</v>
      </c>
      <c r="AJ265" s="1166">
        <v>0</v>
      </c>
      <c r="AK265" s="1166">
        <v>0</v>
      </c>
      <c r="AL265" s="1166">
        <v>0</v>
      </c>
      <c r="AM265" s="1166">
        <v>0</v>
      </c>
      <c r="AN265" s="1166">
        <v>0</v>
      </c>
      <c r="AO265" s="1166">
        <v>0</v>
      </c>
      <c r="AP265" s="1166">
        <v>0</v>
      </c>
      <c r="AQ265" s="1166">
        <v>0</v>
      </c>
      <c r="AR265" s="1166">
        <v>0</v>
      </c>
      <c r="AS265" s="1166">
        <v>0</v>
      </c>
      <c r="AT265" s="1166">
        <v>0</v>
      </c>
      <c r="AU265" s="1166">
        <v>0</v>
      </c>
      <c r="AV265" s="1166">
        <v>0</v>
      </c>
      <c r="AW265" s="1166">
        <v>0</v>
      </c>
      <c r="AX265" s="1166">
        <v>0</v>
      </c>
      <c r="AY265" s="1166">
        <v>0</v>
      </c>
      <c r="AZ265" s="1166">
        <v>0</v>
      </c>
      <c r="BA265" s="1166">
        <v>0</v>
      </c>
      <c r="BB265" s="1166">
        <v>0</v>
      </c>
      <c r="BC265" s="1166">
        <v>0</v>
      </c>
      <c r="BD265" s="1166">
        <v>0</v>
      </c>
      <c r="BE265" s="1166">
        <v>0</v>
      </c>
      <c r="BF265" s="1166">
        <v>0</v>
      </c>
      <c r="BG265" s="1166">
        <v>0</v>
      </c>
      <c r="BH265" s="1166">
        <v>0</v>
      </c>
      <c r="BI265" s="1166">
        <v>0</v>
      </c>
      <c r="BJ265" s="1166">
        <v>0</v>
      </c>
      <c r="BK265" s="1120"/>
      <c r="BL265" s="1120"/>
    </row>
    <row r="266" spans="1:64" s="401" customFormat="1" ht="43.2" x14ac:dyDescent="0.3">
      <c r="A266" s="1154">
        <v>606</v>
      </c>
      <c r="B266" s="1222">
        <v>606</v>
      </c>
      <c r="C266" s="1211">
        <v>606</v>
      </c>
      <c r="D266" s="1210" t="s">
        <v>432</v>
      </c>
      <c r="E266" s="1210"/>
      <c r="F266" s="1163">
        <v>1</v>
      </c>
      <c r="G266" s="1164">
        <v>1</v>
      </c>
      <c r="H266" s="1164">
        <v>1</v>
      </c>
      <c r="I266" s="1164">
        <v>1</v>
      </c>
      <c r="J266" s="1164">
        <v>1</v>
      </c>
      <c r="K266" s="1164">
        <v>1</v>
      </c>
      <c r="L266" s="1165">
        <v>1</v>
      </c>
      <c r="M266" s="1166">
        <v>1</v>
      </c>
      <c r="N266" s="1166">
        <v>1</v>
      </c>
      <c r="O266" s="1167">
        <v>1</v>
      </c>
      <c r="P266" s="1167">
        <v>1</v>
      </c>
      <c r="Q266" s="1167">
        <v>1</v>
      </c>
      <c r="R266" s="1167">
        <v>1</v>
      </c>
      <c r="S266" s="1167">
        <v>1</v>
      </c>
      <c r="T266" s="1167">
        <v>1</v>
      </c>
      <c r="U266" s="1167">
        <v>1</v>
      </c>
      <c r="V266" s="1167">
        <v>1</v>
      </c>
      <c r="W266" s="1167">
        <v>1</v>
      </c>
      <c r="X266" s="1167">
        <v>1</v>
      </c>
      <c r="Y266" s="1167">
        <v>1</v>
      </c>
      <c r="Z266" s="1167">
        <v>1</v>
      </c>
      <c r="AA266" s="1167">
        <v>1</v>
      </c>
      <c r="AB266" s="1167">
        <v>1</v>
      </c>
      <c r="AC266" s="1167">
        <v>1</v>
      </c>
      <c r="AD266" s="1166">
        <v>0</v>
      </c>
      <c r="AE266" s="1166">
        <v>1</v>
      </c>
      <c r="AF266" s="1166">
        <v>1</v>
      </c>
      <c r="AG266" s="1166">
        <v>1</v>
      </c>
      <c r="AH266" s="1166">
        <v>1</v>
      </c>
      <c r="AI266" s="1166">
        <v>1</v>
      </c>
      <c r="AJ266" s="1166">
        <v>1</v>
      </c>
      <c r="AK266" s="1166">
        <v>1</v>
      </c>
      <c r="AL266" s="1166">
        <v>1</v>
      </c>
      <c r="AM266" s="1166">
        <v>1</v>
      </c>
      <c r="AN266" s="1166">
        <v>1</v>
      </c>
      <c r="AO266" s="1166">
        <v>1</v>
      </c>
      <c r="AP266" s="1166">
        <v>1</v>
      </c>
      <c r="AQ266" s="1166">
        <v>1</v>
      </c>
      <c r="AR266" s="1166">
        <v>1</v>
      </c>
      <c r="AS266" s="1166">
        <v>1</v>
      </c>
      <c r="AT266" s="1166">
        <v>1</v>
      </c>
      <c r="AU266" s="1166">
        <v>1</v>
      </c>
      <c r="AV266" s="1166">
        <v>1</v>
      </c>
      <c r="AW266" s="1166">
        <v>0</v>
      </c>
      <c r="AX266" s="1166">
        <v>1</v>
      </c>
      <c r="AY266" s="1166">
        <v>1</v>
      </c>
      <c r="AZ266" s="1166">
        <v>1</v>
      </c>
      <c r="BA266" s="1166">
        <v>1</v>
      </c>
      <c r="BB266" s="1166">
        <v>1</v>
      </c>
      <c r="BC266" s="1166">
        <v>1</v>
      </c>
      <c r="BD266" s="1166">
        <v>1</v>
      </c>
      <c r="BE266" s="1166">
        <v>1</v>
      </c>
      <c r="BF266" s="1166">
        <v>1</v>
      </c>
      <c r="BG266" s="1166">
        <v>1</v>
      </c>
      <c r="BH266" s="1166">
        <v>1</v>
      </c>
      <c r="BI266" s="1166">
        <v>1</v>
      </c>
      <c r="BJ266" s="1166">
        <v>1</v>
      </c>
      <c r="BK266" s="1120"/>
      <c r="BL266" s="1120"/>
    </row>
    <row r="267" spans="1:64" s="401" customFormat="1" x14ac:dyDescent="0.3">
      <c r="A267" s="1154">
        <v>607</v>
      </c>
      <c r="B267" s="1222"/>
      <c r="C267" s="1208">
        <v>607</v>
      </c>
      <c r="D267" s="1209" t="s">
        <v>408</v>
      </c>
      <c r="E267" s="1209"/>
      <c r="F267" s="1163">
        <v>0</v>
      </c>
      <c r="G267" s="1164">
        <v>0</v>
      </c>
      <c r="H267" s="1164">
        <v>0</v>
      </c>
      <c r="I267" s="1164">
        <v>0</v>
      </c>
      <c r="J267" s="1164">
        <v>0</v>
      </c>
      <c r="K267" s="1164">
        <v>0</v>
      </c>
      <c r="L267" s="1165">
        <v>0</v>
      </c>
      <c r="M267" s="1166">
        <v>0</v>
      </c>
      <c r="N267" s="1166">
        <v>0</v>
      </c>
      <c r="O267" s="1167">
        <v>0</v>
      </c>
      <c r="P267" s="1167">
        <v>0</v>
      </c>
      <c r="Q267" s="1167">
        <v>0</v>
      </c>
      <c r="R267" s="1167">
        <v>0</v>
      </c>
      <c r="S267" s="1167">
        <v>0</v>
      </c>
      <c r="T267" s="1167">
        <v>0</v>
      </c>
      <c r="U267" s="1167">
        <v>0</v>
      </c>
      <c r="V267" s="1167">
        <v>0</v>
      </c>
      <c r="W267" s="1167">
        <v>0</v>
      </c>
      <c r="X267" s="1167">
        <v>0</v>
      </c>
      <c r="Y267" s="1167">
        <v>0</v>
      </c>
      <c r="Z267" s="1167">
        <v>0</v>
      </c>
      <c r="AA267" s="1167">
        <v>0</v>
      </c>
      <c r="AB267" s="1167">
        <v>0</v>
      </c>
      <c r="AC267" s="1167">
        <v>0</v>
      </c>
      <c r="AD267" s="1166">
        <v>0</v>
      </c>
      <c r="AE267" s="1166">
        <v>0</v>
      </c>
      <c r="AF267" s="1166">
        <v>0</v>
      </c>
      <c r="AG267" s="1166">
        <v>0</v>
      </c>
      <c r="AH267" s="1166">
        <v>0</v>
      </c>
      <c r="AI267" s="1166">
        <v>0</v>
      </c>
      <c r="AJ267" s="1166">
        <v>0</v>
      </c>
      <c r="AK267" s="1166">
        <v>0</v>
      </c>
      <c r="AL267" s="1166">
        <v>0</v>
      </c>
      <c r="AM267" s="1166">
        <v>0</v>
      </c>
      <c r="AN267" s="1166">
        <v>0</v>
      </c>
      <c r="AO267" s="1166">
        <v>0</v>
      </c>
      <c r="AP267" s="1166">
        <v>0</v>
      </c>
      <c r="AQ267" s="1166">
        <v>0</v>
      </c>
      <c r="AR267" s="1166">
        <v>0</v>
      </c>
      <c r="AS267" s="1166">
        <v>0</v>
      </c>
      <c r="AT267" s="1166">
        <v>0</v>
      </c>
      <c r="AU267" s="1166">
        <v>0</v>
      </c>
      <c r="AV267" s="1166">
        <v>0</v>
      </c>
      <c r="AW267" s="1166">
        <v>0</v>
      </c>
      <c r="AX267" s="1166">
        <v>0</v>
      </c>
      <c r="AY267" s="1166">
        <v>0</v>
      </c>
      <c r="AZ267" s="1166">
        <v>0</v>
      </c>
      <c r="BA267" s="1166">
        <v>0</v>
      </c>
      <c r="BB267" s="1166">
        <v>0</v>
      </c>
      <c r="BC267" s="1166">
        <v>0</v>
      </c>
      <c r="BD267" s="1166">
        <v>0</v>
      </c>
      <c r="BE267" s="1166">
        <v>0</v>
      </c>
      <c r="BF267" s="1166">
        <v>0</v>
      </c>
      <c r="BG267" s="1166">
        <v>0</v>
      </c>
      <c r="BH267" s="1166">
        <v>0</v>
      </c>
      <c r="BI267" s="1166">
        <v>0</v>
      </c>
      <c r="BJ267" s="1166">
        <v>0</v>
      </c>
      <c r="BK267" s="1120"/>
      <c r="BL267" s="1120"/>
    </row>
    <row r="268" spans="1:64" s="401" customFormat="1" ht="28.8" x14ac:dyDescent="0.3">
      <c r="A268" s="1154">
        <v>608</v>
      </c>
      <c r="B268" s="1222"/>
      <c r="C268" s="1208">
        <v>608</v>
      </c>
      <c r="D268" s="1209" t="s">
        <v>409</v>
      </c>
      <c r="E268" s="1209"/>
      <c r="F268" s="1163">
        <v>0</v>
      </c>
      <c r="G268" s="1164">
        <v>0</v>
      </c>
      <c r="H268" s="1164">
        <v>0</v>
      </c>
      <c r="I268" s="1164">
        <v>0</v>
      </c>
      <c r="J268" s="1164">
        <v>0</v>
      </c>
      <c r="K268" s="1164">
        <v>0</v>
      </c>
      <c r="L268" s="1165">
        <v>0</v>
      </c>
      <c r="M268" s="1166">
        <v>0</v>
      </c>
      <c r="N268" s="1166">
        <v>0</v>
      </c>
      <c r="O268" s="1167">
        <v>0</v>
      </c>
      <c r="P268" s="1167">
        <v>0</v>
      </c>
      <c r="Q268" s="1167">
        <v>0</v>
      </c>
      <c r="R268" s="1167">
        <v>0</v>
      </c>
      <c r="S268" s="1167">
        <v>0</v>
      </c>
      <c r="T268" s="1167">
        <v>0</v>
      </c>
      <c r="U268" s="1167">
        <v>0</v>
      </c>
      <c r="V268" s="1167">
        <v>0</v>
      </c>
      <c r="W268" s="1167">
        <v>0</v>
      </c>
      <c r="X268" s="1167">
        <v>0</v>
      </c>
      <c r="Y268" s="1167">
        <v>0</v>
      </c>
      <c r="Z268" s="1167">
        <v>0</v>
      </c>
      <c r="AA268" s="1167">
        <v>0</v>
      </c>
      <c r="AB268" s="1167">
        <v>0</v>
      </c>
      <c r="AC268" s="1167">
        <v>0</v>
      </c>
      <c r="AD268" s="1166">
        <v>0</v>
      </c>
      <c r="AE268" s="1166">
        <v>0</v>
      </c>
      <c r="AF268" s="1166">
        <v>0</v>
      </c>
      <c r="AG268" s="1166">
        <v>0</v>
      </c>
      <c r="AH268" s="1166">
        <v>0</v>
      </c>
      <c r="AI268" s="1166">
        <v>0</v>
      </c>
      <c r="AJ268" s="1166">
        <v>0</v>
      </c>
      <c r="AK268" s="1166">
        <v>0</v>
      </c>
      <c r="AL268" s="1166">
        <v>0</v>
      </c>
      <c r="AM268" s="1166">
        <v>0</v>
      </c>
      <c r="AN268" s="1166">
        <v>0</v>
      </c>
      <c r="AO268" s="1166">
        <v>0</v>
      </c>
      <c r="AP268" s="1166">
        <v>0</v>
      </c>
      <c r="AQ268" s="1166">
        <v>0</v>
      </c>
      <c r="AR268" s="1166">
        <v>0</v>
      </c>
      <c r="AS268" s="1166">
        <v>0</v>
      </c>
      <c r="AT268" s="1166">
        <v>0</v>
      </c>
      <c r="AU268" s="1166">
        <v>0</v>
      </c>
      <c r="AV268" s="1166">
        <v>0</v>
      </c>
      <c r="AW268" s="1166">
        <v>0</v>
      </c>
      <c r="AX268" s="1166">
        <v>0</v>
      </c>
      <c r="AY268" s="1166">
        <v>0</v>
      </c>
      <c r="AZ268" s="1166">
        <v>0</v>
      </c>
      <c r="BA268" s="1166">
        <v>0</v>
      </c>
      <c r="BB268" s="1166">
        <v>0</v>
      </c>
      <c r="BC268" s="1166">
        <v>0</v>
      </c>
      <c r="BD268" s="1166">
        <v>0</v>
      </c>
      <c r="BE268" s="1166">
        <v>0</v>
      </c>
      <c r="BF268" s="1166">
        <v>0</v>
      </c>
      <c r="BG268" s="1166">
        <v>0</v>
      </c>
      <c r="BH268" s="1166">
        <v>0</v>
      </c>
      <c r="BI268" s="1166">
        <v>0</v>
      </c>
      <c r="BJ268" s="1166">
        <v>0</v>
      </c>
      <c r="BK268" s="1120"/>
      <c r="BL268" s="1120"/>
    </row>
    <row r="269" spans="1:64" s="401" customFormat="1" ht="28.8" x14ac:dyDescent="0.3">
      <c r="A269" s="1154">
        <v>609</v>
      </c>
      <c r="B269" s="1222"/>
      <c r="C269" s="1208">
        <v>609</v>
      </c>
      <c r="D269" s="1209" t="s">
        <v>426</v>
      </c>
      <c r="E269" s="1209"/>
      <c r="F269" s="1163">
        <v>0</v>
      </c>
      <c r="G269" s="1164">
        <v>0</v>
      </c>
      <c r="H269" s="1164">
        <v>0</v>
      </c>
      <c r="I269" s="1164">
        <v>0</v>
      </c>
      <c r="J269" s="1164">
        <v>0</v>
      </c>
      <c r="K269" s="1164">
        <v>0</v>
      </c>
      <c r="L269" s="1165">
        <v>0</v>
      </c>
      <c r="M269" s="1166">
        <v>0</v>
      </c>
      <c r="N269" s="1166">
        <v>0</v>
      </c>
      <c r="O269" s="1167">
        <v>0</v>
      </c>
      <c r="P269" s="1167">
        <v>0</v>
      </c>
      <c r="Q269" s="1167">
        <v>0</v>
      </c>
      <c r="R269" s="1167">
        <v>0</v>
      </c>
      <c r="S269" s="1167">
        <v>0</v>
      </c>
      <c r="T269" s="1167">
        <v>0</v>
      </c>
      <c r="U269" s="1167">
        <v>0</v>
      </c>
      <c r="V269" s="1167">
        <v>0</v>
      </c>
      <c r="W269" s="1167">
        <v>0</v>
      </c>
      <c r="X269" s="1167">
        <v>0</v>
      </c>
      <c r="Y269" s="1167">
        <v>0</v>
      </c>
      <c r="Z269" s="1167">
        <v>0</v>
      </c>
      <c r="AA269" s="1167">
        <v>0</v>
      </c>
      <c r="AB269" s="1167">
        <v>0</v>
      </c>
      <c r="AC269" s="1167">
        <v>0</v>
      </c>
      <c r="AD269" s="1166">
        <v>0</v>
      </c>
      <c r="AE269" s="1166">
        <v>0</v>
      </c>
      <c r="AF269" s="1166">
        <v>0</v>
      </c>
      <c r="AG269" s="1166">
        <v>0</v>
      </c>
      <c r="AH269" s="1166">
        <v>0</v>
      </c>
      <c r="AI269" s="1166">
        <v>0</v>
      </c>
      <c r="AJ269" s="1166">
        <v>0</v>
      </c>
      <c r="AK269" s="1166">
        <v>0</v>
      </c>
      <c r="AL269" s="1166">
        <v>0</v>
      </c>
      <c r="AM269" s="1166">
        <v>0</v>
      </c>
      <c r="AN269" s="1166">
        <v>0</v>
      </c>
      <c r="AO269" s="1166">
        <v>0</v>
      </c>
      <c r="AP269" s="1166">
        <v>0</v>
      </c>
      <c r="AQ269" s="1166">
        <v>0</v>
      </c>
      <c r="AR269" s="1166">
        <v>0</v>
      </c>
      <c r="AS269" s="1166">
        <v>0</v>
      </c>
      <c r="AT269" s="1166">
        <v>0</v>
      </c>
      <c r="AU269" s="1166">
        <v>0</v>
      </c>
      <c r="AV269" s="1166">
        <v>0</v>
      </c>
      <c r="AW269" s="1166">
        <v>0</v>
      </c>
      <c r="AX269" s="1166">
        <v>0</v>
      </c>
      <c r="AY269" s="1166">
        <v>0</v>
      </c>
      <c r="AZ269" s="1166">
        <v>0</v>
      </c>
      <c r="BA269" s="1166">
        <v>0</v>
      </c>
      <c r="BB269" s="1166">
        <v>0</v>
      </c>
      <c r="BC269" s="1166">
        <v>0</v>
      </c>
      <c r="BD269" s="1166">
        <v>0</v>
      </c>
      <c r="BE269" s="1166">
        <v>0</v>
      </c>
      <c r="BF269" s="1166">
        <v>0</v>
      </c>
      <c r="BG269" s="1166">
        <v>0</v>
      </c>
      <c r="BH269" s="1166">
        <v>0</v>
      </c>
      <c r="BI269" s="1166">
        <v>0</v>
      </c>
      <c r="BJ269" s="1166">
        <v>0</v>
      </c>
      <c r="BK269" s="1120"/>
      <c r="BL269" s="1120"/>
    </row>
    <row r="270" spans="1:64" s="401" customFormat="1" x14ac:dyDescent="0.3">
      <c r="A270" s="1154">
        <v>610</v>
      </c>
      <c r="B270" s="1222"/>
      <c r="C270" s="1208">
        <v>610</v>
      </c>
      <c r="D270" s="1209" t="s">
        <v>410</v>
      </c>
      <c r="E270" s="1209"/>
      <c r="F270" s="1163">
        <v>0</v>
      </c>
      <c r="G270" s="1164">
        <v>0</v>
      </c>
      <c r="H270" s="1164">
        <v>0</v>
      </c>
      <c r="I270" s="1164">
        <v>0</v>
      </c>
      <c r="J270" s="1164">
        <v>0</v>
      </c>
      <c r="K270" s="1164">
        <v>0</v>
      </c>
      <c r="L270" s="1165">
        <v>0</v>
      </c>
      <c r="M270" s="1166">
        <v>0</v>
      </c>
      <c r="N270" s="1166">
        <v>0</v>
      </c>
      <c r="O270" s="1167">
        <v>0</v>
      </c>
      <c r="P270" s="1167">
        <v>0</v>
      </c>
      <c r="Q270" s="1167">
        <v>0</v>
      </c>
      <c r="R270" s="1167">
        <v>0</v>
      </c>
      <c r="S270" s="1167">
        <v>0</v>
      </c>
      <c r="T270" s="1167">
        <v>0</v>
      </c>
      <c r="U270" s="1167">
        <v>0</v>
      </c>
      <c r="V270" s="1167">
        <v>0</v>
      </c>
      <c r="W270" s="1167">
        <v>0</v>
      </c>
      <c r="X270" s="1167">
        <v>0</v>
      </c>
      <c r="Y270" s="1167">
        <v>0</v>
      </c>
      <c r="Z270" s="1167">
        <v>0</v>
      </c>
      <c r="AA270" s="1167">
        <v>0</v>
      </c>
      <c r="AB270" s="1167">
        <v>0</v>
      </c>
      <c r="AC270" s="1167">
        <v>0</v>
      </c>
      <c r="AD270" s="1166">
        <v>0</v>
      </c>
      <c r="AE270" s="1166">
        <v>0</v>
      </c>
      <c r="AF270" s="1166">
        <v>0</v>
      </c>
      <c r="AG270" s="1166">
        <v>0</v>
      </c>
      <c r="AH270" s="1166">
        <v>0</v>
      </c>
      <c r="AI270" s="1166">
        <v>0</v>
      </c>
      <c r="AJ270" s="1166">
        <v>0</v>
      </c>
      <c r="AK270" s="1166">
        <v>0</v>
      </c>
      <c r="AL270" s="1166">
        <v>0</v>
      </c>
      <c r="AM270" s="1166">
        <v>0</v>
      </c>
      <c r="AN270" s="1166">
        <v>0</v>
      </c>
      <c r="AO270" s="1166">
        <v>0</v>
      </c>
      <c r="AP270" s="1166">
        <v>0</v>
      </c>
      <c r="AQ270" s="1166">
        <v>0</v>
      </c>
      <c r="AR270" s="1166">
        <v>0</v>
      </c>
      <c r="AS270" s="1166">
        <v>0</v>
      </c>
      <c r="AT270" s="1166">
        <v>0</v>
      </c>
      <c r="AU270" s="1166">
        <v>0</v>
      </c>
      <c r="AV270" s="1166">
        <v>0</v>
      </c>
      <c r="AW270" s="1166">
        <v>0</v>
      </c>
      <c r="AX270" s="1166">
        <v>0</v>
      </c>
      <c r="AY270" s="1166">
        <v>0</v>
      </c>
      <c r="AZ270" s="1166">
        <v>0</v>
      </c>
      <c r="BA270" s="1166">
        <v>0</v>
      </c>
      <c r="BB270" s="1166">
        <v>0</v>
      </c>
      <c r="BC270" s="1166">
        <v>0</v>
      </c>
      <c r="BD270" s="1166">
        <v>0</v>
      </c>
      <c r="BE270" s="1166">
        <v>0</v>
      </c>
      <c r="BF270" s="1166">
        <v>0</v>
      </c>
      <c r="BG270" s="1166">
        <v>0</v>
      </c>
      <c r="BH270" s="1166">
        <v>0</v>
      </c>
      <c r="BI270" s="1166">
        <v>0</v>
      </c>
      <c r="BJ270" s="1166">
        <v>0</v>
      </c>
      <c r="BK270" s="1120"/>
      <c r="BL270" s="1120"/>
    </row>
    <row r="271" spans="1:64" s="401" customFormat="1" ht="28.8" x14ac:dyDescent="0.3">
      <c r="A271" s="1154">
        <v>611</v>
      </c>
      <c r="B271" s="1222"/>
      <c r="C271" s="1208">
        <v>611</v>
      </c>
      <c r="D271" s="1209" t="s">
        <v>411</v>
      </c>
      <c r="E271" s="1209"/>
      <c r="F271" s="1163">
        <v>0</v>
      </c>
      <c r="G271" s="1164">
        <v>0</v>
      </c>
      <c r="H271" s="1164">
        <v>0</v>
      </c>
      <c r="I271" s="1164">
        <v>0</v>
      </c>
      <c r="J271" s="1164">
        <v>0</v>
      </c>
      <c r="K271" s="1164">
        <v>0</v>
      </c>
      <c r="L271" s="1165">
        <v>0</v>
      </c>
      <c r="M271" s="1166">
        <v>0</v>
      </c>
      <c r="N271" s="1166">
        <v>0</v>
      </c>
      <c r="O271" s="1167">
        <v>0</v>
      </c>
      <c r="P271" s="1167">
        <v>0</v>
      </c>
      <c r="Q271" s="1167">
        <v>0</v>
      </c>
      <c r="R271" s="1167">
        <v>0</v>
      </c>
      <c r="S271" s="1167">
        <v>0</v>
      </c>
      <c r="T271" s="1167">
        <v>0</v>
      </c>
      <c r="U271" s="1167">
        <v>0</v>
      </c>
      <c r="V271" s="1167">
        <v>0</v>
      </c>
      <c r="W271" s="1167">
        <v>0</v>
      </c>
      <c r="X271" s="1167">
        <v>0</v>
      </c>
      <c r="Y271" s="1167">
        <v>0</v>
      </c>
      <c r="Z271" s="1167">
        <v>0</v>
      </c>
      <c r="AA271" s="1167">
        <v>0</v>
      </c>
      <c r="AB271" s="1167">
        <v>0</v>
      </c>
      <c r="AC271" s="1167">
        <v>0</v>
      </c>
      <c r="AD271" s="1166">
        <v>0</v>
      </c>
      <c r="AE271" s="1166">
        <v>0</v>
      </c>
      <c r="AF271" s="1166">
        <v>0</v>
      </c>
      <c r="AG271" s="1166">
        <v>0</v>
      </c>
      <c r="AH271" s="1166">
        <v>0</v>
      </c>
      <c r="AI271" s="1166">
        <v>0</v>
      </c>
      <c r="AJ271" s="1166">
        <v>0</v>
      </c>
      <c r="AK271" s="1166">
        <v>0</v>
      </c>
      <c r="AL271" s="1166">
        <v>0</v>
      </c>
      <c r="AM271" s="1166">
        <v>0</v>
      </c>
      <c r="AN271" s="1166">
        <v>0</v>
      </c>
      <c r="AO271" s="1166">
        <v>0</v>
      </c>
      <c r="AP271" s="1166">
        <v>0</v>
      </c>
      <c r="AQ271" s="1166">
        <v>0</v>
      </c>
      <c r="AR271" s="1166">
        <v>0</v>
      </c>
      <c r="AS271" s="1166">
        <v>0</v>
      </c>
      <c r="AT271" s="1166">
        <v>0</v>
      </c>
      <c r="AU271" s="1166">
        <v>0</v>
      </c>
      <c r="AV271" s="1166">
        <v>0</v>
      </c>
      <c r="AW271" s="1166">
        <v>0</v>
      </c>
      <c r="AX271" s="1166">
        <v>0</v>
      </c>
      <c r="AY271" s="1166">
        <v>0</v>
      </c>
      <c r="AZ271" s="1166">
        <v>0</v>
      </c>
      <c r="BA271" s="1166">
        <v>0</v>
      </c>
      <c r="BB271" s="1166">
        <v>0</v>
      </c>
      <c r="BC271" s="1166">
        <v>0</v>
      </c>
      <c r="BD271" s="1166">
        <v>0</v>
      </c>
      <c r="BE271" s="1166">
        <v>0</v>
      </c>
      <c r="BF271" s="1166">
        <v>0</v>
      </c>
      <c r="BG271" s="1166">
        <v>0</v>
      </c>
      <c r="BH271" s="1166">
        <v>0</v>
      </c>
      <c r="BI271" s="1166">
        <v>0</v>
      </c>
      <c r="BJ271" s="1166">
        <v>0</v>
      </c>
      <c r="BK271" s="1120"/>
      <c r="BL271" s="1120"/>
    </row>
    <row r="272" spans="1:64" s="401" customFormat="1" ht="28.8" x14ac:dyDescent="0.3">
      <c r="A272" s="1154">
        <v>612</v>
      </c>
      <c r="B272" s="1222"/>
      <c r="C272" s="1208">
        <v>612</v>
      </c>
      <c r="D272" s="1209" t="s">
        <v>427</v>
      </c>
      <c r="E272" s="1209"/>
      <c r="F272" s="1163">
        <v>0</v>
      </c>
      <c r="G272" s="1164">
        <v>0</v>
      </c>
      <c r="H272" s="1164">
        <v>0</v>
      </c>
      <c r="I272" s="1164">
        <v>0</v>
      </c>
      <c r="J272" s="1164">
        <v>0</v>
      </c>
      <c r="K272" s="1164">
        <v>0</v>
      </c>
      <c r="L272" s="1165">
        <v>0</v>
      </c>
      <c r="M272" s="1166">
        <v>0</v>
      </c>
      <c r="N272" s="1166">
        <v>0</v>
      </c>
      <c r="O272" s="1167">
        <v>0</v>
      </c>
      <c r="P272" s="1167">
        <v>0</v>
      </c>
      <c r="Q272" s="1167">
        <v>0</v>
      </c>
      <c r="R272" s="1167">
        <v>0</v>
      </c>
      <c r="S272" s="1167">
        <v>0</v>
      </c>
      <c r="T272" s="1167">
        <v>0</v>
      </c>
      <c r="U272" s="1167">
        <v>0</v>
      </c>
      <c r="V272" s="1167">
        <v>0</v>
      </c>
      <c r="W272" s="1167">
        <v>0</v>
      </c>
      <c r="X272" s="1167">
        <v>0</v>
      </c>
      <c r="Y272" s="1167">
        <v>0</v>
      </c>
      <c r="Z272" s="1167">
        <v>0</v>
      </c>
      <c r="AA272" s="1167">
        <v>0</v>
      </c>
      <c r="AB272" s="1167">
        <v>0</v>
      </c>
      <c r="AC272" s="1167">
        <v>0</v>
      </c>
      <c r="AD272" s="1166">
        <v>0</v>
      </c>
      <c r="AE272" s="1166">
        <v>0</v>
      </c>
      <c r="AF272" s="1166">
        <v>0</v>
      </c>
      <c r="AG272" s="1166">
        <v>0</v>
      </c>
      <c r="AH272" s="1166">
        <v>0</v>
      </c>
      <c r="AI272" s="1166">
        <v>0</v>
      </c>
      <c r="AJ272" s="1166">
        <v>0</v>
      </c>
      <c r="AK272" s="1166">
        <v>0</v>
      </c>
      <c r="AL272" s="1166">
        <v>0</v>
      </c>
      <c r="AM272" s="1166">
        <v>0</v>
      </c>
      <c r="AN272" s="1166">
        <v>0</v>
      </c>
      <c r="AO272" s="1166">
        <v>0</v>
      </c>
      <c r="AP272" s="1166">
        <v>0</v>
      </c>
      <c r="AQ272" s="1166">
        <v>0</v>
      </c>
      <c r="AR272" s="1166">
        <v>0</v>
      </c>
      <c r="AS272" s="1166">
        <v>0</v>
      </c>
      <c r="AT272" s="1166">
        <v>0</v>
      </c>
      <c r="AU272" s="1166">
        <v>0</v>
      </c>
      <c r="AV272" s="1166">
        <v>0</v>
      </c>
      <c r="AW272" s="1166">
        <v>0</v>
      </c>
      <c r="AX272" s="1166">
        <v>0</v>
      </c>
      <c r="AY272" s="1166">
        <v>0</v>
      </c>
      <c r="AZ272" s="1166">
        <v>0</v>
      </c>
      <c r="BA272" s="1166">
        <v>0</v>
      </c>
      <c r="BB272" s="1166">
        <v>0</v>
      </c>
      <c r="BC272" s="1166">
        <v>0</v>
      </c>
      <c r="BD272" s="1166">
        <v>0</v>
      </c>
      <c r="BE272" s="1166">
        <v>0</v>
      </c>
      <c r="BF272" s="1166">
        <v>0</v>
      </c>
      <c r="BG272" s="1166">
        <v>0</v>
      </c>
      <c r="BH272" s="1166">
        <v>0</v>
      </c>
      <c r="BI272" s="1166">
        <v>0</v>
      </c>
      <c r="BJ272" s="1166">
        <v>0</v>
      </c>
      <c r="BK272" s="1120"/>
      <c r="BL272" s="1120"/>
    </row>
    <row r="273" spans="1:64" s="401" customFormat="1" x14ac:dyDescent="0.3">
      <c r="A273" s="1154">
        <v>613</v>
      </c>
      <c r="B273" s="1222"/>
      <c r="C273" s="1208">
        <v>613</v>
      </c>
      <c r="D273" s="1209" t="s">
        <v>419</v>
      </c>
      <c r="E273" s="1209"/>
      <c r="F273" s="1163">
        <v>0</v>
      </c>
      <c r="G273" s="1164">
        <v>0</v>
      </c>
      <c r="H273" s="1164">
        <v>0</v>
      </c>
      <c r="I273" s="1164">
        <v>0</v>
      </c>
      <c r="J273" s="1164">
        <v>0</v>
      </c>
      <c r="K273" s="1164">
        <v>0</v>
      </c>
      <c r="L273" s="1165">
        <v>0</v>
      </c>
      <c r="M273" s="1166">
        <v>0</v>
      </c>
      <c r="N273" s="1166">
        <v>0</v>
      </c>
      <c r="O273" s="1167">
        <v>0</v>
      </c>
      <c r="P273" s="1167">
        <v>0</v>
      </c>
      <c r="Q273" s="1167">
        <v>0</v>
      </c>
      <c r="R273" s="1167">
        <v>0</v>
      </c>
      <c r="S273" s="1167">
        <v>0</v>
      </c>
      <c r="T273" s="1167">
        <v>0</v>
      </c>
      <c r="U273" s="1167">
        <v>0</v>
      </c>
      <c r="V273" s="1167">
        <v>0</v>
      </c>
      <c r="W273" s="1167">
        <v>0</v>
      </c>
      <c r="X273" s="1167">
        <v>0</v>
      </c>
      <c r="Y273" s="1167">
        <v>0</v>
      </c>
      <c r="Z273" s="1167">
        <v>0</v>
      </c>
      <c r="AA273" s="1167">
        <v>0</v>
      </c>
      <c r="AB273" s="1167">
        <v>0</v>
      </c>
      <c r="AC273" s="1167">
        <v>0</v>
      </c>
      <c r="AD273" s="1166">
        <v>0</v>
      </c>
      <c r="AE273" s="1166">
        <v>0</v>
      </c>
      <c r="AF273" s="1166">
        <v>0</v>
      </c>
      <c r="AG273" s="1166">
        <v>0</v>
      </c>
      <c r="AH273" s="1166">
        <v>0</v>
      </c>
      <c r="AI273" s="1166">
        <v>0</v>
      </c>
      <c r="AJ273" s="1166">
        <v>0</v>
      </c>
      <c r="AK273" s="1166">
        <v>0</v>
      </c>
      <c r="AL273" s="1166">
        <v>0</v>
      </c>
      <c r="AM273" s="1166">
        <v>0</v>
      </c>
      <c r="AN273" s="1166">
        <v>0</v>
      </c>
      <c r="AO273" s="1166">
        <v>0</v>
      </c>
      <c r="AP273" s="1166">
        <v>0</v>
      </c>
      <c r="AQ273" s="1166">
        <v>0</v>
      </c>
      <c r="AR273" s="1166">
        <v>0</v>
      </c>
      <c r="AS273" s="1166">
        <v>0</v>
      </c>
      <c r="AT273" s="1166">
        <v>0</v>
      </c>
      <c r="AU273" s="1166">
        <v>0</v>
      </c>
      <c r="AV273" s="1166">
        <v>0</v>
      </c>
      <c r="AW273" s="1166">
        <v>0</v>
      </c>
      <c r="AX273" s="1166">
        <v>0</v>
      </c>
      <c r="AY273" s="1166">
        <v>0</v>
      </c>
      <c r="AZ273" s="1166">
        <v>0</v>
      </c>
      <c r="BA273" s="1166">
        <v>0</v>
      </c>
      <c r="BB273" s="1166">
        <v>0</v>
      </c>
      <c r="BC273" s="1166">
        <v>0</v>
      </c>
      <c r="BD273" s="1166">
        <v>0</v>
      </c>
      <c r="BE273" s="1166">
        <v>0</v>
      </c>
      <c r="BF273" s="1166">
        <v>0</v>
      </c>
      <c r="BG273" s="1166">
        <v>0</v>
      </c>
      <c r="BH273" s="1166">
        <v>0</v>
      </c>
      <c r="BI273" s="1166">
        <v>0</v>
      </c>
      <c r="BJ273" s="1166">
        <v>0</v>
      </c>
      <c r="BK273" s="1120"/>
      <c r="BL273" s="1120"/>
    </row>
    <row r="274" spans="1:64" s="401" customFormat="1" ht="28.8" x14ac:dyDescent="0.3">
      <c r="A274" s="1154">
        <v>614</v>
      </c>
      <c r="B274" s="1222"/>
      <c r="C274" s="1208">
        <v>614</v>
      </c>
      <c r="D274" s="1209" t="s">
        <v>412</v>
      </c>
      <c r="E274" s="1209"/>
      <c r="F274" s="1163">
        <v>0</v>
      </c>
      <c r="G274" s="1164">
        <v>0</v>
      </c>
      <c r="H274" s="1164">
        <v>0</v>
      </c>
      <c r="I274" s="1164">
        <v>0</v>
      </c>
      <c r="J274" s="1164">
        <v>0</v>
      </c>
      <c r="K274" s="1164">
        <v>0</v>
      </c>
      <c r="L274" s="1165">
        <v>0</v>
      </c>
      <c r="M274" s="1166">
        <v>0</v>
      </c>
      <c r="N274" s="1166">
        <v>0</v>
      </c>
      <c r="O274" s="1167">
        <v>0</v>
      </c>
      <c r="P274" s="1167">
        <v>0</v>
      </c>
      <c r="Q274" s="1167">
        <v>0</v>
      </c>
      <c r="R274" s="1167">
        <v>0</v>
      </c>
      <c r="S274" s="1167">
        <v>0</v>
      </c>
      <c r="T274" s="1167">
        <v>0</v>
      </c>
      <c r="U274" s="1167">
        <v>0</v>
      </c>
      <c r="V274" s="1167">
        <v>0</v>
      </c>
      <c r="W274" s="1167">
        <v>0</v>
      </c>
      <c r="X274" s="1167">
        <v>0</v>
      </c>
      <c r="Y274" s="1167">
        <v>0</v>
      </c>
      <c r="Z274" s="1167">
        <v>0</v>
      </c>
      <c r="AA274" s="1167">
        <v>0</v>
      </c>
      <c r="AB274" s="1167">
        <v>0</v>
      </c>
      <c r="AC274" s="1167">
        <v>0</v>
      </c>
      <c r="AD274" s="1166">
        <v>0</v>
      </c>
      <c r="AE274" s="1166">
        <v>0</v>
      </c>
      <c r="AF274" s="1166">
        <v>0</v>
      </c>
      <c r="AG274" s="1166">
        <v>0</v>
      </c>
      <c r="AH274" s="1166">
        <v>0</v>
      </c>
      <c r="AI274" s="1166">
        <v>0</v>
      </c>
      <c r="AJ274" s="1166">
        <v>0</v>
      </c>
      <c r="AK274" s="1166">
        <v>0</v>
      </c>
      <c r="AL274" s="1166">
        <v>0</v>
      </c>
      <c r="AM274" s="1166">
        <v>0</v>
      </c>
      <c r="AN274" s="1166">
        <v>0</v>
      </c>
      <c r="AO274" s="1166">
        <v>0</v>
      </c>
      <c r="AP274" s="1166">
        <v>0</v>
      </c>
      <c r="AQ274" s="1166">
        <v>0</v>
      </c>
      <c r="AR274" s="1166">
        <v>0</v>
      </c>
      <c r="AS274" s="1166">
        <v>0</v>
      </c>
      <c r="AT274" s="1166">
        <v>0</v>
      </c>
      <c r="AU274" s="1166">
        <v>0</v>
      </c>
      <c r="AV274" s="1166">
        <v>0</v>
      </c>
      <c r="AW274" s="1166">
        <v>0</v>
      </c>
      <c r="AX274" s="1166">
        <v>0</v>
      </c>
      <c r="AY274" s="1166">
        <v>0</v>
      </c>
      <c r="AZ274" s="1166">
        <v>0</v>
      </c>
      <c r="BA274" s="1166">
        <v>0</v>
      </c>
      <c r="BB274" s="1166">
        <v>0</v>
      </c>
      <c r="BC274" s="1166">
        <v>0</v>
      </c>
      <c r="BD274" s="1166">
        <v>0</v>
      </c>
      <c r="BE274" s="1166">
        <v>0</v>
      </c>
      <c r="BF274" s="1166">
        <v>0</v>
      </c>
      <c r="BG274" s="1166">
        <v>0</v>
      </c>
      <c r="BH274" s="1166">
        <v>0</v>
      </c>
      <c r="BI274" s="1166">
        <v>0</v>
      </c>
      <c r="BJ274" s="1166">
        <v>0</v>
      </c>
      <c r="BK274" s="1120"/>
      <c r="BL274" s="1120"/>
    </row>
    <row r="275" spans="1:64" s="401" customFormat="1" ht="28.8" x14ac:dyDescent="0.3">
      <c r="A275" s="1154">
        <v>615</v>
      </c>
      <c r="B275" s="1222"/>
      <c r="C275" s="1208">
        <v>615</v>
      </c>
      <c r="D275" s="1209" t="s">
        <v>428</v>
      </c>
      <c r="E275" s="1209"/>
      <c r="F275" s="1163">
        <v>0</v>
      </c>
      <c r="G275" s="1164">
        <v>0</v>
      </c>
      <c r="H275" s="1164">
        <v>0</v>
      </c>
      <c r="I275" s="1164">
        <v>0</v>
      </c>
      <c r="J275" s="1164">
        <v>0</v>
      </c>
      <c r="K275" s="1164">
        <v>0</v>
      </c>
      <c r="L275" s="1165">
        <v>0</v>
      </c>
      <c r="M275" s="1166">
        <v>0</v>
      </c>
      <c r="N275" s="1166">
        <v>0</v>
      </c>
      <c r="O275" s="1167">
        <v>0</v>
      </c>
      <c r="P275" s="1167">
        <v>0</v>
      </c>
      <c r="Q275" s="1167">
        <v>0</v>
      </c>
      <c r="R275" s="1167">
        <v>0</v>
      </c>
      <c r="S275" s="1167">
        <v>0</v>
      </c>
      <c r="T275" s="1167">
        <v>0</v>
      </c>
      <c r="U275" s="1167">
        <v>0</v>
      </c>
      <c r="V275" s="1167">
        <v>0</v>
      </c>
      <c r="W275" s="1167">
        <v>0</v>
      </c>
      <c r="X275" s="1167">
        <v>0</v>
      </c>
      <c r="Y275" s="1167">
        <v>0</v>
      </c>
      <c r="Z275" s="1167">
        <v>0</v>
      </c>
      <c r="AA275" s="1167">
        <v>0</v>
      </c>
      <c r="AB275" s="1167">
        <v>0</v>
      </c>
      <c r="AC275" s="1167">
        <v>0</v>
      </c>
      <c r="AD275" s="1166">
        <v>0</v>
      </c>
      <c r="AE275" s="1166">
        <v>0</v>
      </c>
      <c r="AF275" s="1166">
        <v>0</v>
      </c>
      <c r="AG275" s="1166">
        <v>0</v>
      </c>
      <c r="AH275" s="1166">
        <v>0</v>
      </c>
      <c r="AI275" s="1166">
        <v>0</v>
      </c>
      <c r="AJ275" s="1166">
        <v>0</v>
      </c>
      <c r="AK275" s="1166">
        <v>0</v>
      </c>
      <c r="AL275" s="1166">
        <v>0</v>
      </c>
      <c r="AM275" s="1166">
        <v>0</v>
      </c>
      <c r="AN275" s="1166">
        <v>0</v>
      </c>
      <c r="AO275" s="1166">
        <v>0</v>
      </c>
      <c r="AP275" s="1166">
        <v>0</v>
      </c>
      <c r="AQ275" s="1166">
        <v>0</v>
      </c>
      <c r="AR275" s="1166">
        <v>0</v>
      </c>
      <c r="AS275" s="1166">
        <v>0</v>
      </c>
      <c r="AT275" s="1166">
        <v>0</v>
      </c>
      <c r="AU275" s="1166">
        <v>0</v>
      </c>
      <c r="AV275" s="1166">
        <v>0</v>
      </c>
      <c r="AW275" s="1166">
        <v>0</v>
      </c>
      <c r="AX275" s="1166">
        <v>0</v>
      </c>
      <c r="AY275" s="1166">
        <v>0</v>
      </c>
      <c r="AZ275" s="1166">
        <v>0</v>
      </c>
      <c r="BA275" s="1166">
        <v>0</v>
      </c>
      <c r="BB275" s="1166">
        <v>0</v>
      </c>
      <c r="BC275" s="1166">
        <v>0</v>
      </c>
      <c r="BD275" s="1166">
        <v>0</v>
      </c>
      <c r="BE275" s="1166">
        <v>0</v>
      </c>
      <c r="BF275" s="1166">
        <v>0</v>
      </c>
      <c r="BG275" s="1166">
        <v>0</v>
      </c>
      <c r="BH275" s="1166">
        <v>0</v>
      </c>
      <c r="BI275" s="1166">
        <v>0</v>
      </c>
      <c r="BJ275" s="1166">
        <v>0</v>
      </c>
      <c r="BK275" s="1120"/>
      <c r="BL275" s="1120"/>
    </row>
    <row r="276" spans="1:64" s="401" customFormat="1" x14ac:dyDescent="0.3">
      <c r="A276" s="1154">
        <v>616</v>
      </c>
      <c r="B276" s="1222"/>
      <c r="C276" s="1208">
        <v>616</v>
      </c>
      <c r="D276" s="1209" t="s">
        <v>413</v>
      </c>
      <c r="E276" s="1209"/>
      <c r="F276" s="1163">
        <v>0</v>
      </c>
      <c r="G276" s="1164">
        <v>0</v>
      </c>
      <c r="H276" s="1164">
        <v>0</v>
      </c>
      <c r="I276" s="1164">
        <v>0</v>
      </c>
      <c r="J276" s="1164">
        <v>0</v>
      </c>
      <c r="K276" s="1164">
        <v>0</v>
      </c>
      <c r="L276" s="1165">
        <v>0</v>
      </c>
      <c r="M276" s="1166">
        <v>0</v>
      </c>
      <c r="N276" s="1166">
        <v>0</v>
      </c>
      <c r="O276" s="1167">
        <v>0</v>
      </c>
      <c r="P276" s="1167">
        <v>0</v>
      </c>
      <c r="Q276" s="1167">
        <v>0</v>
      </c>
      <c r="R276" s="1167">
        <v>0</v>
      </c>
      <c r="S276" s="1167">
        <v>0</v>
      </c>
      <c r="T276" s="1167">
        <v>0</v>
      </c>
      <c r="U276" s="1167">
        <v>0</v>
      </c>
      <c r="V276" s="1167">
        <v>0</v>
      </c>
      <c r="W276" s="1167">
        <v>0</v>
      </c>
      <c r="X276" s="1167">
        <v>0</v>
      </c>
      <c r="Y276" s="1167">
        <v>0</v>
      </c>
      <c r="Z276" s="1167">
        <v>0</v>
      </c>
      <c r="AA276" s="1167">
        <v>0</v>
      </c>
      <c r="AB276" s="1167">
        <v>0</v>
      </c>
      <c r="AC276" s="1167">
        <v>0</v>
      </c>
      <c r="AD276" s="1166">
        <v>0</v>
      </c>
      <c r="AE276" s="1166">
        <v>0</v>
      </c>
      <c r="AF276" s="1166">
        <v>0</v>
      </c>
      <c r="AG276" s="1166">
        <v>0</v>
      </c>
      <c r="AH276" s="1166">
        <v>0</v>
      </c>
      <c r="AI276" s="1166">
        <v>0</v>
      </c>
      <c r="AJ276" s="1166">
        <v>0</v>
      </c>
      <c r="AK276" s="1166">
        <v>0</v>
      </c>
      <c r="AL276" s="1166">
        <v>0</v>
      </c>
      <c r="AM276" s="1166">
        <v>0</v>
      </c>
      <c r="AN276" s="1166">
        <v>0</v>
      </c>
      <c r="AO276" s="1166">
        <v>0</v>
      </c>
      <c r="AP276" s="1166">
        <v>0</v>
      </c>
      <c r="AQ276" s="1166">
        <v>0</v>
      </c>
      <c r="AR276" s="1166">
        <v>0</v>
      </c>
      <c r="AS276" s="1166">
        <v>0</v>
      </c>
      <c r="AT276" s="1166">
        <v>0</v>
      </c>
      <c r="AU276" s="1166">
        <v>0</v>
      </c>
      <c r="AV276" s="1166">
        <v>0</v>
      </c>
      <c r="AW276" s="1166">
        <v>0</v>
      </c>
      <c r="AX276" s="1166">
        <v>0</v>
      </c>
      <c r="AY276" s="1166">
        <v>0</v>
      </c>
      <c r="AZ276" s="1166">
        <v>0</v>
      </c>
      <c r="BA276" s="1166">
        <v>0</v>
      </c>
      <c r="BB276" s="1166">
        <v>0</v>
      </c>
      <c r="BC276" s="1166">
        <v>0</v>
      </c>
      <c r="BD276" s="1166">
        <v>0</v>
      </c>
      <c r="BE276" s="1166">
        <v>0</v>
      </c>
      <c r="BF276" s="1166">
        <v>0</v>
      </c>
      <c r="BG276" s="1166">
        <v>0</v>
      </c>
      <c r="BH276" s="1166">
        <v>0</v>
      </c>
      <c r="BI276" s="1166">
        <v>0</v>
      </c>
      <c r="BJ276" s="1166">
        <v>0</v>
      </c>
      <c r="BK276" s="1120"/>
      <c r="BL276" s="1120"/>
    </row>
    <row r="277" spans="1:64" s="401" customFormat="1" ht="28.8" x14ac:dyDescent="0.3">
      <c r="A277" s="1154">
        <v>617</v>
      </c>
      <c r="B277" s="1222"/>
      <c r="C277" s="1208">
        <v>617</v>
      </c>
      <c r="D277" s="1209" t="s">
        <v>414</v>
      </c>
      <c r="E277" s="1209"/>
      <c r="F277" s="1163">
        <v>0</v>
      </c>
      <c r="G277" s="1164">
        <v>0</v>
      </c>
      <c r="H277" s="1164">
        <v>0</v>
      </c>
      <c r="I277" s="1164">
        <v>0</v>
      </c>
      <c r="J277" s="1164">
        <v>0</v>
      </c>
      <c r="K277" s="1164">
        <v>0</v>
      </c>
      <c r="L277" s="1165">
        <v>0</v>
      </c>
      <c r="M277" s="1166">
        <v>0</v>
      </c>
      <c r="N277" s="1166">
        <v>0</v>
      </c>
      <c r="O277" s="1167">
        <v>0</v>
      </c>
      <c r="P277" s="1167">
        <v>0</v>
      </c>
      <c r="Q277" s="1167">
        <v>0</v>
      </c>
      <c r="R277" s="1167">
        <v>0</v>
      </c>
      <c r="S277" s="1167">
        <v>0</v>
      </c>
      <c r="T277" s="1167">
        <v>0</v>
      </c>
      <c r="U277" s="1167">
        <v>0</v>
      </c>
      <c r="V277" s="1167">
        <v>0</v>
      </c>
      <c r="W277" s="1167">
        <v>0</v>
      </c>
      <c r="X277" s="1167">
        <v>0</v>
      </c>
      <c r="Y277" s="1167">
        <v>0</v>
      </c>
      <c r="Z277" s="1167">
        <v>0</v>
      </c>
      <c r="AA277" s="1167">
        <v>0</v>
      </c>
      <c r="AB277" s="1167">
        <v>0</v>
      </c>
      <c r="AC277" s="1167">
        <v>0</v>
      </c>
      <c r="AD277" s="1166">
        <v>0</v>
      </c>
      <c r="AE277" s="1166">
        <v>0</v>
      </c>
      <c r="AF277" s="1166">
        <v>0</v>
      </c>
      <c r="AG277" s="1166">
        <v>0</v>
      </c>
      <c r="AH277" s="1166">
        <v>0</v>
      </c>
      <c r="AI277" s="1166">
        <v>0</v>
      </c>
      <c r="AJ277" s="1166">
        <v>0</v>
      </c>
      <c r="AK277" s="1166">
        <v>0</v>
      </c>
      <c r="AL277" s="1166">
        <v>0</v>
      </c>
      <c r="AM277" s="1166">
        <v>0</v>
      </c>
      <c r="AN277" s="1166">
        <v>0</v>
      </c>
      <c r="AO277" s="1166">
        <v>0</v>
      </c>
      <c r="AP277" s="1166">
        <v>0</v>
      </c>
      <c r="AQ277" s="1166">
        <v>0</v>
      </c>
      <c r="AR277" s="1166">
        <v>0</v>
      </c>
      <c r="AS277" s="1166">
        <v>0</v>
      </c>
      <c r="AT277" s="1166">
        <v>0</v>
      </c>
      <c r="AU277" s="1166">
        <v>0</v>
      </c>
      <c r="AV277" s="1166">
        <v>0</v>
      </c>
      <c r="AW277" s="1166">
        <v>0</v>
      </c>
      <c r="AX277" s="1166">
        <v>0</v>
      </c>
      <c r="AY277" s="1166">
        <v>0</v>
      </c>
      <c r="AZ277" s="1166">
        <v>0</v>
      </c>
      <c r="BA277" s="1166">
        <v>0</v>
      </c>
      <c r="BB277" s="1166">
        <v>0</v>
      </c>
      <c r="BC277" s="1166">
        <v>0</v>
      </c>
      <c r="BD277" s="1166">
        <v>0</v>
      </c>
      <c r="BE277" s="1166">
        <v>0</v>
      </c>
      <c r="BF277" s="1166">
        <v>0</v>
      </c>
      <c r="BG277" s="1166">
        <v>0</v>
      </c>
      <c r="BH277" s="1166">
        <v>0</v>
      </c>
      <c r="BI277" s="1166">
        <v>0</v>
      </c>
      <c r="BJ277" s="1166">
        <v>0</v>
      </c>
      <c r="BK277" s="1120"/>
      <c r="BL277" s="1120"/>
    </row>
    <row r="278" spans="1:64" s="401" customFormat="1" ht="28.8" x14ac:dyDescent="0.3">
      <c r="A278" s="1154">
        <v>618</v>
      </c>
      <c r="B278" s="1222"/>
      <c r="C278" s="1208">
        <v>618</v>
      </c>
      <c r="D278" s="1209" t="s">
        <v>429</v>
      </c>
      <c r="E278" s="1209"/>
      <c r="F278" s="1163">
        <v>0</v>
      </c>
      <c r="G278" s="1164">
        <v>0</v>
      </c>
      <c r="H278" s="1164">
        <v>0</v>
      </c>
      <c r="I278" s="1164">
        <v>0</v>
      </c>
      <c r="J278" s="1164">
        <v>0</v>
      </c>
      <c r="K278" s="1164">
        <v>0</v>
      </c>
      <c r="L278" s="1165">
        <v>0</v>
      </c>
      <c r="M278" s="1166">
        <v>0</v>
      </c>
      <c r="N278" s="1166">
        <v>0</v>
      </c>
      <c r="O278" s="1167">
        <v>0</v>
      </c>
      <c r="P278" s="1167">
        <v>0</v>
      </c>
      <c r="Q278" s="1167">
        <v>0</v>
      </c>
      <c r="R278" s="1167">
        <v>0</v>
      </c>
      <c r="S278" s="1167">
        <v>0</v>
      </c>
      <c r="T278" s="1167">
        <v>0</v>
      </c>
      <c r="U278" s="1167">
        <v>0</v>
      </c>
      <c r="V278" s="1167">
        <v>0</v>
      </c>
      <c r="W278" s="1167">
        <v>0</v>
      </c>
      <c r="X278" s="1167">
        <v>0</v>
      </c>
      <c r="Y278" s="1167">
        <v>0</v>
      </c>
      <c r="Z278" s="1167">
        <v>0</v>
      </c>
      <c r="AA278" s="1167">
        <v>0</v>
      </c>
      <c r="AB278" s="1167">
        <v>0</v>
      </c>
      <c r="AC278" s="1167">
        <v>0</v>
      </c>
      <c r="AD278" s="1166">
        <v>0</v>
      </c>
      <c r="AE278" s="1166">
        <v>0</v>
      </c>
      <c r="AF278" s="1166">
        <v>0</v>
      </c>
      <c r="AG278" s="1166">
        <v>0</v>
      </c>
      <c r="AH278" s="1166">
        <v>0</v>
      </c>
      <c r="AI278" s="1166">
        <v>0</v>
      </c>
      <c r="AJ278" s="1166">
        <v>0</v>
      </c>
      <c r="AK278" s="1166">
        <v>0</v>
      </c>
      <c r="AL278" s="1166">
        <v>0</v>
      </c>
      <c r="AM278" s="1166">
        <v>0</v>
      </c>
      <c r="AN278" s="1166">
        <v>0</v>
      </c>
      <c r="AO278" s="1166">
        <v>0</v>
      </c>
      <c r="AP278" s="1166">
        <v>0</v>
      </c>
      <c r="AQ278" s="1166">
        <v>0</v>
      </c>
      <c r="AR278" s="1166">
        <v>0</v>
      </c>
      <c r="AS278" s="1166">
        <v>0</v>
      </c>
      <c r="AT278" s="1166">
        <v>0</v>
      </c>
      <c r="AU278" s="1166">
        <v>0</v>
      </c>
      <c r="AV278" s="1166">
        <v>0</v>
      </c>
      <c r="AW278" s="1166">
        <v>0</v>
      </c>
      <c r="AX278" s="1166">
        <v>0</v>
      </c>
      <c r="AY278" s="1166">
        <v>0</v>
      </c>
      <c r="AZ278" s="1166">
        <v>0</v>
      </c>
      <c r="BA278" s="1166">
        <v>0</v>
      </c>
      <c r="BB278" s="1166">
        <v>0</v>
      </c>
      <c r="BC278" s="1166">
        <v>0</v>
      </c>
      <c r="BD278" s="1166">
        <v>0</v>
      </c>
      <c r="BE278" s="1166">
        <v>0</v>
      </c>
      <c r="BF278" s="1166">
        <v>0</v>
      </c>
      <c r="BG278" s="1166">
        <v>0</v>
      </c>
      <c r="BH278" s="1166">
        <v>0</v>
      </c>
      <c r="BI278" s="1166">
        <v>0</v>
      </c>
      <c r="BJ278" s="1166">
        <v>0</v>
      </c>
      <c r="BK278" s="1122"/>
      <c r="BL278" s="1122"/>
    </row>
    <row r="279" spans="1:64" s="401" customFormat="1" x14ac:dyDescent="0.3">
      <c r="A279" s="1154">
        <v>619</v>
      </c>
      <c r="B279" s="1222"/>
      <c r="C279" s="1208">
        <v>619</v>
      </c>
      <c r="D279" s="1209"/>
      <c r="E279" s="1209"/>
      <c r="F279" s="1163"/>
      <c r="G279" s="1164"/>
      <c r="H279" s="1164"/>
      <c r="I279" s="1164"/>
      <c r="J279" s="1164"/>
      <c r="K279" s="1164"/>
      <c r="L279" s="1165"/>
      <c r="M279" s="1166"/>
      <c r="N279" s="1166"/>
      <c r="O279" s="1167"/>
      <c r="P279" s="1167"/>
      <c r="Q279" s="1167"/>
      <c r="R279" s="1167"/>
      <c r="S279" s="1167"/>
      <c r="T279" s="1167"/>
      <c r="U279" s="1167"/>
      <c r="V279" s="1167"/>
      <c r="W279" s="1167"/>
      <c r="X279" s="1167"/>
      <c r="Y279" s="1167"/>
      <c r="Z279" s="1167"/>
      <c r="AA279" s="1167"/>
      <c r="AB279" s="1167"/>
      <c r="AC279" s="1167"/>
      <c r="AD279" s="1166"/>
      <c r="AE279" s="1166"/>
      <c r="AF279" s="1166"/>
      <c r="AG279" s="1166"/>
      <c r="AH279" s="1166"/>
      <c r="AI279" s="1166"/>
      <c r="AJ279" s="1166"/>
      <c r="AK279" s="1166"/>
      <c r="AL279" s="1166"/>
      <c r="AM279" s="1166"/>
      <c r="AN279" s="1166"/>
      <c r="AO279" s="1166"/>
      <c r="AP279" s="1166"/>
      <c r="AQ279" s="1166"/>
      <c r="AR279" s="1166"/>
      <c r="AS279" s="1166"/>
      <c r="AT279" s="1166"/>
      <c r="AU279" s="1166"/>
      <c r="AV279" s="1166"/>
      <c r="AW279" s="1166"/>
      <c r="AX279" s="1166"/>
      <c r="AY279" s="1166"/>
      <c r="AZ279" s="1166"/>
      <c r="BA279" s="1166"/>
      <c r="BB279" s="1166"/>
      <c r="BC279" s="1166"/>
      <c r="BD279" s="1166"/>
      <c r="BE279" s="1166"/>
      <c r="BF279" s="1166"/>
      <c r="BG279" s="1166"/>
      <c r="BH279" s="1166"/>
      <c r="BI279" s="1166"/>
      <c r="BJ279" s="1166"/>
      <c r="BK279" s="1122"/>
      <c r="BL279" s="1122"/>
    </row>
    <row r="280" spans="1:64" s="401" customFormat="1" x14ac:dyDescent="0.3">
      <c r="A280" s="1154">
        <v>620</v>
      </c>
      <c r="B280" s="1222"/>
      <c r="C280" s="1208">
        <v>620</v>
      </c>
      <c r="D280" s="1209"/>
      <c r="E280" s="1209"/>
      <c r="F280" s="1163"/>
      <c r="G280" s="1164"/>
      <c r="H280" s="1164"/>
      <c r="I280" s="1164"/>
      <c r="J280" s="1164"/>
      <c r="K280" s="1164"/>
      <c r="L280" s="1165"/>
      <c r="M280" s="1166"/>
      <c r="N280" s="1166"/>
      <c r="O280" s="1167"/>
      <c r="P280" s="1167"/>
      <c r="Q280" s="1167"/>
      <c r="R280" s="1167"/>
      <c r="S280" s="1167"/>
      <c r="T280" s="1167"/>
      <c r="U280" s="1167"/>
      <c r="V280" s="1167"/>
      <c r="W280" s="1167"/>
      <c r="X280" s="1167"/>
      <c r="Y280" s="1167"/>
      <c r="Z280" s="1167"/>
      <c r="AA280" s="1167"/>
      <c r="AB280" s="1167"/>
      <c r="AC280" s="1167"/>
      <c r="AD280" s="1166"/>
      <c r="AE280" s="1166"/>
      <c r="AF280" s="1166"/>
      <c r="AG280" s="1166"/>
      <c r="AH280" s="1166"/>
      <c r="AI280" s="1166"/>
      <c r="AJ280" s="1166"/>
      <c r="AK280" s="1166"/>
      <c r="AL280" s="1166"/>
      <c r="AM280" s="1166"/>
      <c r="AN280" s="1166"/>
      <c r="AO280" s="1166"/>
      <c r="AP280" s="1166"/>
      <c r="AQ280" s="1166"/>
      <c r="AR280" s="1166"/>
      <c r="AS280" s="1166"/>
      <c r="AT280" s="1166"/>
      <c r="AU280" s="1166"/>
      <c r="AV280" s="1166"/>
      <c r="AW280" s="1166"/>
      <c r="AX280" s="1166"/>
      <c r="AY280" s="1166"/>
      <c r="AZ280" s="1166"/>
      <c r="BA280" s="1166"/>
      <c r="BB280" s="1166"/>
      <c r="BC280" s="1166"/>
      <c r="BD280" s="1166"/>
      <c r="BE280" s="1166"/>
      <c r="BF280" s="1166"/>
      <c r="BG280" s="1166"/>
      <c r="BH280" s="1166"/>
      <c r="BI280" s="1166"/>
      <c r="BJ280" s="1166"/>
      <c r="BK280" s="1122"/>
      <c r="BL280" s="1122"/>
    </row>
    <row r="281" spans="1:64" s="401" customFormat="1" x14ac:dyDescent="0.3">
      <c r="A281" s="1154">
        <v>621</v>
      </c>
      <c r="B281" s="1222">
        <v>621</v>
      </c>
      <c r="C281" s="1211">
        <v>621</v>
      </c>
      <c r="D281" s="1212" t="s">
        <v>1514</v>
      </c>
      <c r="E281" s="1212"/>
      <c r="F281" s="1163">
        <v>60537539</v>
      </c>
      <c r="G281" s="1164">
        <v>112163956</v>
      </c>
      <c r="H281" s="1164">
        <v>81729518</v>
      </c>
      <c r="I281" s="1164">
        <v>34369253</v>
      </c>
      <c r="J281" s="1164">
        <v>112292721</v>
      </c>
      <c r="K281" s="1164">
        <v>47527815</v>
      </c>
      <c r="L281" s="1165">
        <v>25585947</v>
      </c>
      <c r="M281" s="1166">
        <v>33971673</v>
      </c>
      <c r="N281" s="1166">
        <v>66438762</v>
      </c>
      <c r="O281" s="1167">
        <v>20242046</v>
      </c>
      <c r="P281" s="1167">
        <v>40269251</v>
      </c>
      <c r="Q281" s="1167">
        <v>138173080</v>
      </c>
      <c r="R281" s="1167">
        <v>62702296</v>
      </c>
      <c r="S281" s="1167">
        <v>17509058</v>
      </c>
      <c r="T281" s="1167">
        <v>1569930</v>
      </c>
      <c r="U281" s="1167">
        <v>145364768</v>
      </c>
      <c r="V281" s="1167">
        <v>302393398</v>
      </c>
      <c r="W281" s="1167">
        <v>34736358</v>
      </c>
      <c r="X281" s="1167">
        <v>19777685</v>
      </c>
      <c r="Y281" s="1167">
        <v>265038752</v>
      </c>
      <c r="Z281" s="1167">
        <v>95720788</v>
      </c>
      <c r="AA281" s="1167">
        <v>17482789</v>
      </c>
      <c r="AB281" s="1167">
        <v>93128113</v>
      </c>
      <c r="AC281" s="1167">
        <v>19584400</v>
      </c>
      <c r="AD281" s="1166">
        <v>52738082</v>
      </c>
      <c r="AE281" s="1166">
        <v>255933196</v>
      </c>
      <c r="AF281" s="1166">
        <v>27365871</v>
      </c>
      <c r="AG281" s="1166">
        <v>165982005</v>
      </c>
      <c r="AH281" s="1166">
        <v>72121857</v>
      </c>
      <c r="AI281" s="1166">
        <v>3027131</v>
      </c>
      <c r="AJ281" s="1166">
        <v>225729260</v>
      </c>
      <c r="AK281" s="1166">
        <v>110197980</v>
      </c>
      <c r="AL281" s="1166">
        <v>198371446</v>
      </c>
      <c r="AM281" s="1166">
        <v>89175142</v>
      </c>
      <c r="AN281" s="1166">
        <v>82489853</v>
      </c>
      <c r="AO281" s="1166">
        <v>63900498</v>
      </c>
      <c r="AP281" s="1166">
        <v>79981458</v>
      </c>
      <c r="AQ281" s="1166">
        <v>61551753</v>
      </c>
      <c r="AR281" s="1166">
        <v>80832601</v>
      </c>
      <c r="AS281" s="1166">
        <v>24653104</v>
      </c>
      <c r="AT281" s="1166">
        <v>28605144</v>
      </c>
      <c r="AU281" s="1166">
        <v>41509900</v>
      </c>
      <c r="AV281" s="1166">
        <v>8852932</v>
      </c>
      <c r="AW281" s="1166">
        <v>434277197</v>
      </c>
      <c r="AX281" s="1166">
        <v>55327794</v>
      </c>
      <c r="AY281" s="1166">
        <v>1855820546</v>
      </c>
      <c r="AZ281" s="1166">
        <v>21873914</v>
      </c>
      <c r="BA281" s="1166">
        <v>14952901</v>
      </c>
      <c r="BB281" s="1166">
        <v>57175779</v>
      </c>
      <c r="BC281" s="1166">
        <v>177681503</v>
      </c>
      <c r="BD281" s="1166">
        <v>9966537</v>
      </c>
      <c r="BE281" s="1166">
        <v>22854343</v>
      </c>
      <c r="BF281" s="1166">
        <v>99075013</v>
      </c>
      <c r="BG281" s="1166">
        <v>110491491</v>
      </c>
      <c r="BH281" s="1166">
        <v>569657981</v>
      </c>
      <c r="BI281" s="1166">
        <v>56297677</v>
      </c>
      <c r="BJ281" s="1166">
        <v>24832570</v>
      </c>
      <c r="BK281" s="1120"/>
      <c r="BL281" s="1120"/>
    </row>
    <row r="282" spans="1:64" s="401" customFormat="1" x14ac:dyDescent="0.3">
      <c r="A282" s="1154">
        <v>622</v>
      </c>
      <c r="B282" s="1222">
        <v>622</v>
      </c>
      <c r="C282" s="1208">
        <v>622</v>
      </c>
      <c r="D282" s="1209" t="s">
        <v>439</v>
      </c>
      <c r="E282" s="1209"/>
      <c r="F282" s="1163">
        <v>22385370</v>
      </c>
      <c r="G282" s="1164">
        <v>41353791</v>
      </c>
      <c r="H282" s="1164">
        <v>30772238</v>
      </c>
      <c r="I282" s="1164">
        <v>12821852</v>
      </c>
      <c r="J282" s="1164">
        <v>41845185</v>
      </c>
      <c r="K282" s="1164">
        <v>17390570</v>
      </c>
      <c r="L282" s="1165">
        <v>9597729</v>
      </c>
      <c r="M282" s="1166">
        <v>13024008</v>
      </c>
      <c r="N282" s="1166">
        <v>25272568</v>
      </c>
      <c r="O282" s="1167">
        <v>7542998</v>
      </c>
      <c r="P282" s="1167">
        <v>15241500</v>
      </c>
      <c r="Q282" s="1167">
        <v>51961262</v>
      </c>
      <c r="R282" s="1167">
        <v>23906203</v>
      </c>
      <c r="S282" s="1167">
        <v>6625522</v>
      </c>
      <c r="T282" s="1167">
        <v>617871</v>
      </c>
      <c r="U282" s="1167">
        <v>54152837</v>
      </c>
      <c r="V282" s="1167">
        <v>113436280</v>
      </c>
      <c r="W282" s="1167">
        <v>12900641</v>
      </c>
      <c r="X282" s="1167">
        <v>7598979</v>
      </c>
      <c r="Y282" s="1167">
        <v>98690321</v>
      </c>
      <c r="Z282" s="1167">
        <v>35043425</v>
      </c>
      <c r="AA282" s="1167">
        <v>6548806</v>
      </c>
      <c r="AB282" s="1167">
        <v>34674361</v>
      </c>
      <c r="AC282" s="1167">
        <v>7197778</v>
      </c>
      <c r="AD282" s="1166">
        <v>19435971</v>
      </c>
      <c r="AE282" s="1166">
        <v>95411252</v>
      </c>
      <c r="AF282" s="1166">
        <v>10310975</v>
      </c>
      <c r="AG282" s="1166">
        <v>61737294</v>
      </c>
      <c r="AH282" s="1166">
        <v>26881520</v>
      </c>
      <c r="AI282" s="1166">
        <v>11391212</v>
      </c>
      <c r="AJ282" s="1166">
        <v>85670459</v>
      </c>
      <c r="AK282" s="1166">
        <v>41242865</v>
      </c>
      <c r="AL282" s="1166">
        <v>73794073</v>
      </c>
      <c r="AM282" s="1166">
        <v>33931050</v>
      </c>
      <c r="AN282" s="1166">
        <v>31260522</v>
      </c>
      <c r="AO282" s="1166">
        <v>24442175</v>
      </c>
      <c r="AP282" s="1166">
        <v>29839212</v>
      </c>
      <c r="AQ282" s="1166">
        <v>22910975</v>
      </c>
      <c r="AR282" s="1166">
        <v>30314019</v>
      </c>
      <c r="AS282" s="1166">
        <v>9163353</v>
      </c>
      <c r="AT282" s="1166">
        <v>10795112</v>
      </c>
      <c r="AU282" s="1166">
        <v>15418775</v>
      </c>
      <c r="AV282" s="1166">
        <v>3451160</v>
      </c>
      <c r="AW282" s="1166">
        <v>164023920</v>
      </c>
      <c r="AX282" s="1166">
        <v>21377702</v>
      </c>
      <c r="AY282" s="1166">
        <v>691000187</v>
      </c>
      <c r="AZ282" s="1166">
        <v>8130804</v>
      </c>
      <c r="BA282" s="1166">
        <v>5860441</v>
      </c>
      <c r="BB282" s="1166">
        <v>21426427</v>
      </c>
      <c r="BC282" s="1166">
        <v>67074212</v>
      </c>
      <c r="BD282" s="1166">
        <v>3788086</v>
      </c>
      <c r="BE282" s="1166">
        <v>8730014</v>
      </c>
      <c r="BF282" s="1166">
        <v>37292018</v>
      </c>
      <c r="BG282" s="1166">
        <v>41454351</v>
      </c>
      <c r="BH282" s="1166">
        <v>213912827</v>
      </c>
      <c r="BI282" s="1166">
        <v>20993088</v>
      </c>
      <c r="BJ282" s="1166">
        <v>9341665</v>
      </c>
      <c r="BK282" s="1120"/>
      <c r="BL282" s="1120"/>
    </row>
    <row r="283" spans="1:64" s="401" customFormat="1" x14ac:dyDescent="0.3">
      <c r="A283" s="1154">
        <v>624</v>
      </c>
      <c r="B283" s="1222"/>
      <c r="C283" s="1208">
        <v>624</v>
      </c>
      <c r="D283" s="1209"/>
      <c r="E283" s="1209"/>
      <c r="F283" s="1163"/>
      <c r="G283" s="1164"/>
      <c r="H283" s="1164"/>
      <c r="I283" s="1164"/>
      <c r="J283" s="1164"/>
      <c r="K283" s="1164"/>
      <c r="L283" s="1165"/>
      <c r="M283" s="1166"/>
      <c r="N283" s="1166"/>
      <c r="O283" s="1167"/>
      <c r="P283" s="1167"/>
      <c r="Q283" s="1167"/>
      <c r="R283" s="1167"/>
      <c r="S283" s="1167"/>
      <c r="T283" s="1167"/>
      <c r="U283" s="1167"/>
      <c r="V283" s="1167"/>
      <c r="W283" s="1167"/>
      <c r="X283" s="1167"/>
      <c r="Y283" s="1167"/>
      <c r="Z283" s="1167"/>
      <c r="AA283" s="1167"/>
      <c r="AB283" s="1167"/>
      <c r="AC283" s="1167"/>
      <c r="AD283" s="1166"/>
      <c r="AE283" s="1166"/>
      <c r="AF283" s="1166"/>
      <c r="AG283" s="1166"/>
      <c r="AH283" s="1166"/>
      <c r="AI283" s="1166"/>
      <c r="AJ283" s="1166"/>
      <c r="AK283" s="1166"/>
      <c r="AL283" s="1166"/>
      <c r="AM283" s="1166"/>
      <c r="AN283" s="1166"/>
      <c r="AO283" s="1166"/>
      <c r="AP283" s="1166"/>
      <c r="AQ283" s="1166"/>
      <c r="AR283" s="1166"/>
      <c r="AS283" s="1166"/>
      <c r="AT283" s="1166"/>
      <c r="AU283" s="1166"/>
      <c r="AV283" s="1166"/>
      <c r="AW283" s="1166"/>
      <c r="AX283" s="1166"/>
      <c r="AY283" s="1166"/>
      <c r="AZ283" s="1166"/>
      <c r="BA283" s="1166"/>
      <c r="BB283" s="1166"/>
      <c r="BC283" s="1166"/>
      <c r="BD283" s="1166"/>
      <c r="BE283" s="1166"/>
      <c r="BF283" s="1166"/>
      <c r="BG283" s="1166"/>
      <c r="BH283" s="1166"/>
      <c r="BI283" s="1166"/>
      <c r="BJ283" s="1166"/>
      <c r="BK283" s="1120"/>
      <c r="BL283" s="1120"/>
    </row>
    <row r="284" spans="1:64" s="401" customFormat="1" ht="100.8" x14ac:dyDescent="0.3">
      <c r="A284" s="1154">
        <v>625</v>
      </c>
      <c r="B284" s="1222"/>
      <c r="C284" s="1208">
        <v>625</v>
      </c>
      <c r="D284" s="1209" t="s">
        <v>532</v>
      </c>
      <c r="E284" s="1209"/>
      <c r="F284" s="1163">
        <v>0</v>
      </c>
      <c r="G284" s="1164">
        <v>0</v>
      </c>
      <c r="H284" s="1164">
        <v>0</v>
      </c>
      <c r="I284" s="1164">
        <v>0</v>
      </c>
      <c r="J284" s="1164">
        <v>0</v>
      </c>
      <c r="K284" s="1164">
        <v>0</v>
      </c>
      <c r="L284" s="1165">
        <v>0</v>
      </c>
      <c r="M284" s="1166">
        <v>0</v>
      </c>
      <c r="N284" s="1166">
        <v>0</v>
      </c>
      <c r="O284" s="1167">
        <v>0</v>
      </c>
      <c r="P284" s="1167">
        <v>0</v>
      </c>
      <c r="Q284" s="1167">
        <v>0</v>
      </c>
      <c r="R284" s="1167">
        <v>0</v>
      </c>
      <c r="S284" s="1167">
        <v>0</v>
      </c>
      <c r="T284" s="1167">
        <v>0</v>
      </c>
      <c r="U284" s="1167">
        <v>0</v>
      </c>
      <c r="V284" s="1167">
        <v>0</v>
      </c>
      <c r="W284" s="1167">
        <v>0</v>
      </c>
      <c r="X284" s="1167">
        <v>0</v>
      </c>
      <c r="Y284" s="1167">
        <v>0</v>
      </c>
      <c r="Z284" s="1167">
        <v>0</v>
      </c>
      <c r="AA284" s="1167">
        <v>0</v>
      </c>
      <c r="AB284" s="1167">
        <v>0</v>
      </c>
      <c r="AC284" s="1167">
        <v>0</v>
      </c>
      <c r="AD284" s="1166">
        <v>0</v>
      </c>
      <c r="AE284" s="1166">
        <v>0</v>
      </c>
      <c r="AF284" s="1166">
        <v>0</v>
      </c>
      <c r="AG284" s="1166">
        <v>0</v>
      </c>
      <c r="AH284" s="1166">
        <v>0</v>
      </c>
      <c r="AI284" s="1166">
        <v>0</v>
      </c>
      <c r="AJ284" s="1166">
        <v>0</v>
      </c>
      <c r="AK284" s="1166">
        <v>0</v>
      </c>
      <c r="AL284" s="1166">
        <v>0</v>
      </c>
      <c r="AM284" s="1166">
        <v>0</v>
      </c>
      <c r="AN284" s="1166">
        <v>0</v>
      </c>
      <c r="AO284" s="1166">
        <v>0</v>
      </c>
      <c r="AP284" s="1166">
        <v>0</v>
      </c>
      <c r="AQ284" s="1166">
        <v>0</v>
      </c>
      <c r="AR284" s="1166">
        <v>0</v>
      </c>
      <c r="AS284" s="1166">
        <v>0</v>
      </c>
      <c r="AT284" s="1166">
        <v>0</v>
      </c>
      <c r="AU284" s="1166">
        <v>0</v>
      </c>
      <c r="AV284" s="1166">
        <v>0</v>
      </c>
      <c r="AW284" s="1166">
        <v>0</v>
      </c>
      <c r="AX284" s="1166">
        <v>0</v>
      </c>
      <c r="AY284" s="1166">
        <v>0</v>
      </c>
      <c r="AZ284" s="1166">
        <v>0</v>
      </c>
      <c r="BA284" s="1166">
        <v>0</v>
      </c>
      <c r="BB284" s="1166">
        <v>0</v>
      </c>
      <c r="BC284" s="1166">
        <v>0</v>
      </c>
      <c r="BD284" s="1166">
        <v>0</v>
      </c>
      <c r="BE284" s="1166">
        <v>0</v>
      </c>
      <c r="BF284" s="1166">
        <v>0</v>
      </c>
      <c r="BG284" s="1166">
        <v>0</v>
      </c>
      <c r="BH284" s="1166">
        <v>0</v>
      </c>
      <c r="BI284" s="1166">
        <v>0</v>
      </c>
      <c r="BJ284" s="1166">
        <v>0</v>
      </c>
      <c r="BK284" s="1120"/>
      <c r="BL284" s="1120"/>
    </row>
    <row r="285" spans="1:64" s="401" customFormat="1" ht="28.8" x14ac:dyDescent="0.3">
      <c r="A285" s="1154">
        <v>626</v>
      </c>
      <c r="B285" s="1222">
        <v>626</v>
      </c>
      <c r="C285" s="1208">
        <v>626</v>
      </c>
      <c r="D285" s="1209" t="s">
        <v>458</v>
      </c>
      <c r="E285" s="1209"/>
      <c r="F285" s="1163">
        <v>266749</v>
      </c>
      <c r="G285" s="1164">
        <v>6608897</v>
      </c>
      <c r="H285" s="1164">
        <v>6829025</v>
      </c>
      <c r="I285" s="1164">
        <v>1230527</v>
      </c>
      <c r="J285" s="1164">
        <v>6342546</v>
      </c>
      <c r="K285" s="1164">
        <v>1523209</v>
      </c>
      <c r="L285" s="1165">
        <v>1965976</v>
      </c>
      <c r="M285" s="1166">
        <v>1696229</v>
      </c>
      <c r="N285" s="1166">
        <v>4721612</v>
      </c>
      <c r="O285" s="1167">
        <v>1469678</v>
      </c>
      <c r="P285" s="1167">
        <v>1609372</v>
      </c>
      <c r="Q285" s="1167">
        <v>6634808</v>
      </c>
      <c r="R285" s="1167">
        <v>5661635</v>
      </c>
      <c r="S285" s="1167">
        <v>577523</v>
      </c>
      <c r="T285" s="1167">
        <v>0</v>
      </c>
      <c r="U285" s="1167">
        <v>14712100</v>
      </c>
      <c r="V285" s="1167">
        <v>28328962</v>
      </c>
      <c r="W285" s="1167">
        <v>2127524</v>
      </c>
      <c r="X285" s="1167">
        <v>1833471</v>
      </c>
      <c r="Y285" s="1167">
        <v>10283108</v>
      </c>
      <c r="Z285" s="1167">
        <v>7882715</v>
      </c>
      <c r="AA285" s="1167">
        <v>1237455</v>
      </c>
      <c r="AB285" s="1167">
        <v>4202275</v>
      </c>
      <c r="AC285" s="1167">
        <v>1354885</v>
      </c>
      <c r="AD285" s="1166">
        <v>2784924</v>
      </c>
      <c r="AE285" s="1166">
        <v>11361726</v>
      </c>
      <c r="AF285" s="1166">
        <v>1871108</v>
      </c>
      <c r="AG285" s="1166">
        <v>12753610</v>
      </c>
      <c r="AH285" s="1166">
        <v>6436265</v>
      </c>
      <c r="AI285" s="1166">
        <v>2005013</v>
      </c>
      <c r="AJ285" s="1166">
        <v>11542308</v>
      </c>
      <c r="AK285" s="1166">
        <v>8522942</v>
      </c>
      <c r="AL285" s="1166">
        <v>11240520</v>
      </c>
      <c r="AM285" s="1166">
        <v>3464230</v>
      </c>
      <c r="AN285" s="1166">
        <v>6138337</v>
      </c>
      <c r="AO285" s="1166">
        <v>7012036</v>
      </c>
      <c r="AP285" s="1166">
        <v>4478330</v>
      </c>
      <c r="AQ285" s="1166">
        <v>3196151</v>
      </c>
      <c r="AR285" s="1166">
        <v>6889382</v>
      </c>
      <c r="AS285" s="1166">
        <v>1498526</v>
      </c>
      <c r="AT285" s="1166">
        <v>1867352</v>
      </c>
      <c r="AU285" s="1166">
        <v>3009994</v>
      </c>
      <c r="AV285" s="1166">
        <v>578765</v>
      </c>
      <c r="AW285" s="1166">
        <v>36011137</v>
      </c>
      <c r="AX285" s="1166">
        <v>3410445</v>
      </c>
      <c r="AY285" s="1166">
        <v>82740693</v>
      </c>
      <c r="AZ285" s="1166">
        <v>1011078</v>
      </c>
      <c r="BA285" s="1166">
        <v>1257643</v>
      </c>
      <c r="BB285" s="1166">
        <v>3405286</v>
      </c>
      <c r="BC285" s="1166">
        <v>18578111</v>
      </c>
      <c r="BD285" s="1166">
        <v>718228</v>
      </c>
      <c r="BE285" s="1166">
        <v>1067914</v>
      </c>
      <c r="BF285" s="1166">
        <v>7202958</v>
      </c>
      <c r="BG285" s="1166">
        <v>7196246</v>
      </c>
      <c r="BH285" s="1166">
        <v>37989468</v>
      </c>
      <c r="BI285" s="1166">
        <v>3596883</v>
      </c>
      <c r="BJ285" s="1166">
        <v>1396575</v>
      </c>
      <c r="BK285" s="1120"/>
      <c r="BL285" s="1120"/>
    </row>
    <row r="286" spans="1:64" s="401" customFormat="1" x14ac:dyDescent="0.3">
      <c r="A286" s="1154">
        <v>627</v>
      </c>
      <c r="B286" s="1222">
        <v>627</v>
      </c>
      <c r="C286" s="1154">
        <v>627</v>
      </c>
      <c r="D286" s="1157" t="s">
        <v>450</v>
      </c>
      <c r="E286" s="1152"/>
      <c r="F286" s="1163">
        <v>0</v>
      </c>
      <c r="G286" s="1164">
        <v>0</v>
      </c>
      <c r="H286" s="1164">
        <v>0</v>
      </c>
      <c r="I286" s="1164">
        <v>0</v>
      </c>
      <c r="J286" s="1164">
        <v>0</v>
      </c>
      <c r="K286" s="1164">
        <v>0</v>
      </c>
      <c r="L286" s="1165">
        <v>0</v>
      </c>
      <c r="M286" s="1166">
        <v>0</v>
      </c>
      <c r="N286" s="1166">
        <v>0</v>
      </c>
      <c r="O286" s="1167">
        <v>0</v>
      </c>
      <c r="P286" s="1167">
        <v>0</v>
      </c>
      <c r="Q286" s="1167">
        <v>0</v>
      </c>
      <c r="R286" s="1167">
        <v>0</v>
      </c>
      <c r="S286" s="1167">
        <v>0</v>
      </c>
      <c r="T286" s="1167">
        <v>0</v>
      </c>
      <c r="U286" s="1167">
        <v>0</v>
      </c>
      <c r="V286" s="1167">
        <v>0</v>
      </c>
      <c r="W286" s="1167">
        <v>0</v>
      </c>
      <c r="X286" s="1167">
        <v>0</v>
      </c>
      <c r="Y286" s="1167">
        <v>0</v>
      </c>
      <c r="Z286" s="1167">
        <v>0</v>
      </c>
      <c r="AA286" s="1167">
        <v>0</v>
      </c>
      <c r="AB286" s="1167">
        <v>0</v>
      </c>
      <c r="AC286" s="1167">
        <v>0</v>
      </c>
      <c r="AD286" s="1166">
        <v>0</v>
      </c>
      <c r="AE286" s="1166">
        <v>0</v>
      </c>
      <c r="AF286" s="1166">
        <v>0</v>
      </c>
      <c r="AG286" s="1166">
        <v>0</v>
      </c>
      <c r="AH286" s="1166">
        <v>0</v>
      </c>
      <c r="AI286" s="1166">
        <v>0</v>
      </c>
      <c r="AJ286" s="1166">
        <v>0</v>
      </c>
      <c r="AK286" s="1166">
        <v>0</v>
      </c>
      <c r="AL286" s="1166">
        <v>0</v>
      </c>
      <c r="AM286" s="1166">
        <v>0</v>
      </c>
      <c r="AN286" s="1166">
        <v>0</v>
      </c>
      <c r="AO286" s="1166">
        <v>0</v>
      </c>
      <c r="AP286" s="1166">
        <v>0</v>
      </c>
      <c r="AQ286" s="1166">
        <v>0</v>
      </c>
      <c r="AR286" s="1166">
        <v>0</v>
      </c>
      <c r="AS286" s="1166">
        <v>0</v>
      </c>
      <c r="AT286" s="1166">
        <v>0</v>
      </c>
      <c r="AU286" s="1166">
        <v>0</v>
      </c>
      <c r="AV286" s="1166">
        <v>0</v>
      </c>
      <c r="AW286" s="1166">
        <v>0</v>
      </c>
      <c r="AX286" s="1166">
        <v>0</v>
      </c>
      <c r="AY286" s="1166">
        <v>0</v>
      </c>
      <c r="AZ286" s="1166">
        <v>0</v>
      </c>
      <c r="BA286" s="1166">
        <v>0</v>
      </c>
      <c r="BB286" s="1166">
        <v>0</v>
      </c>
      <c r="BC286" s="1166">
        <v>0</v>
      </c>
      <c r="BD286" s="1166">
        <v>0</v>
      </c>
      <c r="BE286" s="1166">
        <v>0</v>
      </c>
      <c r="BF286" s="1166">
        <v>0</v>
      </c>
      <c r="BG286" s="1166">
        <v>0</v>
      </c>
      <c r="BH286" s="1166">
        <v>0</v>
      </c>
      <c r="BI286" s="1166">
        <v>0</v>
      </c>
      <c r="BJ286" s="1166">
        <v>0</v>
      </c>
      <c r="BK286" s="1120"/>
      <c r="BL286" s="1120"/>
    </row>
    <row r="287" spans="1:64" s="401" customFormat="1" x14ac:dyDescent="0.3">
      <c r="A287" s="1154">
        <v>628</v>
      </c>
      <c r="B287" s="1222">
        <v>628</v>
      </c>
      <c r="C287" s="1154">
        <v>628</v>
      </c>
      <c r="D287" s="1157" t="s">
        <v>455</v>
      </c>
      <c r="E287" s="1152"/>
      <c r="F287" s="1163">
        <v>0</v>
      </c>
      <c r="G287" s="1164">
        <v>2617057</v>
      </c>
      <c r="H287" s="1164">
        <v>3500000</v>
      </c>
      <c r="I287" s="1164">
        <v>0</v>
      </c>
      <c r="J287" s="1164">
        <v>0</v>
      </c>
      <c r="K287" s="1164">
        <v>1284152</v>
      </c>
      <c r="L287" s="1165">
        <v>720018</v>
      </c>
      <c r="M287" s="1166">
        <v>0</v>
      </c>
      <c r="N287" s="1166">
        <v>2600000</v>
      </c>
      <c r="O287" s="1167">
        <v>0</v>
      </c>
      <c r="P287" s="1167">
        <v>1004884</v>
      </c>
      <c r="Q287" s="1167">
        <v>3075858</v>
      </c>
      <c r="R287" s="1167">
        <v>1209539</v>
      </c>
      <c r="S287" s="1167">
        <v>0</v>
      </c>
      <c r="T287" s="1167">
        <v>0</v>
      </c>
      <c r="U287" s="1167">
        <v>5558158</v>
      </c>
      <c r="V287" s="1167">
        <v>8080515</v>
      </c>
      <c r="W287" s="1167">
        <v>921376</v>
      </c>
      <c r="X287" s="1167">
        <v>777612</v>
      </c>
      <c r="Y287" s="1167">
        <v>5465813</v>
      </c>
      <c r="Z287" s="1167">
        <v>1780255</v>
      </c>
      <c r="AA287" s="1167">
        <v>566288</v>
      </c>
      <c r="AB287" s="1167">
        <v>1248837</v>
      </c>
      <c r="AC287" s="1167">
        <v>661678</v>
      </c>
      <c r="AD287" s="1166">
        <v>941811</v>
      </c>
      <c r="AE287" s="1166">
        <v>3219424</v>
      </c>
      <c r="AF287" s="1166">
        <v>836888</v>
      </c>
      <c r="AG287" s="1166">
        <v>4429260</v>
      </c>
      <c r="AH287" s="1166">
        <v>3105939</v>
      </c>
      <c r="AI287" s="1166">
        <v>1152061</v>
      </c>
      <c r="AJ287" s="1166">
        <v>0</v>
      </c>
      <c r="AK287" s="1166">
        <v>2563758</v>
      </c>
      <c r="AL287" s="1166">
        <v>4427391</v>
      </c>
      <c r="AM287" s="1166">
        <v>0</v>
      </c>
      <c r="AN287" s="1166">
        <v>2391756</v>
      </c>
      <c r="AO287" s="1166">
        <v>0</v>
      </c>
      <c r="AP287" s="1166">
        <v>2297379</v>
      </c>
      <c r="AQ287" s="1166">
        <v>0</v>
      </c>
      <c r="AR287" s="1166">
        <v>2266171</v>
      </c>
      <c r="AS287" s="1166">
        <v>830500</v>
      </c>
      <c r="AT287" s="1166">
        <v>728598</v>
      </c>
      <c r="AU287" s="1166">
        <v>1309718</v>
      </c>
      <c r="AV287" s="1166">
        <v>294259</v>
      </c>
      <c r="AW287" s="1166">
        <v>10923177</v>
      </c>
      <c r="AX287" s="1166">
        <v>1688687</v>
      </c>
      <c r="AY287" s="1166">
        <v>65000</v>
      </c>
      <c r="AZ287" s="1166">
        <v>642028</v>
      </c>
      <c r="BA287" s="1166">
        <v>283684</v>
      </c>
      <c r="BB287" s="1166">
        <v>1237592</v>
      </c>
      <c r="BC287" s="1166">
        <v>5643359</v>
      </c>
      <c r="BD287" s="1166">
        <v>402927</v>
      </c>
      <c r="BE287" s="1166">
        <v>96878</v>
      </c>
      <c r="BF287" s="1166">
        <v>3818220</v>
      </c>
      <c r="BG287" s="1166">
        <v>3036923</v>
      </c>
      <c r="BH287" s="1166">
        <v>0</v>
      </c>
      <c r="BI287" s="1166">
        <v>1577128</v>
      </c>
      <c r="BJ287" s="1166">
        <v>993265</v>
      </c>
      <c r="BK287" s="1120"/>
      <c r="BL287" s="1120"/>
    </row>
    <row r="288" spans="1:64" s="401" customFormat="1" x14ac:dyDescent="0.3">
      <c r="A288" s="1154">
        <v>629</v>
      </c>
      <c r="B288" s="1222">
        <v>629</v>
      </c>
      <c r="C288" s="1154">
        <v>629</v>
      </c>
      <c r="D288" s="1157" t="s">
        <v>454</v>
      </c>
      <c r="E288" s="1152"/>
      <c r="F288" s="1163">
        <v>0</v>
      </c>
      <c r="G288" s="1164">
        <v>0</v>
      </c>
      <c r="H288" s="1164">
        <v>0</v>
      </c>
      <c r="I288" s="1164">
        <v>0</v>
      </c>
      <c r="J288" s="1164">
        <v>0</v>
      </c>
      <c r="K288" s="1164">
        <v>0</v>
      </c>
      <c r="L288" s="1165">
        <v>0</v>
      </c>
      <c r="M288" s="1166">
        <v>0</v>
      </c>
      <c r="N288" s="1166">
        <v>0</v>
      </c>
      <c r="O288" s="1167">
        <v>0</v>
      </c>
      <c r="P288" s="1167">
        <v>0</v>
      </c>
      <c r="Q288" s="1167">
        <v>0</v>
      </c>
      <c r="R288" s="1167">
        <v>0</v>
      </c>
      <c r="S288" s="1167">
        <v>0</v>
      </c>
      <c r="T288" s="1167">
        <v>0</v>
      </c>
      <c r="U288" s="1167">
        <v>0</v>
      </c>
      <c r="V288" s="1167">
        <v>0</v>
      </c>
      <c r="W288" s="1167">
        <v>0</v>
      </c>
      <c r="X288" s="1167">
        <v>0</v>
      </c>
      <c r="Y288" s="1167">
        <v>0</v>
      </c>
      <c r="Z288" s="1167">
        <v>0</v>
      </c>
      <c r="AA288" s="1167">
        <v>0</v>
      </c>
      <c r="AB288" s="1167">
        <v>0</v>
      </c>
      <c r="AC288" s="1167">
        <v>0</v>
      </c>
      <c r="AD288" s="1166">
        <v>0</v>
      </c>
      <c r="AE288" s="1166">
        <v>0</v>
      </c>
      <c r="AF288" s="1166">
        <v>0</v>
      </c>
      <c r="AG288" s="1166">
        <v>0</v>
      </c>
      <c r="AH288" s="1166">
        <v>0</v>
      </c>
      <c r="AI288" s="1166">
        <v>0</v>
      </c>
      <c r="AJ288" s="1166">
        <v>0</v>
      </c>
      <c r="AK288" s="1166">
        <v>0</v>
      </c>
      <c r="AL288" s="1166">
        <v>0</v>
      </c>
      <c r="AM288" s="1166">
        <v>0</v>
      </c>
      <c r="AN288" s="1166">
        <v>0</v>
      </c>
      <c r="AO288" s="1166">
        <v>1905733</v>
      </c>
      <c r="AP288" s="1166">
        <v>0</v>
      </c>
      <c r="AQ288" s="1166">
        <v>0</v>
      </c>
      <c r="AR288" s="1166">
        <v>0</v>
      </c>
      <c r="AS288" s="1166">
        <v>0</v>
      </c>
      <c r="AT288" s="1166">
        <v>0</v>
      </c>
      <c r="AU288" s="1166">
        <v>0</v>
      </c>
      <c r="AV288" s="1166">
        <v>0</v>
      </c>
      <c r="AW288" s="1166">
        <v>0</v>
      </c>
      <c r="AX288" s="1166">
        <v>0</v>
      </c>
      <c r="AY288" s="1166">
        <v>0</v>
      </c>
      <c r="AZ288" s="1166">
        <v>0</v>
      </c>
      <c r="BA288" s="1166">
        <v>0</v>
      </c>
      <c r="BB288" s="1166">
        <v>0</v>
      </c>
      <c r="BC288" s="1166">
        <v>0</v>
      </c>
      <c r="BD288" s="1166">
        <v>0</v>
      </c>
      <c r="BE288" s="1166">
        <v>0</v>
      </c>
      <c r="BF288" s="1166">
        <v>0</v>
      </c>
      <c r="BG288" s="1166">
        <v>0</v>
      </c>
      <c r="BH288" s="1166">
        <v>0</v>
      </c>
      <c r="BI288" s="1166">
        <v>0</v>
      </c>
      <c r="BJ288" s="1166">
        <v>0</v>
      </c>
      <c r="BK288" s="1120"/>
      <c r="BL288" s="1120"/>
    </row>
    <row r="289" spans="1:64" s="401" customFormat="1" x14ac:dyDescent="0.3">
      <c r="A289" s="1154">
        <v>630</v>
      </c>
      <c r="B289" s="1222">
        <v>630</v>
      </c>
      <c r="C289" s="1154">
        <v>630</v>
      </c>
      <c r="D289" s="1157" t="s">
        <v>453</v>
      </c>
      <c r="E289" s="1152"/>
      <c r="F289" s="1163">
        <v>0</v>
      </c>
      <c r="G289" s="1164">
        <v>0</v>
      </c>
      <c r="H289" s="1164">
        <v>0</v>
      </c>
      <c r="I289" s="1164">
        <v>0</v>
      </c>
      <c r="J289" s="1164">
        <v>0</v>
      </c>
      <c r="K289" s="1164">
        <v>0</v>
      </c>
      <c r="L289" s="1165">
        <v>0</v>
      </c>
      <c r="M289" s="1166">
        <v>0</v>
      </c>
      <c r="N289" s="1166">
        <v>0</v>
      </c>
      <c r="O289" s="1167">
        <v>0</v>
      </c>
      <c r="P289" s="1167">
        <v>0</v>
      </c>
      <c r="Q289" s="1167">
        <v>0</v>
      </c>
      <c r="R289" s="1167">
        <v>0</v>
      </c>
      <c r="S289" s="1167">
        <v>0</v>
      </c>
      <c r="T289" s="1167">
        <v>0</v>
      </c>
      <c r="U289" s="1167">
        <v>0</v>
      </c>
      <c r="V289" s="1167">
        <v>211502</v>
      </c>
      <c r="W289" s="1167">
        <v>0</v>
      </c>
      <c r="X289" s="1167">
        <v>0</v>
      </c>
      <c r="Y289" s="1167">
        <v>0</v>
      </c>
      <c r="Z289" s="1167">
        <v>0</v>
      </c>
      <c r="AA289" s="1167">
        <v>0</v>
      </c>
      <c r="AB289" s="1167">
        <v>0</v>
      </c>
      <c r="AC289" s="1167">
        <v>0</v>
      </c>
      <c r="AD289" s="1166">
        <v>0</v>
      </c>
      <c r="AE289" s="1166">
        <v>0</v>
      </c>
      <c r="AF289" s="1166">
        <v>0</v>
      </c>
      <c r="AG289" s="1166">
        <v>0</v>
      </c>
      <c r="AH289" s="1166">
        <v>0</v>
      </c>
      <c r="AI289" s="1166">
        <v>0</v>
      </c>
      <c r="AJ289" s="1166">
        <v>0</v>
      </c>
      <c r="AK289" s="1166">
        <v>0</v>
      </c>
      <c r="AL289" s="1166">
        <v>0</v>
      </c>
      <c r="AM289" s="1166">
        <v>0</v>
      </c>
      <c r="AN289" s="1166">
        <v>0</v>
      </c>
      <c r="AO289" s="1166">
        <v>0</v>
      </c>
      <c r="AP289" s="1166">
        <v>0</v>
      </c>
      <c r="AQ289" s="1166">
        <v>0</v>
      </c>
      <c r="AR289" s="1166">
        <v>0</v>
      </c>
      <c r="AS289" s="1166">
        <v>23088</v>
      </c>
      <c r="AT289" s="1166">
        <v>0</v>
      </c>
      <c r="AU289" s="1166">
        <v>0</v>
      </c>
      <c r="AV289" s="1166">
        <v>0</v>
      </c>
      <c r="AW289" s="1166">
        <v>0</v>
      </c>
      <c r="AX289" s="1166">
        <v>0</v>
      </c>
      <c r="AY289" s="1166">
        <v>0</v>
      </c>
      <c r="AZ289" s="1166">
        <v>0</v>
      </c>
      <c r="BA289" s="1166">
        <v>0</v>
      </c>
      <c r="BB289" s="1166">
        <v>0</v>
      </c>
      <c r="BC289" s="1166">
        <v>0</v>
      </c>
      <c r="BD289" s="1166">
        <v>0</v>
      </c>
      <c r="BE289" s="1166">
        <v>0</v>
      </c>
      <c r="BF289" s="1166">
        <v>0</v>
      </c>
      <c r="BG289" s="1166">
        <v>0</v>
      </c>
      <c r="BH289" s="1166">
        <v>0</v>
      </c>
      <c r="BI289" s="1166">
        <v>0</v>
      </c>
      <c r="BJ289" s="1166">
        <v>0</v>
      </c>
      <c r="BK289" s="1120"/>
      <c r="BL289" s="1120"/>
    </row>
    <row r="290" spans="1:64" s="401" customFormat="1" x14ac:dyDescent="0.3">
      <c r="A290" s="1152">
        <v>631</v>
      </c>
      <c r="B290" s="1222">
        <v>631</v>
      </c>
      <c r="C290" s="1152">
        <v>631</v>
      </c>
      <c r="D290" s="1152" t="s">
        <v>452</v>
      </c>
      <c r="E290" s="1152"/>
      <c r="F290" s="1163">
        <v>0</v>
      </c>
      <c r="G290" s="1164">
        <v>0</v>
      </c>
      <c r="H290" s="1164">
        <v>0</v>
      </c>
      <c r="I290" s="1164">
        <v>0</v>
      </c>
      <c r="J290" s="1164">
        <v>0</v>
      </c>
      <c r="K290" s="1164">
        <v>0</v>
      </c>
      <c r="L290" s="1165">
        <v>0</v>
      </c>
      <c r="M290" s="1166">
        <v>0</v>
      </c>
      <c r="N290" s="1166">
        <v>0</v>
      </c>
      <c r="O290" s="1167">
        <v>0</v>
      </c>
      <c r="P290" s="1167">
        <v>0</v>
      </c>
      <c r="Q290" s="1167">
        <v>0</v>
      </c>
      <c r="R290" s="1167">
        <v>0</v>
      </c>
      <c r="S290" s="1167">
        <v>0</v>
      </c>
      <c r="T290" s="1167">
        <v>0</v>
      </c>
      <c r="U290" s="1167">
        <v>0</v>
      </c>
      <c r="V290" s="1167">
        <v>0</v>
      </c>
      <c r="W290" s="1167">
        <v>0</v>
      </c>
      <c r="X290" s="1167">
        <v>0</v>
      </c>
      <c r="Y290" s="1167">
        <v>0</v>
      </c>
      <c r="Z290" s="1167">
        <v>0</v>
      </c>
      <c r="AA290" s="1167">
        <v>0</v>
      </c>
      <c r="AB290" s="1167">
        <v>0</v>
      </c>
      <c r="AC290" s="1167">
        <v>0</v>
      </c>
      <c r="AD290" s="1166">
        <v>0</v>
      </c>
      <c r="AE290" s="1166">
        <v>0</v>
      </c>
      <c r="AF290" s="1166">
        <v>0</v>
      </c>
      <c r="AG290" s="1166">
        <v>0</v>
      </c>
      <c r="AH290" s="1166">
        <v>0</v>
      </c>
      <c r="AI290" s="1166">
        <v>0</v>
      </c>
      <c r="AJ290" s="1166">
        <v>0</v>
      </c>
      <c r="AK290" s="1166">
        <v>0</v>
      </c>
      <c r="AL290" s="1166">
        <v>0</v>
      </c>
      <c r="AM290" s="1166">
        <v>0</v>
      </c>
      <c r="AN290" s="1166">
        <v>0</v>
      </c>
      <c r="AO290" s="1166">
        <v>0</v>
      </c>
      <c r="AP290" s="1166">
        <v>0</v>
      </c>
      <c r="AQ290" s="1166">
        <v>0</v>
      </c>
      <c r="AR290" s="1166">
        <v>0</v>
      </c>
      <c r="AS290" s="1166">
        <v>0</v>
      </c>
      <c r="AT290" s="1166">
        <v>0</v>
      </c>
      <c r="AU290" s="1166">
        <v>0</v>
      </c>
      <c r="AV290" s="1166">
        <v>0</v>
      </c>
      <c r="AW290" s="1166">
        <v>0</v>
      </c>
      <c r="AX290" s="1166">
        <v>0</v>
      </c>
      <c r="AY290" s="1166">
        <v>0</v>
      </c>
      <c r="AZ290" s="1166">
        <v>0</v>
      </c>
      <c r="BA290" s="1166">
        <v>0</v>
      </c>
      <c r="BB290" s="1166">
        <v>0</v>
      </c>
      <c r="BC290" s="1166">
        <v>0</v>
      </c>
      <c r="BD290" s="1166">
        <v>0</v>
      </c>
      <c r="BE290" s="1166">
        <v>0</v>
      </c>
      <c r="BF290" s="1166">
        <v>0</v>
      </c>
      <c r="BG290" s="1166">
        <v>0</v>
      </c>
      <c r="BH290" s="1166">
        <v>0</v>
      </c>
      <c r="BI290" s="1166">
        <v>0</v>
      </c>
      <c r="BJ290" s="1166">
        <v>0</v>
      </c>
      <c r="BK290" s="1120"/>
      <c r="BL290" s="1120"/>
    </row>
    <row r="291" spans="1:64" s="401" customFormat="1" x14ac:dyDescent="0.3">
      <c r="A291" s="1152">
        <v>632</v>
      </c>
      <c r="B291" s="1222"/>
      <c r="C291" s="1152">
        <v>632</v>
      </c>
      <c r="D291" s="1152" t="s">
        <v>451</v>
      </c>
      <c r="E291" s="1152"/>
      <c r="F291" s="1163">
        <v>0</v>
      </c>
      <c r="G291" s="1164">
        <v>0</v>
      </c>
      <c r="H291" s="1164">
        <v>0</v>
      </c>
      <c r="I291" s="1164">
        <v>0</v>
      </c>
      <c r="J291" s="1164">
        <v>0</v>
      </c>
      <c r="K291" s="1164">
        <v>0</v>
      </c>
      <c r="L291" s="1165">
        <v>0</v>
      </c>
      <c r="M291" s="1166">
        <v>0</v>
      </c>
      <c r="N291" s="1166">
        <v>0</v>
      </c>
      <c r="O291" s="1167">
        <v>0</v>
      </c>
      <c r="P291" s="1167">
        <v>0</v>
      </c>
      <c r="Q291" s="1167">
        <v>0</v>
      </c>
      <c r="R291" s="1167">
        <v>0</v>
      </c>
      <c r="S291" s="1167">
        <v>0</v>
      </c>
      <c r="T291" s="1167">
        <v>0</v>
      </c>
      <c r="U291" s="1167">
        <v>0</v>
      </c>
      <c r="V291" s="1167">
        <v>0</v>
      </c>
      <c r="W291" s="1167">
        <v>0</v>
      </c>
      <c r="X291" s="1167">
        <v>0</v>
      </c>
      <c r="Y291" s="1167">
        <v>0</v>
      </c>
      <c r="Z291" s="1167">
        <v>0</v>
      </c>
      <c r="AA291" s="1167">
        <v>0</v>
      </c>
      <c r="AB291" s="1167">
        <v>0</v>
      </c>
      <c r="AC291" s="1167">
        <v>0</v>
      </c>
      <c r="AD291" s="1166">
        <v>0</v>
      </c>
      <c r="AE291" s="1166">
        <v>0</v>
      </c>
      <c r="AF291" s="1166">
        <v>0</v>
      </c>
      <c r="AG291" s="1166">
        <v>0</v>
      </c>
      <c r="AH291" s="1166">
        <v>0</v>
      </c>
      <c r="AI291" s="1166">
        <v>0</v>
      </c>
      <c r="AJ291" s="1166">
        <v>0</v>
      </c>
      <c r="AK291" s="1166">
        <v>0</v>
      </c>
      <c r="AL291" s="1166">
        <v>0</v>
      </c>
      <c r="AM291" s="1166">
        <v>0</v>
      </c>
      <c r="AN291" s="1166">
        <v>0</v>
      </c>
      <c r="AO291" s="1166">
        <v>0</v>
      </c>
      <c r="AP291" s="1166">
        <v>0</v>
      </c>
      <c r="AQ291" s="1166">
        <v>0</v>
      </c>
      <c r="AR291" s="1166">
        <v>0</v>
      </c>
      <c r="AS291" s="1166">
        <v>0</v>
      </c>
      <c r="AT291" s="1166">
        <v>0</v>
      </c>
      <c r="AU291" s="1166">
        <v>0</v>
      </c>
      <c r="AV291" s="1166">
        <v>0</v>
      </c>
      <c r="AW291" s="1166">
        <v>0</v>
      </c>
      <c r="AX291" s="1166">
        <v>0</v>
      </c>
      <c r="AY291" s="1166">
        <v>0</v>
      </c>
      <c r="AZ291" s="1166">
        <v>0</v>
      </c>
      <c r="BA291" s="1166">
        <v>0</v>
      </c>
      <c r="BB291" s="1166">
        <v>0</v>
      </c>
      <c r="BC291" s="1166">
        <v>0</v>
      </c>
      <c r="BD291" s="1166">
        <v>0</v>
      </c>
      <c r="BE291" s="1166">
        <v>0</v>
      </c>
      <c r="BF291" s="1166">
        <v>0</v>
      </c>
      <c r="BG291" s="1166">
        <v>0</v>
      </c>
      <c r="BH291" s="1166">
        <v>0</v>
      </c>
      <c r="BI291" s="1166">
        <v>0</v>
      </c>
      <c r="BJ291" s="1166">
        <v>0</v>
      </c>
      <c r="BK291" s="1120"/>
      <c r="BL291" s="1120"/>
    </row>
    <row r="292" spans="1:64" s="401" customFormat="1" x14ac:dyDescent="0.3">
      <c r="A292" s="1152">
        <v>633</v>
      </c>
      <c r="B292" s="1222"/>
      <c r="C292" s="1152">
        <v>633</v>
      </c>
      <c r="D292" s="1152" t="s">
        <v>459</v>
      </c>
      <c r="E292" s="1152"/>
      <c r="F292" s="1163">
        <v>0</v>
      </c>
      <c r="G292" s="1164">
        <v>0</v>
      </c>
      <c r="H292" s="1164">
        <v>0</v>
      </c>
      <c r="I292" s="1164">
        <v>0</v>
      </c>
      <c r="J292" s="1164">
        <v>0</v>
      </c>
      <c r="K292" s="1164">
        <v>0</v>
      </c>
      <c r="L292" s="1165">
        <v>0</v>
      </c>
      <c r="M292" s="1166">
        <v>0</v>
      </c>
      <c r="N292" s="1166">
        <v>0</v>
      </c>
      <c r="O292" s="1167">
        <v>0</v>
      </c>
      <c r="P292" s="1167">
        <v>0</v>
      </c>
      <c r="Q292" s="1167">
        <v>0</v>
      </c>
      <c r="R292" s="1167">
        <v>0</v>
      </c>
      <c r="S292" s="1167">
        <v>0</v>
      </c>
      <c r="T292" s="1167">
        <v>0</v>
      </c>
      <c r="U292" s="1167">
        <v>0</v>
      </c>
      <c r="V292" s="1167">
        <v>0</v>
      </c>
      <c r="W292" s="1167">
        <v>0</v>
      </c>
      <c r="X292" s="1167">
        <v>0</v>
      </c>
      <c r="Y292" s="1167">
        <v>0</v>
      </c>
      <c r="Z292" s="1167">
        <v>0</v>
      </c>
      <c r="AA292" s="1167">
        <v>0</v>
      </c>
      <c r="AB292" s="1167">
        <v>0</v>
      </c>
      <c r="AC292" s="1167">
        <v>0</v>
      </c>
      <c r="AD292" s="1166">
        <v>0</v>
      </c>
      <c r="AE292" s="1166">
        <v>0</v>
      </c>
      <c r="AF292" s="1166">
        <v>0</v>
      </c>
      <c r="AG292" s="1166">
        <v>0</v>
      </c>
      <c r="AH292" s="1166">
        <v>0</v>
      </c>
      <c r="AI292" s="1166">
        <v>0</v>
      </c>
      <c r="AJ292" s="1166">
        <v>0</v>
      </c>
      <c r="AK292" s="1166">
        <v>0</v>
      </c>
      <c r="AL292" s="1166">
        <v>0</v>
      </c>
      <c r="AM292" s="1166">
        <v>0</v>
      </c>
      <c r="AN292" s="1166">
        <v>0</v>
      </c>
      <c r="AO292" s="1166">
        <v>0</v>
      </c>
      <c r="AP292" s="1166">
        <v>0</v>
      </c>
      <c r="AQ292" s="1166">
        <v>0</v>
      </c>
      <c r="AR292" s="1166">
        <v>0</v>
      </c>
      <c r="AS292" s="1166">
        <v>0</v>
      </c>
      <c r="AT292" s="1166">
        <v>0</v>
      </c>
      <c r="AU292" s="1166">
        <v>0</v>
      </c>
      <c r="AV292" s="1166">
        <v>0</v>
      </c>
      <c r="AW292" s="1166">
        <v>0</v>
      </c>
      <c r="AX292" s="1166">
        <v>0</v>
      </c>
      <c r="AY292" s="1166">
        <v>0</v>
      </c>
      <c r="AZ292" s="1166">
        <v>0</v>
      </c>
      <c r="BA292" s="1166">
        <v>0</v>
      </c>
      <c r="BB292" s="1166">
        <v>0</v>
      </c>
      <c r="BC292" s="1166">
        <v>0</v>
      </c>
      <c r="BD292" s="1166">
        <v>0</v>
      </c>
      <c r="BE292" s="1166">
        <v>0</v>
      </c>
      <c r="BF292" s="1166">
        <v>0</v>
      </c>
      <c r="BG292" s="1166">
        <v>0</v>
      </c>
      <c r="BH292" s="1166">
        <v>0</v>
      </c>
      <c r="BI292" s="1166">
        <v>0</v>
      </c>
      <c r="BJ292" s="1166">
        <v>0</v>
      </c>
      <c r="BK292" s="1120"/>
      <c r="BL292" s="1120"/>
    </row>
    <row r="293" spans="1:64" s="401" customFormat="1" x14ac:dyDescent="0.3">
      <c r="A293" s="1152">
        <v>634</v>
      </c>
      <c r="B293" s="1222"/>
      <c r="C293" s="1152">
        <v>634</v>
      </c>
      <c r="D293" s="1152" t="s">
        <v>460</v>
      </c>
      <c r="E293" s="1152"/>
      <c r="F293" s="1163">
        <v>0</v>
      </c>
      <c r="G293" s="1164">
        <v>0</v>
      </c>
      <c r="H293" s="1164">
        <v>0</v>
      </c>
      <c r="I293" s="1164">
        <v>0</v>
      </c>
      <c r="J293" s="1164">
        <v>0</v>
      </c>
      <c r="K293" s="1164">
        <v>0</v>
      </c>
      <c r="L293" s="1165">
        <v>0</v>
      </c>
      <c r="M293" s="1166">
        <v>0</v>
      </c>
      <c r="N293" s="1166">
        <v>0</v>
      </c>
      <c r="O293" s="1167">
        <v>0</v>
      </c>
      <c r="P293" s="1167">
        <v>0</v>
      </c>
      <c r="Q293" s="1167">
        <v>0</v>
      </c>
      <c r="R293" s="1167">
        <v>0</v>
      </c>
      <c r="S293" s="1167">
        <v>0</v>
      </c>
      <c r="T293" s="1167">
        <v>0</v>
      </c>
      <c r="U293" s="1167">
        <v>0</v>
      </c>
      <c r="V293" s="1167">
        <v>0</v>
      </c>
      <c r="W293" s="1167">
        <v>0</v>
      </c>
      <c r="X293" s="1167">
        <v>0</v>
      </c>
      <c r="Y293" s="1167">
        <v>0</v>
      </c>
      <c r="Z293" s="1167">
        <v>0</v>
      </c>
      <c r="AA293" s="1167">
        <v>0</v>
      </c>
      <c r="AB293" s="1167">
        <v>0</v>
      </c>
      <c r="AC293" s="1167">
        <v>0</v>
      </c>
      <c r="AD293" s="1166">
        <v>0</v>
      </c>
      <c r="AE293" s="1166">
        <v>0</v>
      </c>
      <c r="AF293" s="1166">
        <v>0</v>
      </c>
      <c r="AG293" s="1166">
        <v>0</v>
      </c>
      <c r="AH293" s="1166">
        <v>0</v>
      </c>
      <c r="AI293" s="1166">
        <v>0</v>
      </c>
      <c r="AJ293" s="1166">
        <v>0</v>
      </c>
      <c r="AK293" s="1166">
        <v>0</v>
      </c>
      <c r="AL293" s="1166">
        <v>0</v>
      </c>
      <c r="AM293" s="1166">
        <v>0</v>
      </c>
      <c r="AN293" s="1166">
        <v>0</v>
      </c>
      <c r="AO293" s="1166">
        <v>0</v>
      </c>
      <c r="AP293" s="1166">
        <v>0</v>
      </c>
      <c r="AQ293" s="1166">
        <v>0</v>
      </c>
      <c r="AR293" s="1166">
        <v>0</v>
      </c>
      <c r="AS293" s="1166">
        <v>0</v>
      </c>
      <c r="AT293" s="1166">
        <v>0</v>
      </c>
      <c r="AU293" s="1166">
        <v>0</v>
      </c>
      <c r="AV293" s="1166">
        <v>0</v>
      </c>
      <c r="AW293" s="1166">
        <v>0</v>
      </c>
      <c r="AX293" s="1166">
        <v>0</v>
      </c>
      <c r="AY293" s="1166">
        <v>0</v>
      </c>
      <c r="AZ293" s="1166">
        <v>0</v>
      </c>
      <c r="BA293" s="1166">
        <v>0</v>
      </c>
      <c r="BB293" s="1166">
        <v>0</v>
      </c>
      <c r="BC293" s="1166">
        <v>0</v>
      </c>
      <c r="BD293" s="1166">
        <v>0</v>
      </c>
      <c r="BE293" s="1166">
        <v>0</v>
      </c>
      <c r="BF293" s="1166">
        <v>0</v>
      </c>
      <c r="BG293" s="1166">
        <v>0</v>
      </c>
      <c r="BH293" s="1166">
        <v>0</v>
      </c>
      <c r="BI293" s="1166">
        <v>0</v>
      </c>
      <c r="BJ293" s="1166">
        <v>0</v>
      </c>
      <c r="BK293" s="1120"/>
      <c r="BL293" s="1120"/>
    </row>
    <row r="294" spans="1:64" s="401" customFormat="1" x14ac:dyDescent="0.3">
      <c r="A294" s="1152">
        <v>635</v>
      </c>
      <c r="B294" s="1222"/>
      <c r="C294" s="1152">
        <v>635</v>
      </c>
      <c r="D294" s="1152" t="s">
        <v>461</v>
      </c>
      <c r="E294" s="1152"/>
      <c r="F294" s="1163">
        <v>0</v>
      </c>
      <c r="G294" s="1164">
        <v>0</v>
      </c>
      <c r="H294" s="1164">
        <v>0</v>
      </c>
      <c r="I294" s="1164">
        <v>0</v>
      </c>
      <c r="J294" s="1164">
        <v>0</v>
      </c>
      <c r="K294" s="1164">
        <v>0</v>
      </c>
      <c r="L294" s="1165">
        <v>0</v>
      </c>
      <c r="M294" s="1166">
        <v>0</v>
      </c>
      <c r="N294" s="1166">
        <v>0</v>
      </c>
      <c r="O294" s="1167">
        <v>0</v>
      </c>
      <c r="P294" s="1167">
        <v>0</v>
      </c>
      <c r="Q294" s="1167">
        <v>0</v>
      </c>
      <c r="R294" s="1167">
        <v>0</v>
      </c>
      <c r="S294" s="1167">
        <v>0</v>
      </c>
      <c r="T294" s="1167">
        <v>0</v>
      </c>
      <c r="U294" s="1167">
        <v>0</v>
      </c>
      <c r="V294" s="1167">
        <v>0</v>
      </c>
      <c r="W294" s="1167">
        <v>0</v>
      </c>
      <c r="X294" s="1167">
        <v>0</v>
      </c>
      <c r="Y294" s="1167">
        <v>0</v>
      </c>
      <c r="Z294" s="1167">
        <v>0</v>
      </c>
      <c r="AA294" s="1167">
        <v>0</v>
      </c>
      <c r="AB294" s="1167">
        <v>0</v>
      </c>
      <c r="AC294" s="1167">
        <v>0</v>
      </c>
      <c r="AD294" s="1166">
        <v>0</v>
      </c>
      <c r="AE294" s="1166">
        <v>0</v>
      </c>
      <c r="AF294" s="1166">
        <v>0</v>
      </c>
      <c r="AG294" s="1166">
        <v>0</v>
      </c>
      <c r="AH294" s="1166">
        <v>0</v>
      </c>
      <c r="AI294" s="1166">
        <v>0</v>
      </c>
      <c r="AJ294" s="1166">
        <v>0</v>
      </c>
      <c r="AK294" s="1166">
        <v>0</v>
      </c>
      <c r="AL294" s="1166">
        <v>0</v>
      </c>
      <c r="AM294" s="1166">
        <v>0</v>
      </c>
      <c r="AN294" s="1166">
        <v>0</v>
      </c>
      <c r="AO294" s="1166">
        <v>0</v>
      </c>
      <c r="AP294" s="1166">
        <v>0</v>
      </c>
      <c r="AQ294" s="1166">
        <v>0</v>
      </c>
      <c r="AR294" s="1166">
        <v>0</v>
      </c>
      <c r="AS294" s="1166">
        <v>0</v>
      </c>
      <c r="AT294" s="1166">
        <v>0</v>
      </c>
      <c r="AU294" s="1166">
        <v>0</v>
      </c>
      <c r="AV294" s="1166">
        <v>0</v>
      </c>
      <c r="AW294" s="1166">
        <v>0</v>
      </c>
      <c r="AX294" s="1166">
        <v>0</v>
      </c>
      <c r="AY294" s="1166">
        <v>0</v>
      </c>
      <c r="AZ294" s="1166">
        <v>0</v>
      </c>
      <c r="BA294" s="1166">
        <v>0</v>
      </c>
      <c r="BB294" s="1166">
        <v>0</v>
      </c>
      <c r="BC294" s="1166">
        <v>0</v>
      </c>
      <c r="BD294" s="1166">
        <v>0</v>
      </c>
      <c r="BE294" s="1166">
        <v>0</v>
      </c>
      <c r="BF294" s="1166">
        <v>0</v>
      </c>
      <c r="BG294" s="1166">
        <v>0</v>
      </c>
      <c r="BH294" s="1166">
        <v>0</v>
      </c>
      <c r="BI294" s="1166">
        <v>0</v>
      </c>
      <c r="BJ294" s="1166">
        <v>0</v>
      </c>
      <c r="BK294" s="1120"/>
      <c r="BL294" s="1120"/>
    </row>
    <row r="295" spans="1:64" s="401" customFormat="1" x14ac:dyDescent="0.3">
      <c r="A295" s="1152">
        <v>636</v>
      </c>
      <c r="B295" s="1222"/>
      <c r="C295" s="1152">
        <v>636</v>
      </c>
      <c r="D295" s="1152" t="s">
        <v>456</v>
      </c>
      <c r="E295" s="1152"/>
      <c r="F295" s="1163">
        <v>0</v>
      </c>
      <c r="G295" s="1164">
        <v>0</v>
      </c>
      <c r="H295" s="1164">
        <v>0</v>
      </c>
      <c r="I295" s="1164">
        <v>0</v>
      </c>
      <c r="J295" s="1164">
        <v>0</v>
      </c>
      <c r="K295" s="1164">
        <v>0</v>
      </c>
      <c r="L295" s="1165">
        <v>0</v>
      </c>
      <c r="M295" s="1166">
        <v>0</v>
      </c>
      <c r="N295" s="1166">
        <v>0</v>
      </c>
      <c r="O295" s="1167">
        <v>0</v>
      </c>
      <c r="P295" s="1167">
        <v>0</v>
      </c>
      <c r="Q295" s="1167">
        <v>0</v>
      </c>
      <c r="R295" s="1167">
        <v>0</v>
      </c>
      <c r="S295" s="1167">
        <v>0</v>
      </c>
      <c r="T295" s="1167">
        <v>0</v>
      </c>
      <c r="U295" s="1167">
        <v>0</v>
      </c>
      <c r="V295" s="1167">
        <v>0</v>
      </c>
      <c r="W295" s="1167">
        <v>0</v>
      </c>
      <c r="X295" s="1167">
        <v>0</v>
      </c>
      <c r="Y295" s="1167">
        <v>0</v>
      </c>
      <c r="Z295" s="1167">
        <v>0</v>
      </c>
      <c r="AA295" s="1167">
        <v>0</v>
      </c>
      <c r="AB295" s="1167">
        <v>0</v>
      </c>
      <c r="AC295" s="1167">
        <v>0</v>
      </c>
      <c r="AD295" s="1166">
        <v>0</v>
      </c>
      <c r="AE295" s="1166">
        <v>0</v>
      </c>
      <c r="AF295" s="1166">
        <v>0</v>
      </c>
      <c r="AG295" s="1166">
        <v>0</v>
      </c>
      <c r="AH295" s="1166">
        <v>0</v>
      </c>
      <c r="AI295" s="1166">
        <v>0</v>
      </c>
      <c r="AJ295" s="1166">
        <v>0</v>
      </c>
      <c r="AK295" s="1166">
        <v>0</v>
      </c>
      <c r="AL295" s="1166">
        <v>0</v>
      </c>
      <c r="AM295" s="1166">
        <v>0</v>
      </c>
      <c r="AN295" s="1166">
        <v>0</v>
      </c>
      <c r="AO295" s="1166">
        <v>0</v>
      </c>
      <c r="AP295" s="1166">
        <v>0</v>
      </c>
      <c r="AQ295" s="1166">
        <v>0</v>
      </c>
      <c r="AR295" s="1166">
        <v>0</v>
      </c>
      <c r="AS295" s="1166">
        <v>0</v>
      </c>
      <c r="AT295" s="1166">
        <v>0</v>
      </c>
      <c r="AU295" s="1166">
        <v>0</v>
      </c>
      <c r="AV295" s="1166">
        <v>0</v>
      </c>
      <c r="AW295" s="1166">
        <v>0</v>
      </c>
      <c r="AX295" s="1166">
        <v>0</v>
      </c>
      <c r="AY295" s="1166">
        <v>0</v>
      </c>
      <c r="AZ295" s="1166">
        <v>0</v>
      </c>
      <c r="BA295" s="1166">
        <v>0</v>
      </c>
      <c r="BB295" s="1166">
        <v>0</v>
      </c>
      <c r="BC295" s="1166">
        <v>0</v>
      </c>
      <c r="BD295" s="1166">
        <v>0</v>
      </c>
      <c r="BE295" s="1166">
        <v>0</v>
      </c>
      <c r="BF295" s="1166">
        <v>0</v>
      </c>
      <c r="BG295" s="1166">
        <v>0</v>
      </c>
      <c r="BH295" s="1166">
        <v>0</v>
      </c>
      <c r="BI295" s="1166">
        <v>0</v>
      </c>
      <c r="BJ295" s="1166">
        <v>0</v>
      </c>
      <c r="BK295" s="1120"/>
      <c r="BL295" s="1120"/>
    </row>
    <row r="296" spans="1:64" s="401" customFormat="1" x14ac:dyDescent="0.3">
      <c r="A296" s="1152">
        <v>637</v>
      </c>
      <c r="B296" s="1222"/>
      <c r="C296" s="1152">
        <v>637</v>
      </c>
      <c r="D296" s="1152" t="s">
        <v>457</v>
      </c>
      <c r="E296" s="1152"/>
      <c r="F296" s="1163">
        <v>0</v>
      </c>
      <c r="G296" s="1164">
        <v>0</v>
      </c>
      <c r="H296" s="1164">
        <v>0</v>
      </c>
      <c r="I296" s="1164">
        <v>0</v>
      </c>
      <c r="J296" s="1164">
        <v>0</v>
      </c>
      <c r="K296" s="1164">
        <v>0</v>
      </c>
      <c r="L296" s="1165">
        <v>0</v>
      </c>
      <c r="M296" s="1166">
        <v>0</v>
      </c>
      <c r="N296" s="1166">
        <v>0</v>
      </c>
      <c r="O296" s="1167">
        <v>0</v>
      </c>
      <c r="P296" s="1167">
        <v>0</v>
      </c>
      <c r="Q296" s="1167">
        <v>0</v>
      </c>
      <c r="R296" s="1167">
        <v>0</v>
      </c>
      <c r="S296" s="1167">
        <v>0</v>
      </c>
      <c r="T296" s="1167">
        <v>0</v>
      </c>
      <c r="U296" s="1167">
        <v>0</v>
      </c>
      <c r="V296" s="1167">
        <v>0</v>
      </c>
      <c r="W296" s="1167">
        <v>0</v>
      </c>
      <c r="X296" s="1167">
        <v>0</v>
      </c>
      <c r="Y296" s="1167">
        <v>0</v>
      </c>
      <c r="Z296" s="1167">
        <v>0</v>
      </c>
      <c r="AA296" s="1167">
        <v>0</v>
      </c>
      <c r="AB296" s="1167">
        <v>0</v>
      </c>
      <c r="AC296" s="1167">
        <v>0</v>
      </c>
      <c r="AD296" s="1166">
        <v>0</v>
      </c>
      <c r="AE296" s="1166">
        <v>0</v>
      </c>
      <c r="AF296" s="1166">
        <v>0</v>
      </c>
      <c r="AG296" s="1166">
        <v>0</v>
      </c>
      <c r="AH296" s="1166">
        <v>0</v>
      </c>
      <c r="AI296" s="1166">
        <v>0</v>
      </c>
      <c r="AJ296" s="1166">
        <v>0</v>
      </c>
      <c r="AK296" s="1166">
        <v>0</v>
      </c>
      <c r="AL296" s="1166">
        <v>0</v>
      </c>
      <c r="AM296" s="1166">
        <v>0</v>
      </c>
      <c r="AN296" s="1166">
        <v>0</v>
      </c>
      <c r="AO296" s="1166">
        <v>0</v>
      </c>
      <c r="AP296" s="1166">
        <v>0</v>
      </c>
      <c r="AQ296" s="1166">
        <v>0</v>
      </c>
      <c r="AR296" s="1166">
        <v>0</v>
      </c>
      <c r="AS296" s="1166">
        <v>0</v>
      </c>
      <c r="AT296" s="1166">
        <v>0</v>
      </c>
      <c r="AU296" s="1166">
        <v>0</v>
      </c>
      <c r="AV296" s="1166">
        <v>0</v>
      </c>
      <c r="AW296" s="1166">
        <v>0</v>
      </c>
      <c r="AX296" s="1166">
        <v>0</v>
      </c>
      <c r="AY296" s="1166">
        <v>0</v>
      </c>
      <c r="AZ296" s="1166">
        <v>0</v>
      </c>
      <c r="BA296" s="1166">
        <v>0</v>
      </c>
      <c r="BB296" s="1166">
        <v>0</v>
      </c>
      <c r="BC296" s="1166">
        <v>0</v>
      </c>
      <c r="BD296" s="1166">
        <v>0</v>
      </c>
      <c r="BE296" s="1166">
        <v>0</v>
      </c>
      <c r="BF296" s="1166">
        <v>0</v>
      </c>
      <c r="BG296" s="1166">
        <v>0</v>
      </c>
      <c r="BH296" s="1166">
        <v>0</v>
      </c>
      <c r="BI296" s="1166">
        <v>0</v>
      </c>
      <c r="BJ296" s="1166">
        <v>0</v>
      </c>
      <c r="BK296" s="1120"/>
      <c r="BL296" s="1120"/>
    </row>
    <row r="297" spans="1:64" s="401" customFormat="1" x14ac:dyDescent="0.3">
      <c r="A297" s="1152">
        <v>638</v>
      </c>
      <c r="B297" s="1222"/>
      <c r="C297" s="1152">
        <v>638</v>
      </c>
      <c r="D297" s="1152" t="s">
        <v>462</v>
      </c>
      <c r="E297" s="1152"/>
      <c r="F297" s="1163">
        <v>0</v>
      </c>
      <c r="G297" s="1164">
        <v>0</v>
      </c>
      <c r="H297" s="1164">
        <v>0</v>
      </c>
      <c r="I297" s="1164">
        <v>0</v>
      </c>
      <c r="J297" s="1164">
        <v>0</v>
      </c>
      <c r="K297" s="1164">
        <v>0</v>
      </c>
      <c r="L297" s="1165">
        <v>0</v>
      </c>
      <c r="M297" s="1166">
        <v>0</v>
      </c>
      <c r="N297" s="1166">
        <v>0</v>
      </c>
      <c r="O297" s="1167">
        <v>0</v>
      </c>
      <c r="P297" s="1167">
        <v>0</v>
      </c>
      <c r="Q297" s="1167">
        <v>0</v>
      </c>
      <c r="R297" s="1167">
        <v>0</v>
      </c>
      <c r="S297" s="1167">
        <v>0</v>
      </c>
      <c r="T297" s="1167">
        <v>0</v>
      </c>
      <c r="U297" s="1167">
        <v>0</v>
      </c>
      <c r="V297" s="1167">
        <v>0</v>
      </c>
      <c r="W297" s="1167">
        <v>0</v>
      </c>
      <c r="X297" s="1167">
        <v>0</v>
      </c>
      <c r="Y297" s="1167">
        <v>0</v>
      </c>
      <c r="Z297" s="1167">
        <v>0</v>
      </c>
      <c r="AA297" s="1167">
        <v>0</v>
      </c>
      <c r="AB297" s="1167">
        <v>0</v>
      </c>
      <c r="AC297" s="1167">
        <v>0</v>
      </c>
      <c r="AD297" s="1166">
        <v>0</v>
      </c>
      <c r="AE297" s="1166">
        <v>0</v>
      </c>
      <c r="AF297" s="1166">
        <v>0</v>
      </c>
      <c r="AG297" s="1166">
        <v>0</v>
      </c>
      <c r="AH297" s="1166">
        <v>0</v>
      </c>
      <c r="AI297" s="1166">
        <v>0</v>
      </c>
      <c r="AJ297" s="1166">
        <v>0</v>
      </c>
      <c r="AK297" s="1166">
        <v>0</v>
      </c>
      <c r="AL297" s="1166">
        <v>0</v>
      </c>
      <c r="AM297" s="1166">
        <v>0</v>
      </c>
      <c r="AN297" s="1166">
        <v>0</v>
      </c>
      <c r="AO297" s="1166">
        <v>0</v>
      </c>
      <c r="AP297" s="1166">
        <v>0</v>
      </c>
      <c r="AQ297" s="1166">
        <v>0</v>
      </c>
      <c r="AR297" s="1166">
        <v>0</v>
      </c>
      <c r="AS297" s="1166">
        <v>0</v>
      </c>
      <c r="AT297" s="1166">
        <v>0</v>
      </c>
      <c r="AU297" s="1166">
        <v>0</v>
      </c>
      <c r="AV297" s="1166">
        <v>0</v>
      </c>
      <c r="AW297" s="1166">
        <v>0</v>
      </c>
      <c r="AX297" s="1166">
        <v>0</v>
      </c>
      <c r="AY297" s="1166">
        <v>0</v>
      </c>
      <c r="AZ297" s="1166">
        <v>0</v>
      </c>
      <c r="BA297" s="1166">
        <v>0</v>
      </c>
      <c r="BB297" s="1166">
        <v>0</v>
      </c>
      <c r="BC297" s="1166">
        <v>0</v>
      </c>
      <c r="BD297" s="1166">
        <v>0</v>
      </c>
      <c r="BE297" s="1166">
        <v>0</v>
      </c>
      <c r="BF297" s="1166">
        <v>0</v>
      </c>
      <c r="BG297" s="1166">
        <v>0</v>
      </c>
      <c r="BH297" s="1166">
        <v>0</v>
      </c>
      <c r="BI297" s="1166">
        <v>0</v>
      </c>
      <c r="BJ297" s="1166">
        <v>0</v>
      </c>
      <c r="BK297" s="1120"/>
      <c r="BL297" s="1120"/>
    </row>
    <row r="298" spans="1:64" s="401" customFormat="1" x14ac:dyDescent="0.3">
      <c r="A298" s="1152">
        <v>639</v>
      </c>
      <c r="B298" s="1222"/>
      <c r="C298" s="1152">
        <v>639</v>
      </c>
      <c r="D298" s="1152" t="s">
        <v>463</v>
      </c>
      <c r="E298" s="1152"/>
      <c r="F298" s="1163">
        <v>0</v>
      </c>
      <c r="G298" s="1164">
        <v>0</v>
      </c>
      <c r="H298" s="1164">
        <v>0</v>
      </c>
      <c r="I298" s="1164">
        <v>0</v>
      </c>
      <c r="J298" s="1164">
        <v>0</v>
      </c>
      <c r="K298" s="1164">
        <v>0</v>
      </c>
      <c r="L298" s="1165">
        <v>0</v>
      </c>
      <c r="M298" s="1166">
        <v>0</v>
      </c>
      <c r="N298" s="1166">
        <v>0</v>
      </c>
      <c r="O298" s="1167">
        <v>0</v>
      </c>
      <c r="P298" s="1167">
        <v>0</v>
      </c>
      <c r="Q298" s="1167">
        <v>0</v>
      </c>
      <c r="R298" s="1167">
        <v>0</v>
      </c>
      <c r="S298" s="1167">
        <v>0</v>
      </c>
      <c r="T298" s="1167">
        <v>0</v>
      </c>
      <c r="U298" s="1167">
        <v>0</v>
      </c>
      <c r="V298" s="1167">
        <v>0</v>
      </c>
      <c r="W298" s="1167">
        <v>0</v>
      </c>
      <c r="X298" s="1167">
        <v>0</v>
      </c>
      <c r="Y298" s="1167">
        <v>0</v>
      </c>
      <c r="Z298" s="1167">
        <v>0</v>
      </c>
      <c r="AA298" s="1167">
        <v>0</v>
      </c>
      <c r="AB298" s="1167">
        <v>0</v>
      </c>
      <c r="AC298" s="1167">
        <v>0</v>
      </c>
      <c r="AD298" s="1166">
        <v>0</v>
      </c>
      <c r="AE298" s="1166">
        <v>0</v>
      </c>
      <c r="AF298" s="1166">
        <v>0</v>
      </c>
      <c r="AG298" s="1166">
        <v>0</v>
      </c>
      <c r="AH298" s="1166">
        <v>0</v>
      </c>
      <c r="AI298" s="1166">
        <v>0</v>
      </c>
      <c r="AJ298" s="1166">
        <v>0</v>
      </c>
      <c r="AK298" s="1166">
        <v>0</v>
      </c>
      <c r="AL298" s="1166">
        <v>0</v>
      </c>
      <c r="AM298" s="1166">
        <v>0</v>
      </c>
      <c r="AN298" s="1166">
        <v>0</v>
      </c>
      <c r="AO298" s="1166">
        <v>0</v>
      </c>
      <c r="AP298" s="1166">
        <v>0</v>
      </c>
      <c r="AQ298" s="1166">
        <v>0</v>
      </c>
      <c r="AR298" s="1166">
        <v>0</v>
      </c>
      <c r="AS298" s="1166">
        <v>0</v>
      </c>
      <c r="AT298" s="1166">
        <v>0</v>
      </c>
      <c r="AU298" s="1166">
        <v>0</v>
      </c>
      <c r="AV298" s="1166">
        <v>0</v>
      </c>
      <c r="AW298" s="1166">
        <v>0</v>
      </c>
      <c r="AX298" s="1166">
        <v>0</v>
      </c>
      <c r="AY298" s="1166">
        <v>0</v>
      </c>
      <c r="AZ298" s="1166">
        <v>0</v>
      </c>
      <c r="BA298" s="1166">
        <v>0</v>
      </c>
      <c r="BB298" s="1166">
        <v>0</v>
      </c>
      <c r="BC298" s="1166">
        <v>0</v>
      </c>
      <c r="BD298" s="1166">
        <v>0</v>
      </c>
      <c r="BE298" s="1166">
        <v>0</v>
      </c>
      <c r="BF298" s="1166">
        <v>0</v>
      </c>
      <c r="BG298" s="1166">
        <v>0</v>
      </c>
      <c r="BH298" s="1166">
        <v>0</v>
      </c>
      <c r="BI298" s="1166">
        <v>0</v>
      </c>
      <c r="BJ298" s="1166">
        <v>0</v>
      </c>
      <c r="BK298" s="1120"/>
      <c r="BL298" s="1120"/>
    </row>
    <row r="299" spans="1:64" s="401" customFormat="1" x14ac:dyDescent="0.3">
      <c r="A299" s="1152">
        <v>640</v>
      </c>
      <c r="B299" s="1222"/>
      <c r="C299" s="1152">
        <v>640</v>
      </c>
      <c r="D299" s="1152" t="s">
        <v>464</v>
      </c>
      <c r="E299" s="1152"/>
      <c r="F299" s="1163">
        <v>0</v>
      </c>
      <c r="G299" s="1164">
        <v>0</v>
      </c>
      <c r="H299" s="1164">
        <v>0</v>
      </c>
      <c r="I299" s="1164">
        <v>0</v>
      </c>
      <c r="J299" s="1164">
        <v>0</v>
      </c>
      <c r="K299" s="1164">
        <v>0</v>
      </c>
      <c r="L299" s="1165">
        <v>0</v>
      </c>
      <c r="M299" s="1166">
        <v>0</v>
      </c>
      <c r="N299" s="1166">
        <v>0</v>
      </c>
      <c r="O299" s="1167">
        <v>0</v>
      </c>
      <c r="P299" s="1167">
        <v>0</v>
      </c>
      <c r="Q299" s="1167">
        <v>0</v>
      </c>
      <c r="R299" s="1167">
        <v>0</v>
      </c>
      <c r="S299" s="1167">
        <v>0</v>
      </c>
      <c r="T299" s="1167">
        <v>0</v>
      </c>
      <c r="U299" s="1167">
        <v>0</v>
      </c>
      <c r="V299" s="1167">
        <v>0</v>
      </c>
      <c r="W299" s="1167">
        <v>0</v>
      </c>
      <c r="X299" s="1167">
        <v>0</v>
      </c>
      <c r="Y299" s="1167">
        <v>0</v>
      </c>
      <c r="Z299" s="1167">
        <v>0</v>
      </c>
      <c r="AA299" s="1167">
        <v>0</v>
      </c>
      <c r="AB299" s="1167">
        <v>0</v>
      </c>
      <c r="AC299" s="1167">
        <v>0</v>
      </c>
      <c r="AD299" s="1166">
        <v>0</v>
      </c>
      <c r="AE299" s="1166">
        <v>0</v>
      </c>
      <c r="AF299" s="1166">
        <v>0</v>
      </c>
      <c r="AG299" s="1166">
        <v>0</v>
      </c>
      <c r="AH299" s="1166">
        <v>0</v>
      </c>
      <c r="AI299" s="1166">
        <v>0</v>
      </c>
      <c r="AJ299" s="1166">
        <v>0</v>
      </c>
      <c r="AK299" s="1166">
        <v>0</v>
      </c>
      <c r="AL299" s="1166">
        <v>0</v>
      </c>
      <c r="AM299" s="1166">
        <v>0</v>
      </c>
      <c r="AN299" s="1166">
        <v>0</v>
      </c>
      <c r="AO299" s="1166">
        <v>0</v>
      </c>
      <c r="AP299" s="1166">
        <v>0</v>
      </c>
      <c r="AQ299" s="1166">
        <v>0</v>
      </c>
      <c r="AR299" s="1166">
        <v>0</v>
      </c>
      <c r="AS299" s="1166">
        <v>0</v>
      </c>
      <c r="AT299" s="1166">
        <v>0</v>
      </c>
      <c r="AU299" s="1166">
        <v>0</v>
      </c>
      <c r="AV299" s="1166">
        <v>0</v>
      </c>
      <c r="AW299" s="1166">
        <v>0</v>
      </c>
      <c r="AX299" s="1166">
        <v>0</v>
      </c>
      <c r="AY299" s="1166">
        <v>0</v>
      </c>
      <c r="AZ299" s="1166">
        <v>0</v>
      </c>
      <c r="BA299" s="1166">
        <v>0</v>
      </c>
      <c r="BB299" s="1166">
        <v>0</v>
      </c>
      <c r="BC299" s="1166">
        <v>0</v>
      </c>
      <c r="BD299" s="1166">
        <v>0</v>
      </c>
      <c r="BE299" s="1166">
        <v>0</v>
      </c>
      <c r="BF299" s="1166">
        <v>0</v>
      </c>
      <c r="BG299" s="1166">
        <v>0</v>
      </c>
      <c r="BH299" s="1166">
        <v>0</v>
      </c>
      <c r="BI299" s="1166">
        <v>0</v>
      </c>
      <c r="BJ299" s="1166">
        <v>0</v>
      </c>
      <c r="BK299" s="1120"/>
      <c r="BL299" s="1120"/>
    </row>
    <row r="300" spans="1:64" s="401" customFormat="1" x14ac:dyDescent="0.3">
      <c r="A300" s="1152">
        <v>641</v>
      </c>
      <c r="B300" s="1222"/>
      <c r="C300" s="1152">
        <v>641</v>
      </c>
      <c r="D300" s="1152" t="s">
        <v>465</v>
      </c>
      <c r="E300" s="1152"/>
      <c r="F300" s="1163">
        <v>0</v>
      </c>
      <c r="G300" s="1164">
        <v>0</v>
      </c>
      <c r="H300" s="1164">
        <v>0</v>
      </c>
      <c r="I300" s="1164">
        <v>0</v>
      </c>
      <c r="J300" s="1164">
        <v>0</v>
      </c>
      <c r="K300" s="1164">
        <v>0</v>
      </c>
      <c r="L300" s="1165">
        <v>0</v>
      </c>
      <c r="M300" s="1166">
        <v>0</v>
      </c>
      <c r="N300" s="1166">
        <v>0</v>
      </c>
      <c r="O300" s="1167">
        <v>0</v>
      </c>
      <c r="P300" s="1167">
        <v>0</v>
      </c>
      <c r="Q300" s="1167">
        <v>0</v>
      </c>
      <c r="R300" s="1167">
        <v>0</v>
      </c>
      <c r="S300" s="1167">
        <v>0</v>
      </c>
      <c r="T300" s="1167">
        <v>0</v>
      </c>
      <c r="U300" s="1167">
        <v>0</v>
      </c>
      <c r="V300" s="1167">
        <v>0</v>
      </c>
      <c r="W300" s="1167">
        <v>0</v>
      </c>
      <c r="X300" s="1167">
        <v>0</v>
      </c>
      <c r="Y300" s="1167">
        <v>0</v>
      </c>
      <c r="Z300" s="1167">
        <v>0</v>
      </c>
      <c r="AA300" s="1167">
        <v>0</v>
      </c>
      <c r="AB300" s="1167">
        <v>0</v>
      </c>
      <c r="AC300" s="1167">
        <v>0</v>
      </c>
      <c r="AD300" s="1166">
        <v>0</v>
      </c>
      <c r="AE300" s="1166">
        <v>0</v>
      </c>
      <c r="AF300" s="1166">
        <v>0</v>
      </c>
      <c r="AG300" s="1166">
        <v>0</v>
      </c>
      <c r="AH300" s="1166">
        <v>0</v>
      </c>
      <c r="AI300" s="1166">
        <v>0</v>
      </c>
      <c r="AJ300" s="1166">
        <v>0</v>
      </c>
      <c r="AK300" s="1166">
        <v>0</v>
      </c>
      <c r="AL300" s="1166">
        <v>0</v>
      </c>
      <c r="AM300" s="1166">
        <v>0</v>
      </c>
      <c r="AN300" s="1166">
        <v>0</v>
      </c>
      <c r="AO300" s="1166">
        <v>0</v>
      </c>
      <c r="AP300" s="1166">
        <v>0</v>
      </c>
      <c r="AQ300" s="1166">
        <v>0</v>
      </c>
      <c r="AR300" s="1166">
        <v>0</v>
      </c>
      <c r="AS300" s="1166">
        <v>0</v>
      </c>
      <c r="AT300" s="1166">
        <v>0</v>
      </c>
      <c r="AU300" s="1166">
        <v>0</v>
      </c>
      <c r="AV300" s="1166">
        <v>0</v>
      </c>
      <c r="AW300" s="1166">
        <v>0</v>
      </c>
      <c r="AX300" s="1166">
        <v>0</v>
      </c>
      <c r="AY300" s="1166">
        <v>0</v>
      </c>
      <c r="AZ300" s="1166">
        <v>0</v>
      </c>
      <c r="BA300" s="1166">
        <v>0</v>
      </c>
      <c r="BB300" s="1166">
        <v>0</v>
      </c>
      <c r="BC300" s="1166">
        <v>0</v>
      </c>
      <c r="BD300" s="1166">
        <v>0</v>
      </c>
      <c r="BE300" s="1166">
        <v>0</v>
      </c>
      <c r="BF300" s="1166">
        <v>0</v>
      </c>
      <c r="BG300" s="1166">
        <v>0</v>
      </c>
      <c r="BH300" s="1166">
        <v>0</v>
      </c>
      <c r="BI300" s="1166">
        <v>0</v>
      </c>
      <c r="BJ300" s="1166">
        <v>0</v>
      </c>
      <c r="BK300" s="1120"/>
      <c r="BL300" s="1120"/>
    </row>
    <row r="301" spans="1:64" s="401" customFormat="1" x14ac:dyDescent="0.3">
      <c r="A301" s="1152">
        <v>642</v>
      </c>
      <c r="B301" s="1222"/>
      <c r="C301" s="1152">
        <v>642</v>
      </c>
      <c r="D301" s="1152" t="s">
        <v>466</v>
      </c>
      <c r="E301" s="1152"/>
      <c r="F301" s="1163">
        <v>0</v>
      </c>
      <c r="G301" s="1164">
        <v>0</v>
      </c>
      <c r="H301" s="1164">
        <v>0</v>
      </c>
      <c r="I301" s="1164">
        <v>0</v>
      </c>
      <c r="J301" s="1164">
        <v>0</v>
      </c>
      <c r="K301" s="1164">
        <v>0</v>
      </c>
      <c r="L301" s="1165">
        <v>0</v>
      </c>
      <c r="M301" s="1166">
        <v>0</v>
      </c>
      <c r="N301" s="1166">
        <v>0</v>
      </c>
      <c r="O301" s="1167">
        <v>0</v>
      </c>
      <c r="P301" s="1167">
        <v>0</v>
      </c>
      <c r="Q301" s="1167">
        <v>0</v>
      </c>
      <c r="R301" s="1167">
        <v>0</v>
      </c>
      <c r="S301" s="1167">
        <v>0</v>
      </c>
      <c r="T301" s="1167">
        <v>0</v>
      </c>
      <c r="U301" s="1167">
        <v>0</v>
      </c>
      <c r="V301" s="1167">
        <v>0</v>
      </c>
      <c r="W301" s="1167">
        <v>0</v>
      </c>
      <c r="X301" s="1167">
        <v>0</v>
      </c>
      <c r="Y301" s="1167">
        <v>0</v>
      </c>
      <c r="Z301" s="1167">
        <v>0</v>
      </c>
      <c r="AA301" s="1167">
        <v>0</v>
      </c>
      <c r="AB301" s="1167">
        <v>0</v>
      </c>
      <c r="AC301" s="1167">
        <v>0</v>
      </c>
      <c r="AD301" s="1166">
        <v>0</v>
      </c>
      <c r="AE301" s="1166">
        <v>0</v>
      </c>
      <c r="AF301" s="1166">
        <v>0</v>
      </c>
      <c r="AG301" s="1166">
        <v>0</v>
      </c>
      <c r="AH301" s="1166">
        <v>0</v>
      </c>
      <c r="AI301" s="1166">
        <v>0</v>
      </c>
      <c r="AJ301" s="1166">
        <v>0</v>
      </c>
      <c r="AK301" s="1166">
        <v>0</v>
      </c>
      <c r="AL301" s="1166">
        <v>0</v>
      </c>
      <c r="AM301" s="1166">
        <v>0</v>
      </c>
      <c r="AN301" s="1166">
        <v>0</v>
      </c>
      <c r="AO301" s="1166">
        <v>0</v>
      </c>
      <c r="AP301" s="1166">
        <v>0</v>
      </c>
      <c r="AQ301" s="1166">
        <v>0</v>
      </c>
      <c r="AR301" s="1166">
        <v>0</v>
      </c>
      <c r="AS301" s="1166">
        <v>0</v>
      </c>
      <c r="AT301" s="1166">
        <v>0</v>
      </c>
      <c r="AU301" s="1166">
        <v>0</v>
      </c>
      <c r="AV301" s="1166">
        <v>0</v>
      </c>
      <c r="AW301" s="1166">
        <v>0</v>
      </c>
      <c r="AX301" s="1166">
        <v>0</v>
      </c>
      <c r="AY301" s="1166">
        <v>0</v>
      </c>
      <c r="AZ301" s="1166">
        <v>0</v>
      </c>
      <c r="BA301" s="1166">
        <v>0</v>
      </c>
      <c r="BB301" s="1166">
        <v>0</v>
      </c>
      <c r="BC301" s="1166">
        <v>0</v>
      </c>
      <c r="BD301" s="1166">
        <v>0</v>
      </c>
      <c r="BE301" s="1166">
        <v>0</v>
      </c>
      <c r="BF301" s="1166">
        <v>0</v>
      </c>
      <c r="BG301" s="1166">
        <v>0</v>
      </c>
      <c r="BH301" s="1166">
        <v>0</v>
      </c>
      <c r="BI301" s="1166">
        <v>0</v>
      </c>
      <c r="BJ301" s="1166">
        <v>0</v>
      </c>
      <c r="BK301" s="1120"/>
      <c r="BL301" s="1120"/>
    </row>
    <row r="302" spans="1:64" s="401" customFormat="1" x14ac:dyDescent="0.3">
      <c r="A302" s="1152">
        <v>643</v>
      </c>
      <c r="B302" s="1222"/>
      <c r="C302" s="1152">
        <v>643</v>
      </c>
      <c r="D302" s="1152" t="s">
        <v>467</v>
      </c>
      <c r="E302" s="1152"/>
      <c r="F302" s="1163">
        <v>0</v>
      </c>
      <c r="G302" s="1164">
        <v>0</v>
      </c>
      <c r="H302" s="1164">
        <v>0</v>
      </c>
      <c r="I302" s="1164">
        <v>0</v>
      </c>
      <c r="J302" s="1164">
        <v>0</v>
      </c>
      <c r="K302" s="1164">
        <v>0</v>
      </c>
      <c r="L302" s="1165">
        <v>0</v>
      </c>
      <c r="M302" s="1166">
        <v>0</v>
      </c>
      <c r="N302" s="1166">
        <v>0</v>
      </c>
      <c r="O302" s="1167">
        <v>0</v>
      </c>
      <c r="P302" s="1167">
        <v>0</v>
      </c>
      <c r="Q302" s="1167">
        <v>0</v>
      </c>
      <c r="R302" s="1167">
        <v>0</v>
      </c>
      <c r="S302" s="1167">
        <v>0</v>
      </c>
      <c r="T302" s="1167">
        <v>0</v>
      </c>
      <c r="U302" s="1167">
        <v>0</v>
      </c>
      <c r="V302" s="1167">
        <v>0</v>
      </c>
      <c r="W302" s="1167">
        <v>0</v>
      </c>
      <c r="X302" s="1167">
        <v>0</v>
      </c>
      <c r="Y302" s="1167">
        <v>0</v>
      </c>
      <c r="Z302" s="1167">
        <v>0</v>
      </c>
      <c r="AA302" s="1167">
        <v>0</v>
      </c>
      <c r="AB302" s="1167">
        <v>0</v>
      </c>
      <c r="AC302" s="1167">
        <v>0</v>
      </c>
      <c r="AD302" s="1166">
        <v>0</v>
      </c>
      <c r="AE302" s="1166">
        <v>0</v>
      </c>
      <c r="AF302" s="1166">
        <v>0</v>
      </c>
      <c r="AG302" s="1166">
        <v>0</v>
      </c>
      <c r="AH302" s="1166">
        <v>0</v>
      </c>
      <c r="AI302" s="1166">
        <v>0</v>
      </c>
      <c r="AJ302" s="1166">
        <v>0</v>
      </c>
      <c r="AK302" s="1166">
        <v>0</v>
      </c>
      <c r="AL302" s="1166">
        <v>0</v>
      </c>
      <c r="AM302" s="1166">
        <v>0</v>
      </c>
      <c r="AN302" s="1166">
        <v>0</v>
      </c>
      <c r="AO302" s="1166">
        <v>0</v>
      </c>
      <c r="AP302" s="1166">
        <v>0</v>
      </c>
      <c r="AQ302" s="1166">
        <v>0</v>
      </c>
      <c r="AR302" s="1166">
        <v>0</v>
      </c>
      <c r="AS302" s="1166">
        <v>0</v>
      </c>
      <c r="AT302" s="1166">
        <v>0</v>
      </c>
      <c r="AU302" s="1166">
        <v>0</v>
      </c>
      <c r="AV302" s="1166">
        <v>0</v>
      </c>
      <c r="AW302" s="1166">
        <v>0</v>
      </c>
      <c r="AX302" s="1166">
        <v>0</v>
      </c>
      <c r="AY302" s="1166">
        <v>0</v>
      </c>
      <c r="AZ302" s="1166">
        <v>0</v>
      </c>
      <c r="BA302" s="1166">
        <v>0</v>
      </c>
      <c r="BB302" s="1166">
        <v>0</v>
      </c>
      <c r="BC302" s="1166">
        <v>0</v>
      </c>
      <c r="BD302" s="1166">
        <v>0</v>
      </c>
      <c r="BE302" s="1166">
        <v>0</v>
      </c>
      <c r="BF302" s="1166">
        <v>0</v>
      </c>
      <c r="BG302" s="1166">
        <v>0</v>
      </c>
      <c r="BH302" s="1166">
        <v>0</v>
      </c>
      <c r="BI302" s="1166">
        <v>0</v>
      </c>
      <c r="BJ302" s="1166">
        <v>0</v>
      </c>
      <c r="BK302" s="1120"/>
      <c r="BL302" s="1120"/>
    </row>
    <row r="303" spans="1:64" s="401" customFormat="1" x14ac:dyDescent="0.3">
      <c r="A303" s="1152">
        <v>644</v>
      </c>
      <c r="B303" s="1222"/>
      <c r="C303" s="1152">
        <v>644</v>
      </c>
      <c r="D303" s="1152" t="s">
        <v>468</v>
      </c>
      <c r="E303" s="1152"/>
      <c r="F303" s="1163">
        <v>0</v>
      </c>
      <c r="G303" s="1164">
        <v>0</v>
      </c>
      <c r="H303" s="1164">
        <v>0</v>
      </c>
      <c r="I303" s="1164">
        <v>0</v>
      </c>
      <c r="J303" s="1164">
        <v>0</v>
      </c>
      <c r="K303" s="1164">
        <v>0</v>
      </c>
      <c r="L303" s="1165">
        <v>0</v>
      </c>
      <c r="M303" s="1166">
        <v>0</v>
      </c>
      <c r="N303" s="1166">
        <v>0</v>
      </c>
      <c r="O303" s="1167">
        <v>0</v>
      </c>
      <c r="P303" s="1167">
        <v>0</v>
      </c>
      <c r="Q303" s="1167">
        <v>0</v>
      </c>
      <c r="R303" s="1167">
        <v>0</v>
      </c>
      <c r="S303" s="1167">
        <v>0</v>
      </c>
      <c r="T303" s="1167">
        <v>0</v>
      </c>
      <c r="U303" s="1167">
        <v>0</v>
      </c>
      <c r="V303" s="1167">
        <v>0</v>
      </c>
      <c r="W303" s="1167">
        <v>0</v>
      </c>
      <c r="X303" s="1167">
        <v>0</v>
      </c>
      <c r="Y303" s="1167">
        <v>0</v>
      </c>
      <c r="Z303" s="1167">
        <v>0</v>
      </c>
      <c r="AA303" s="1167">
        <v>0</v>
      </c>
      <c r="AB303" s="1167">
        <v>0</v>
      </c>
      <c r="AC303" s="1167">
        <v>0</v>
      </c>
      <c r="AD303" s="1166">
        <v>0</v>
      </c>
      <c r="AE303" s="1166">
        <v>0</v>
      </c>
      <c r="AF303" s="1166">
        <v>0</v>
      </c>
      <c r="AG303" s="1166">
        <v>0</v>
      </c>
      <c r="AH303" s="1166">
        <v>0</v>
      </c>
      <c r="AI303" s="1166">
        <v>0</v>
      </c>
      <c r="AJ303" s="1166">
        <v>0</v>
      </c>
      <c r="AK303" s="1166">
        <v>0</v>
      </c>
      <c r="AL303" s="1166">
        <v>0</v>
      </c>
      <c r="AM303" s="1166">
        <v>0</v>
      </c>
      <c r="AN303" s="1166">
        <v>0</v>
      </c>
      <c r="AO303" s="1166">
        <v>0</v>
      </c>
      <c r="AP303" s="1166">
        <v>0</v>
      </c>
      <c r="AQ303" s="1166">
        <v>0</v>
      </c>
      <c r="AR303" s="1166">
        <v>0</v>
      </c>
      <c r="AS303" s="1166">
        <v>0</v>
      </c>
      <c r="AT303" s="1166">
        <v>0</v>
      </c>
      <c r="AU303" s="1166">
        <v>0</v>
      </c>
      <c r="AV303" s="1166">
        <v>0</v>
      </c>
      <c r="AW303" s="1166">
        <v>0</v>
      </c>
      <c r="AX303" s="1166">
        <v>0</v>
      </c>
      <c r="AY303" s="1166">
        <v>0</v>
      </c>
      <c r="AZ303" s="1166">
        <v>0</v>
      </c>
      <c r="BA303" s="1166">
        <v>0</v>
      </c>
      <c r="BB303" s="1166">
        <v>0</v>
      </c>
      <c r="BC303" s="1166">
        <v>0</v>
      </c>
      <c r="BD303" s="1166">
        <v>0</v>
      </c>
      <c r="BE303" s="1166">
        <v>0</v>
      </c>
      <c r="BF303" s="1166">
        <v>0</v>
      </c>
      <c r="BG303" s="1166">
        <v>0</v>
      </c>
      <c r="BH303" s="1166">
        <v>0</v>
      </c>
      <c r="BI303" s="1166">
        <v>0</v>
      </c>
      <c r="BJ303" s="1166">
        <v>0</v>
      </c>
      <c r="BK303" s="1120"/>
      <c r="BL303" s="1120"/>
    </row>
    <row r="304" spans="1:64" s="401" customFormat="1" x14ac:dyDescent="0.3">
      <c r="A304" s="1152">
        <v>645</v>
      </c>
      <c r="B304" s="1222">
        <v>645</v>
      </c>
      <c r="C304" s="1152">
        <v>645</v>
      </c>
      <c r="D304" s="1152" t="s">
        <v>469</v>
      </c>
      <c r="E304" s="1152"/>
      <c r="F304" s="1163">
        <v>0</v>
      </c>
      <c r="G304" s="1164">
        <v>0</v>
      </c>
      <c r="H304" s="1164">
        <v>970000</v>
      </c>
      <c r="I304" s="1164">
        <v>0</v>
      </c>
      <c r="J304" s="1164">
        <v>0</v>
      </c>
      <c r="K304" s="1164">
        <v>339842</v>
      </c>
      <c r="L304" s="1165">
        <v>165550</v>
      </c>
      <c r="M304" s="1166">
        <v>558935</v>
      </c>
      <c r="N304" s="1166">
        <v>478000</v>
      </c>
      <c r="O304" s="1167">
        <v>95915</v>
      </c>
      <c r="P304" s="1167">
        <v>983016</v>
      </c>
      <c r="Q304" s="1167">
        <v>175000</v>
      </c>
      <c r="R304" s="1167">
        <v>0</v>
      </c>
      <c r="S304" s="1167">
        <v>321001</v>
      </c>
      <c r="T304" s="1167">
        <v>0</v>
      </c>
      <c r="U304" s="1167">
        <v>92929</v>
      </c>
      <c r="V304" s="1167">
        <v>7121273</v>
      </c>
      <c r="W304" s="1167">
        <v>1576785</v>
      </c>
      <c r="X304" s="1167">
        <v>0</v>
      </c>
      <c r="Y304" s="1167">
        <v>6582159</v>
      </c>
      <c r="Z304" s="1167">
        <v>300000</v>
      </c>
      <c r="AA304" s="1167">
        <v>0</v>
      </c>
      <c r="AB304" s="1167">
        <v>1119619</v>
      </c>
      <c r="AC304" s="1167">
        <v>109115</v>
      </c>
      <c r="AD304" s="1166">
        <v>0</v>
      </c>
      <c r="AE304" s="1166">
        <v>555551</v>
      </c>
      <c r="AF304" s="1166">
        <v>150000</v>
      </c>
      <c r="AG304" s="1166">
        <v>0</v>
      </c>
      <c r="AH304" s="1166">
        <v>2448748</v>
      </c>
      <c r="AI304" s="1166">
        <v>376839</v>
      </c>
      <c r="AJ304" s="1166">
        <v>0</v>
      </c>
      <c r="AK304" s="1166">
        <v>5389091</v>
      </c>
      <c r="AL304" s="1166">
        <v>0</v>
      </c>
      <c r="AM304" s="1166">
        <v>0</v>
      </c>
      <c r="AN304" s="1166">
        <v>1050000</v>
      </c>
      <c r="AO304" s="1166">
        <v>0</v>
      </c>
      <c r="AP304" s="1166">
        <v>0</v>
      </c>
      <c r="AQ304" s="1166">
        <v>0</v>
      </c>
      <c r="AR304" s="1166">
        <v>1582500</v>
      </c>
      <c r="AS304" s="1166">
        <v>0</v>
      </c>
      <c r="AT304" s="1166">
        <v>0</v>
      </c>
      <c r="AU304" s="1166">
        <v>123720</v>
      </c>
      <c r="AV304" s="1166">
        <v>11812</v>
      </c>
      <c r="AW304" s="1166">
        <v>0</v>
      </c>
      <c r="AX304" s="1166">
        <v>0</v>
      </c>
      <c r="AY304" s="1166">
        <v>43537206</v>
      </c>
      <c r="AZ304" s="1166">
        <v>0</v>
      </c>
      <c r="BA304" s="1166">
        <v>45334</v>
      </c>
      <c r="BB304" s="1166">
        <v>0</v>
      </c>
      <c r="BC304" s="1166">
        <v>0</v>
      </c>
      <c r="BD304" s="1166">
        <v>0</v>
      </c>
      <c r="BE304" s="1166">
        <v>0</v>
      </c>
      <c r="BF304" s="1166">
        <v>2447715</v>
      </c>
      <c r="BG304" s="1166">
        <v>1919203</v>
      </c>
      <c r="BH304" s="1166">
        <v>0</v>
      </c>
      <c r="BI304" s="1166">
        <v>402904</v>
      </c>
      <c r="BJ304" s="1166">
        <v>0</v>
      </c>
      <c r="BK304" s="1120"/>
      <c r="BL304" s="1120"/>
    </row>
    <row r="305" spans="1:64" s="401" customFormat="1" x14ac:dyDescent="0.3">
      <c r="A305" s="1152">
        <v>646</v>
      </c>
      <c r="B305" s="1222">
        <v>646</v>
      </c>
      <c r="C305" s="1152">
        <v>646</v>
      </c>
      <c r="D305" s="1152" t="s">
        <v>470</v>
      </c>
      <c r="E305" s="1152"/>
      <c r="F305" s="1163">
        <v>343862</v>
      </c>
      <c r="G305" s="1164">
        <v>1859271</v>
      </c>
      <c r="H305" s="1164">
        <v>1468722</v>
      </c>
      <c r="I305" s="1164">
        <v>0</v>
      </c>
      <c r="J305" s="1164">
        <v>1107517</v>
      </c>
      <c r="K305" s="1164">
        <v>1071608</v>
      </c>
      <c r="L305" s="1165">
        <v>102550</v>
      </c>
      <c r="M305" s="1166">
        <v>1835284</v>
      </c>
      <c r="N305" s="1166">
        <v>5034903</v>
      </c>
      <c r="O305" s="1167">
        <v>831495</v>
      </c>
      <c r="P305" s="1167">
        <v>1952555</v>
      </c>
      <c r="Q305" s="1167">
        <v>2633080</v>
      </c>
      <c r="R305" s="1167">
        <v>2307712</v>
      </c>
      <c r="S305" s="1167">
        <v>1055195</v>
      </c>
      <c r="T305" s="1167">
        <v>0</v>
      </c>
      <c r="U305" s="1167">
        <v>3714939</v>
      </c>
      <c r="V305" s="1167">
        <v>15932985</v>
      </c>
      <c r="W305" s="1167">
        <v>736785</v>
      </c>
      <c r="X305" s="1167">
        <v>42859</v>
      </c>
      <c r="Y305" s="1167">
        <v>8641516</v>
      </c>
      <c r="Z305" s="1167">
        <v>5672896</v>
      </c>
      <c r="AA305" s="1167">
        <v>466550</v>
      </c>
      <c r="AB305" s="1167">
        <v>3024931</v>
      </c>
      <c r="AC305" s="1167">
        <v>213959</v>
      </c>
      <c r="AD305" s="1166">
        <v>1629737</v>
      </c>
      <c r="AE305" s="1166">
        <v>3785478</v>
      </c>
      <c r="AF305" s="1166">
        <v>469616</v>
      </c>
      <c r="AG305" s="1166">
        <v>4273877</v>
      </c>
      <c r="AH305" s="1166">
        <v>674700</v>
      </c>
      <c r="AI305" s="1166">
        <v>1119918</v>
      </c>
      <c r="AJ305" s="1166">
        <v>3355835</v>
      </c>
      <c r="AK305" s="1166">
        <v>9694460</v>
      </c>
      <c r="AL305" s="1166">
        <v>6313479</v>
      </c>
      <c r="AM305" s="1166">
        <v>1706327</v>
      </c>
      <c r="AN305" s="1166">
        <v>2905301</v>
      </c>
      <c r="AO305" s="1166">
        <v>1710884</v>
      </c>
      <c r="AP305" s="1166">
        <v>682771</v>
      </c>
      <c r="AQ305" s="1166">
        <v>829898</v>
      </c>
      <c r="AR305" s="1166">
        <v>878424</v>
      </c>
      <c r="AS305" s="1166">
        <v>56500</v>
      </c>
      <c r="AT305" s="1166">
        <v>660840</v>
      </c>
      <c r="AU305" s="1166">
        <v>924375</v>
      </c>
      <c r="AV305" s="1166">
        <v>320065</v>
      </c>
      <c r="AW305" s="1166">
        <v>1602910</v>
      </c>
      <c r="AX305" s="1166">
        <v>552886</v>
      </c>
      <c r="AY305" s="1166">
        <v>35271113</v>
      </c>
      <c r="AZ305" s="1166">
        <v>832712</v>
      </c>
      <c r="BA305" s="1166">
        <v>714021</v>
      </c>
      <c r="BB305" s="1166">
        <v>3775921</v>
      </c>
      <c r="BC305" s="1166">
        <v>-5725383</v>
      </c>
      <c r="BD305" s="1166">
        <v>797147</v>
      </c>
      <c r="BE305" s="1166">
        <v>1489677</v>
      </c>
      <c r="BF305" s="1166">
        <v>2764819</v>
      </c>
      <c r="BG305" s="1166">
        <v>5115206</v>
      </c>
      <c r="BH305" s="1166">
        <v>7756984</v>
      </c>
      <c r="BI305" s="1166">
        <v>1204422</v>
      </c>
      <c r="BJ305" s="1166">
        <v>1055163</v>
      </c>
      <c r="BK305" s="1120"/>
      <c r="BL305" s="1120"/>
    </row>
    <row r="306" spans="1:64" s="401" customFormat="1" x14ac:dyDescent="0.3">
      <c r="A306" s="1152">
        <v>647</v>
      </c>
      <c r="B306" s="1222"/>
      <c r="C306" s="1152">
        <v>647</v>
      </c>
      <c r="D306" s="1152" t="s">
        <v>471</v>
      </c>
      <c r="E306" s="1152"/>
      <c r="F306" s="1163">
        <v>0</v>
      </c>
      <c r="G306" s="1164">
        <v>0</v>
      </c>
      <c r="H306" s="1164">
        <v>0</v>
      </c>
      <c r="I306" s="1164">
        <v>0</v>
      </c>
      <c r="J306" s="1164">
        <v>0</v>
      </c>
      <c r="K306" s="1164">
        <v>0</v>
      </c>
      <c r="L306" s="1165">
        <v>0</v>
      </c>
      <c r="M306" s="1166">
        <v>0</v>
      </c>
      <c r="N306" s="1166">
        <v>0</v>
      </c>
      <c r="O306" s="1167">
        <v>0</v>
      </c>
      <c r="P306" s="1167">
        <v>0</v>
      </c>
      <c r="Q306" s="1167">
        <v>0</v>
      </c>
      <c r="R306" s="1167">
        <v>0</v>
      </c>
      <c r="S306" s="1167">
        <v>0</v>
      </c>
      <c r="T306" s="1167">
        <v>0</v>
      </c>
      <c r="U306" s="1167">
        <v>0</v>
      </c>
      <c r="V306" s="1167">
        <v>0</v>
      </c>
      <c r="W306" s="1167">
        <v>0</v>
      </c>
      <c r="X306" s="1167">
        <v>0</v>
      </c>
      <c r="Y306" s="1167">
        <v>0</v>
      </c>
      <c r="Z306" s="1167">
        <v>0</v>
      </c>
      <c r="AA306" s="1167">
        <v>0</v>
      </c>
      <c r="AB306" s="1167">
        <v>0</v>
      </c>
      <c r="AC306" s="1167">
        <v>0</v>
      </c>
      <c r="AD306" s="1166">
        <v>0</v>
      </c>
      <c r="AE306" s="1166">
        <v>0</v>
      </c>
      <c r="AF306" s="1166">
        <v>0</v>
      </c>
      <c r="AG306" s="1166">
        <v>0</v>
      </c>
      <c r="AH306" s="1166">
        <v>0</v>
      </c>
      <c r="AI306" s="1166">
        <v>0</v>
      </c>
      <c r="AJ306" s="1166">
        <v>0</v>
      </c>
      <c r="AK306" s="1166">
        <v>0</v>
      </c>
      <c r="AL306" s="1166">
        <v>0</v>
      </c>
      <c r="AM306" s="1166">
        <v>0</v>
      </c>
      <c r="AN306" s="1166">
        <v>0</v>
      </c>
      <c r="AO306" s="1166">
        <v>0</v>
      </c>
      <c r="AP306" s="1166">
        <v>0</v>
      </c>
      <c r="AQ306" s="1166">
        <v>0</v>
      </c>
      <c r="AR306" s="1166">
        <v>0</v>
      </c>
      <c r="AS306" s="1166">
        <v>0</v>
      </c>
      <c r="AT306" s="1166">
        <v>0</v>
      </c>
      <c r="AU306" s="1166">
        <v>0</v>
      </c>
      <c r="AV306" s="1166">
        <v>0</v>
      </c>
      <c r="AW306" s="1166">
        <v>0</v>
      </c>
      <c r="AX306" s="1166">
        <v>0</v>
      </c>
      <c r="AY306" s="1166">
        <v>0</v>
      </c>
      <c r="AZ306" s="1166">
        <v>0</v>
      </c>
      <c r="BA306" s="1166">
        <v>0</v>
      </c>
      <c r="BB306" s="1166">
        <v>0</v>
      </c>
      <c r="BC306" s="1166">
        <v>0</v>
      </c>
      <c r="BD306" s="1166">
        <v>0</v>
      </c>
      <c r="BE306" s="1166">
        <v>0</v>
      </c>
      <c r="BF306" s="1166">
        <v>0</v>
      </c>
      <c r="BG306" s="1166">
        <v>0</v>
      </c>
      <c r="BH306" s="1166">
        <v>0</v>
      </c>
      <c r="BI306" s="1166">
        <v>0</v>
      </c>
      <c r="BJ306" s="1166">
        <v>0</v>
      </c>
      <c r="BK306" s="1120"/>
      <c r="BL306" s="1120"/>
    </row>
    <row r="307" spans="1:64" s="401" customFormat="1" x14ac:dyDescent="0.3">
      <c r="A307" s="1152">
        <v>654</v>
      </c>
      <c r="B307" s="1222"/>
      <c r="C307" s="1152">
        <v>654</v>
      </c>
      <c r="D307" s="1152" t="s">
        <v>526</v>
      </c>
      <c r="E307" s="1152"/>
      <c r="F307" s="1163">
        <v>0</v>
      </c>
      <c r="G307" s="1164">
        <v>0</v>
      </c>
      <c r="H307" s="1164">
        <v>0</v>
      </c>
      <c r="I307" s="1164">
        <v>0</v>
      </c>
      <c r="J307" s="1164">
        <v>0</v>
      </c>
      <c r="K307" s="1164">
        <v>0</v>
      </c>
      <c r="L307" s="1165">
        <v>0</v>
      </c>
      <c r="M307" s="1166">
        <v>0</v>
      </c>
      <c r="N307" s="1166">
        <v>0</v>
      </c>
      <c r="O307" s="1167">
        <v>0</v>
      </c>
      <c r="P307" s="1167">
        <v>0</v>
      </c>
      <c r="Q307" s="1167">
        <v>0</v>
      </c>
      <c r="R307" s="1167">
        <v>0</v>
      </c>
      <c r="S307" s="1167">
        <v>0</v>
      </c>
      <c r="T307" s="1167">
        <v>0</v>
      </c>
      <c r="U307" s="1167">
        <v>0</v>
      </c>
      <c r="V307" s="1167">
        <v>0</v>
      </c>
      <c r="W307" s="1167">
        <v>0</v>
      </c>
      <c r="X307" s="1167">
        <v>0</v>
      </c>
      <c r="Y307" s="1167">
        <v>0</v>
      </c>
      <c r="Z307" s="1167">
        <v>0</v>
      </c>
      <c r="AA307" s="1167">
        <v>0</v>
      </c>
      <c r="AB307" s="1167">
        <v>0</v>
      </c>
      <c r="AC307" s="1167">
        <v>0</v>
      </c>
      <c r="AD307" s="1166">
        <v>0</v>
      </c>
      <c r="AE307" s="1166">
        <v>0</v>
      </c>
      <c r="AF307" s="1166">
        <v>0</v>
      </c>
      <c r="AG307" s="1166">
        <v>0</v>
      </c>
      <c r="AH307" s="1166">
        <v>0</v>
      </c>
      <c r="AI307" s="1166">
        <v>0</v>
      </c>
      <c r="AJ307" s="1166">
        <v>0</v>
      </c>
      <c r="AK307" s="1166">
        <v>0</v>
      </c>
      <c r="AL307" s="1166">
        <v>0</v>
      </c>
      <c r="AM307" s="1166">
        <v>0</v>
      </c>
      <c r="AN307" s="1166">
        <v>0</v>
      </c>
      <c r="AO307" s="1166">
        <v>0</v>
      </c>
      <c r="AP307" s="1166">
        <v>0</v>
      </c>
      <c r="AQ307" s="1166">
        <v>0</v>
      </c>
      <c r="AR307" s="1166">
        <v>0</v>
      </c>
      <c r="AS307" s="1166">
        <v>0</v>
      </c>
      <c r="AT307" s="1166">
        <v>0</v>
      </c>
      <c r="AU307" s="1166">
        <v>0</v>
      </c>
      <c r="AV307" s="1166">
        <v>0</v>
      </c>
      <c r="AW307" s="1166">
        <v>0</v>
      </c>
      <c r="AX307" s="1166">
        <v>0</v>
      </c>
      <c r="AY307" s="1166">
        <v>0</v>
      </c>
      <c r="AZ307" s="1166">
        <v>0</v>
      </c>
      <c r="BA307" s="1166">
        <v>0</v>
      </c>
      <c r="BB307" s="1166">
        <v>0</v>
      </c>
      <c r="BC307" s="1166">
        <v>0</v>
      </c>
      <c r="BD307" s="1166">
        <v>0</v>
      </c>
      <c r="BE307" s="1166">
        <v>0</v>
      </c>
      <c r="BF307" s="1166">
        <v>0</v>
      </c>
      <c r="BG307" s="1166">
        <v>0</v>
      </c>
      <c r="BH307" s="1166">
        <v>0</v>
      </c>
      <c r="BI307" s="1166">
        <v>0</v>
      </c>
      <c r="BJ307" s="1166">
        <v>0</v>
      </c>
      <c r="BK307" s="1120"/>
      <c r="BL307" s="1120"/>
    </row>
    <row r="308" spans="1:64" s="401" customFormat="1" x14ac:dyDescent="0.3">
      <c r="A308" s="1152">
        <v>655</v>
      </c>
      <c r="B308" s="1222"/>
      <c r="C308" s="1152">
        <v>655</v>
      </c>
      <c r="D308" s="1152" t="s">
        <v>570</v>
      </c>
      <c r="E308" s="1152"/>
      <c r="F308" s="1163">
        <v>0</v>
      </c>
      <c r="G308" s="1164">
        <v>0</v>
      </c>
      <c r="H308" s="1164">
        <v>0</v>
      </c>
      <c r="I308" s="1164">
        <v>0</v>
      </c>
      <c r="J308" s="1164">
        <v>0</v>
      </c>
      <c r="K308" s="1164">
        <v>0</v>
      </c>
      <c r="L308" s="1165">
        <v>0</v>
      </c>
      <c r="M308" s="1166">
        <v>0</v>
      </c>
      <c r="N308" s="1166">
        <v>0</v>
      </c>
      <c r="O308" s="1167">
        <v>0</v>
      </c>
      <c r="P308" s="1167">
        <v>0</v>
      </c>
      <c r="Q308" s="1167">
        <v>0</v>
      </c>
      <c r="R308" s="1167">
        <v>0</v>
      </c>
      <c r="S308" s="1167">
        <v>0</v>
      </c>
      <c r="T308" s="1167">
        <v>0</v>
      </c>
      <c r="U308" s="1167">
        <v>0</v>
      </c>
      <c r="V308" s="1167">
        <v>0</v>
      </c>
      <c r="W308" s="1167">
        <v>0</v>
      </c>
      <c r="X308" s="1167">
        <v>0</v>
      </c>
      <c r="Y308" s="1167">
        <v>0</v>
      </c>
      <c r="Z308" s="1167">
        <v>0</v>
      </c>
      <c r="AA308" s="1167">
        <v>0</v>
      </c>
      <c r="AB308" s="1167">
        <v>0</v>
      </c>
      <c r="AC308" s="1167">
        <v>0</v>
      </c>
      <c r="AD308" s="1166">
        <v>0</v>
      </c>
      <c r="AE308" s="1166">
        <v>0</v>
      </c>
      <c r="AF308" s="1166">
        <v>0</v>
      </c>
      <c r="AG308" s="1166">
        <v>0</v>
      </c>
      <c r="AH308" s="1166">
        <v>0</v>
      </c>
      <c r="AI308" s="1166">
        <v>0</v>
      </c>
      <c r="AJ308" s="1166">
        <v>0</v>
      </c>
      <c r="AK308" s="1166">
        <v>0</v>
      </c>
      <c r="AL308" s="1166">
        <v>0</v>
      </c>
      <c r="AM308" s="1166">
        <v>0</v>
      </c>
      <c r="AN308" s="1166">
        <v>0</v>
      </c>
      <c r="AO308" s="1166">
        <v>0</v>
      </c>
      <c r="AP308" s="1166">
        <v>0</v>
      </c>
      <c r="AQ308" s="1166">
        <v>0</v>
      </c>
      <c r="AR308" s="1166">
        <v>0</v>
      </c>
      <c r="AS308" s="1166">
        <v>0</v>
      </c>
      <c r="AT308" s="1166">
        <v>0</v>
      </c>
      <c r="AU308" s="1166">
        <v>0</v>
      </c>
      <c r="AV308" s="1166">
        <v>0</v>
      </c>
      <c r="AW308" s="1166">
        <v>0</v>
      </c>
      <c r="AX308" s="1166">
        <v>0</v>
      </c>
      <c r="AY308" s="1166">
        <v>0</v>
      </c>
      <c r="AZ308" s="1166">
        <v>0</v>
      </c>
      <c r="BA308" s="1166">
        <v>0</v>
      </c>
      <c r="BB308" s="1166">
        <v>0</v>
      </c>
      <c r="BC308" s="1166">
        <v>0</v>
      </c>
      <c r="BD308" s="1166">
        <v>0</v>
      </c>
      <c r="BE308" s="1166">
        <v>0</v>
      </c>
      <c r="BF308" s="1166">
        <v>0</v>
      </c>
      <c r="BG308" s="1166">
        <v>0</v>
      </c>
      <c r="BH308" s="1166">
        <v>0</v>
      </c>
      <c r="BI308" s="1166">
        <v>0</v>
      </c>
      <c r="BJ308" s="1166">
        <v>0</v>
      </c>
      <c r="BK308" s="1120"/>
      <c r="BL308" s="1120"/>
    </row>
    <row r="309" spans="1:64" s="401" customFormat="1" x14ac:dyDescent="0.3">
      <c r="A309" s="1152">
        <v>656</v>
      </c>
      <c r="B309" s="1222"/>
      <c r="C309" s="1152">
        <v>656</v>
      </c>
      <c r="D309" s="1152" t="s">
        <v>534</v>
      </c>
      <c r="E309" s="1152"/>
      <c r="F309" s="1163">
        <v>0</v>
      </c>
      <c r="G309" s="1164">
        <v>0</v>
      </c>
      <c r="H309" s="1164">
        <v>0</v>
      </c>
      <c r="I309" s="1164">
        <v>0</v>
      </c>
      <c r="J309" s="1164">
        <v>0</v>
      </c>
      <c r="K309" s="1164">
        <v>0</v>
      </c>
      <c r="L309" s="1165">
        <v>0</v>
      </c>
      <c r="M309" s="1166">
        <v>0</v>
      </c>
      <c r="N309" s="1166">
        <v>0</v>
      </c>
      <c r="O309" s="1167">
        <v>0</v>
      </c>
      <c r="P309" s="1167">
        <v>0</v>
      </c>
      <c r="Q309" s="1167">
        <v>0</v>
      </c>
      <c r="R309" s="1167">
        <v>0</v>
      </c>
      <c r="S309" s="1167">
        <v>0</v>
      </c>
      <c r="T309" s="1167">
        <v>0</v>
      </c>
      <c r="U309" s="1167">
        <v>0</v>
      </c>
      <c r="V309" s="1167">
        <v>0</v>
      </c>
      <c r="W309" s="1167">
        <v>0</v>
      </c>
      <c r="X309" s="1167">
        <v>0</v>
      </c>
      <c r="Y309" s="1167">
        <v>0</v>
      </c>
      <c r="Z309" s="1167">
        <v>0</v>
      </c>
      <c r="AA309" s="1167">
        <v>0</v>
      </c>
      <c r="AB309" s="1167">
        <v>0</v>
      </c>
      <c r="AC309" s="1167">
        <v>0</v>
      </c>
      <c r="AD309" s="1166">
        <v>0</v>
      </c>
      <c r="AE309" s="1166">
        <v>0</v>
      </c>
      <c r="AF309" s="1166">
        <v>0</v>
      </c>
      <c r="AG309" s="1166">
        <v>0</v>
      </c>
      <c r="AH309" s="1166">
        <v>0</v>
      </c>
      <c r="AI309" s="1166">
        <v>0</v>
      </c>
      <c r="AJ309" s="1166">
        <v>0</v>
      </c>
      <c r="AK309" s="1166">
        <v>0</v>
      </c>
      <c r="AL309" s="1166">
        <v>0</v>
      </c>
      <c r="AM309" s="1166">
        <v>0</v>
      </c>
      <c r="AN309" s="1166">
        <v>0</v>
      </c>
      <c r="AO309" s="1166">
        <v>0</v>
      </c>
      <c r="AP309" s="1166">
        <v>0</v>
      </c>
      <c r="AQ309" s="1166">
        <v>0</v>
      </c>
      <c r="AR309" s="1166">
        <v>0</v>
      </c>
      <c r="AS309" s="1166">
        <v>0</v>
      </c>
      <c r="AT309" s="1166">
        <v>0</v>
      </c>
      <c r="AU309" s="1166">
        <v>0</v>
      </c>
      <c r="AV309" s="1166">
        <v>0</v>
      </c>
      <c r="AW309" s="1166">
        <v>0</v>
      </c>
      <c r="AX309" s="1166">
        <v>0</v>
      </c>
      <c r="AY309" s="1166">
        <v>0</v>
      </c>
      <c r="AZ309" s="1166">
        <v>0</v>
      </c>
      <c r="BA309" s="1166">
        <v>0</v>
      </c>
      <c r="BB309" s="1166">
        <v>0</v>
      </c>
      <c r="BC309" s="1166">
        <v>0</v>
      </c>
      <c r="BD309" s="1166">
        <v>0</v>
      </c>
      <c r="BE309" s="1166">
        <v>0</v>
      </c>
      <c r="BF309" s="1166">
        <v>0</v>
      </c>
      <c r="BG309" s="1166">
        <v>0</v>
      </c>
      <c r="BH309" s="1166">
        <v>0</v>
      </c>
      <c r="BI309" s="1166">
        <v>0</v>
      </c>
      <c r="BJ309" s="1166">
        <v>0</v>
      </c>
      <c r="BK309" s="1120"/>
      <c r="BL309" s="1120"/>
    </row>
    <row r="310" spans="1:64" s="401" customFormat="1" ht="55.8" x14ac:dyDescent="0.3">
      <c r="A310" s="1152">
        <v>657</v>
      </c>
      <c r="B310" s="1222"/>
      <c r="C310" s="1152">
        <v>657</v>
      </c>
      <c r="D310" s="1214" t="s">
        <v>531</v>
      </c>
      <c r="E310" s="1152"/>
      <c r="F310" s="1163">
        <v>0</v>
      </c>
      <c r="G310" s="1164">
        <v>0</v>
      </c>
      <c r="H310" s="1164">
        <v>0</v>
      </c>
      <c r="I310" s="1164">
        <v>0</v>
      </c>
      <c r="J310" s="1164">
        <v>0</v>
      </c>
      <c r="K310" s="1164">
        <v>0</v>
      </c>
      <c r="L310" s="1165">
        <v>0</v>
      </c>
      <c r="M310" s="1166">
        <v>0</v>
      </c>
      <c r="N310" s="1166">
        <v>0</v>
      </c>
      <c r="O310" s="1167">
        <v>0</v>
      </c>
      <c r="P310" s="1167">
        <v>0</v>
      </c>
      <c r="Q310" s="1167">
        <v>0</v>
      </c>
      <c r="R310" s="1167">
        <v>0</v>
      </c>
      <c r="S310" s="1167">
        <v>0</v>
      </c>
      <c r="T310" s="1167">
        <v>0</v>
      </c>
      <c r="U310" s="1167">
        <v>0</v>
      </c>
      <c r="V310" s="1167">
        <v>0</v>
      </c>
      <c r="W310" s="1167">
        <v>0</v>
      </c>
      <c r="X310" s="1167">
        <v>0</v>
      </c>
      <c r="Y310" s="1167">
        <v>0</v>
      </c>
      <c r="Z310" s="1167">
        <v>0</v>
      </c>
      <c r="AA310" s="1167">
        <v>0</v>
      </c>
      <c r="AB310" s="1167">
        <v>0</v>
      </c>
      <c r="AC310" s="1167">
        <v>0</v>
      </c>
      <c r="AD310" s="1166">
        <v>0</v>
      </c>
      <c r="AE310" s="1166">
        <v>0</v>
      </c>
      <c r="AF310" s="1166">
        <v>0</v>
      </c>
      <c r="AG310" s="1166">
        <v>0</v>
      </c>
      <c r="AH310" s="1166">
        <v>0</v>
      </c>
      <c r="AI310" s="1166">
        <v>0</v>
      </c>
      <c r="AJ310" s="1166">
        <v>0</v>
      </c>
      <c r="AK310" s="1166">
        <v>0</v>
      </c>
      <c r="AL310" s="1166">
        <v>0</v>
      </c>
      <c r="AM310" s="1166">
        <v>0</v>
      </c>
      <c r="AN310" s="1166">
        <v>0</v>
      </c>
      <c r="AO310" s="1166">
        <v>0</v>
      </c>
      <c r="AP310" s="1166">
        <v>0</v>
      </c>
      <c r="AQ310" s="1166">
        <v>0</v>
      </c>
      <c r="AR310" s="1166">
        <v>0</v>
      </c>
      <c r="AS310" s="1166">
        <v>0</v>
      </c>
      <c r="AT310" s="1166">
        <v>0</v>
      </c>
      <c r="AU310" s="1166">
        <v>0</v>
      </c>
      <c r="AV310" s="1166">
        <v>0</v>
      </c>
      <c r="AW310" s="1166">
        <v>0</v>
      </c>
      <c r="AX310" s="1166">
        <v>0</v>
      </c>
      <c r="AY310" s="1166">
        <v>0</v>
      </c>
      <c r="AZ310" s="1166">
        <v>0</v>
      </c>
      <c r="BA310" s="1166">
        <v>0</v>
      </c>
      <c r="BB310" s="1166">
        <v>0</v>
      </c>
      <c r="BC310" s="1166">
        <v>0</v>
      </c>
      <c r="BD310" s="1166">
        <v>0</v>
      </c>
      <c r="BE310" s="1166">
        <v>0</v>
      </c>
      <c r="BF310" s="1166">
        <v>0</v>
      </c>
      <c r="BG310" s="1166">
        <v>0</v>
      </c>
      <c r="BH310" s="1166">
        <v>0</v>
      </c>
      <c r="BI310" s="1166">
        <v>0</v>
      </c>
      <c r="BJ310" s="1166">
        <v>0</v>
      </c>
      <c r="BK310" s="1120"/>
      <c r="BL310" s="1120"/>
    </row>
    <row r="311" spans="1:64" s="401" customFormat="1" x14ac:dyDescent="0.3">
      <c r="A311" s="1152">
        <v>658</v>
      </c>
      <c r="B311" s="1222"/>
      <c r="C311" s="1152">
        <v>658</v>
      </c>
      <c r="D311" s="1152" t="s">
        <v>569</v>
      </c>
      <c r="E311" s="1152"/>
      <c r="F311" s="1163">
        <v>0</v>
      </c>
      <c r="G311" s="1164">
        <v>0</v>
      </c>
      <c r="H311" s="1164">
        <v>0</v>
      </c>
      <c r="I311" s="1164">
        <v>0</v>
      </c>
      <c r="J311" s="1164">
        <v>0</v>
      </c>
      <c r="K311" s="1164">
        <v>0</v>
      </c>
      <c r="L311" s="1165">
        <v>0</v>
      </c>
      <c r="M311" s="1166">
        <v>0</v>
      </c>
      <c r="N311" s="1166">
        <v>0</v>
      </c>
      <c r="O311" s="1167">
        <v>0</v>
      </c>
      <c r="P311" s="1167">
        <v>0</v>
      </c>
      <c r="Q311" s="1167">
        <v>0</v>
      </c>
      <c r="R311" s="1167">
        <v>0</v>
      </c>
      <c r="S311" s="1167">
        <v>0</v>
      </c>
      <c r="T311" s="1167">
        <v>0</v>
      </c>
      <c r="U311" s="1167">
        <v>0</v>
      </c>
      <c r="V311" s="1167">
        <v>0</v>
      </c>
      <c r="W311" s="1167">
        <v>0</v>
      </c>
      <c r="X311" s="1167">
        <v>0</v>
      </c>
      <c r="Y311" s="1167">
        <v>0</v>
      </c>
      <c r="Z311" s="1167">
        <v>0</v>
      </c>
      <c r="AA311" s="1167">
        <v>0</v>
      </c>
      <c r="AB311" s="1167">
        <v>0</v>
      </c>
      <c r="AC311" s="1167">
        <v>0</v>
      </c>
      <c r="AD311" s="1166">
        <v>0</v>
      </c>
      <c r="AE311" s="1166">
        <v>0</v>
      </c>
      <c r="AF311" s="1166">
        <v>0</v>
      </c>
      <c r="AG311" s="1166">
        <v>0</v>
      </c>
      <c r="AH311" s="1166">
        <v>0</v>
      </c>
      <c r="AI311" s="1166">
        <v>0</v>
      </c>
      <c r="AJ311" s="1166">
        <v>0</v>
      </c>
      <c r="AK311" s="1166">
        <v>0</v>
      </c>
      <c r="AL311" s="1166">
        <v>0</v>
      </c>
      <c r="AM311" s="1166">
        <v>0</v>
      </c>
      <c r="AN311" s="1166">
        <v>0</v>
      </c>
      <c r="AO311" s="1166">
        <v>0</v>
      </c>
      <c r="AP311" s="1166">
        <v>0</v>
      </c>
      <c r="AQ311" s="1166">
        <v>0</v>
      </c>
      <c r="AR311" s="1166">
        <v>0</v>
      </c>
      <c r="AS311" s="1166">
        <v>0</v>
      </c>
      <c r="AT311" s="1166">
        <v>0</v>
      </c>
      <c r="AU311" s="1166">
        <v>0</v>
      </c>
      <c r="AV311" s="1166">
        <v>0</v>
      </c>
      <c r="AW311" s="1166">
        <v>0</v>
      </c>
      <c r="AX311" s="1166">
        <v>0</v>
      </c>
      <c r="AY311" s="1166">
        <v>0</v>
      </c>
      <c r="AZ311" s="1166">
        <v>0</v>
      </c>
      <c r="BA311" s="1166">
        <v>0</v>
      </c>
      <c r="BB311" s="1166">
        <v>0</v>
      </c>
      <c r="BC311" s="1166">
        <v>0</v>
      </c>
      <c r="BD311" s="1166">
        <v>0</v>
      </c>
      <c r="BE311" s="1166">
        <v>0</v>
      </c>
      <c r="BF311" s="1166">
        <v>0</v>
      </c>
      <c r="BG311" s="1166">
        <v>0</v>
      </c>
      <c r="BH311" s="1166">
        <v>0</v>
      </c>
      <c r="BI311" s="1166">
        <v>0</v>
      </c>
      <c r="BJ311" s="1166">
        <v>0</v>
      </c>
      <c r="BK311" s="1120"/>
      <c r="BL311" s="1120"/>
    </row>
    <row r="312" spans="1:64" s="401" customFormat="1" ht="55.8" x14ac:dyDescent="0.3">
      <c r="A312" s="1152">
        <v>659</v>
      </c>
      <c r="B312" s="1222">
        <v>659</v>
      </c>
      <c r="C312" s="1152">
        <v>659</v>
      </c>
      <c r="D312" s="1214" t="s">
        <v>529</v>
      </c>
      <c r="E312" s="1152"/>
      <c r="F312" s="1163">
        <v>0</v>
      </c>
      <c r="G312" s="1164">
        <v>0</v>
      </c>
      <c r="H312" s="1164">
        <v>0</v>
      </c>
      <c r="I312" s="1164">
        <v>0</v>
      </c>
      <c r="J312" s="1164">
        <v>0</v>
      </c>
      <c r="K312" s="1164">
        <v>0</v>
      </c>
      <c r="L312" s="1165">
        <v>0</v>
      </c>
      <c r="M312" s="1166">
        <v>33971673</v>
      </c>
      <c r="N312" s="1166">
        <v>33095182000</v>
      </c>
      <c r="O312" s="1167">
        <v>0</v>
      </c>
      <c r="P312" s="1167">
        <v>0</v>
      </c>
      <c r="Q312" s="1167">
        <v>138173080</v>
      </c>
      <c r="R312" s="1167">
        <v>0</v>
      </c>
      <c r="S312" s="1167">
        <v>17509058</v>
      </c>
      <c r="T312" s="1167">
        <v>0</v>
      </c>
      <c r="U312" s="1167">
        <v>0</v>
      </c>
      <c r="V312" s="1167">
        <v>301976457</v>
      </c>
      <c r="W312" s="1167">
        <v>0</v>
      </c>
      <c r="X312" s="1167">
        <v>0</v>
      </c>
      <c r="Y312" s="1167">
        <v>0</v>
      </c>
      <c r="Z312" s="1167">
        <v>0</v>
      </c>
      <c r="AA312" s="1167">
        <v>17482789</v>
      </c>
      <c r="AB312" s="1167">
        <v>0</v>
      </c>
      <c r="AC312" s="1167">
        <v>0</v>
      </c>
      <c r="AD312" s="1166">
        <v>0</v>
      </c>
      <c r="AE312" s="1166">
        <v>0</v>
      </c>
      <c r="AF312" s="1166">
        <v>0</v>
      </c>
      <c r="AG312" s="1166">
        <v>165982005</v>
      </c>
      <c r="AH312" s="1166">
        <v>0</v>
      </c>
      <c r="AI312" s="1166">
        <v>0</v>
      </c>
      <c r="AJ312" s="1166">
        <v>225729260</v>
      </c>
      <c r="AK312" s="1166">
        <v>0</v>
      </c>
      <c r="AL312" s="1166">
        <v>0</v>
      </c>
      <c r="AM312" s="1166">
        <v>0</v>
      </c>
      <c r="AN312" s="1166">
        <v>0</v>
      </c>
      <c r="AO312" s="1166">
        <v>0</v>
      </c>
      <c r="AP312" s="1166">
        <v>0</v>
      </c>
      <c r="AQ312" s="1166">
        <v>61551753</v>
      </c>
      <c r="AR312" s="1166">
        <v>0</v>
      </c>
      <c r="AS312" s="1166">
        <v>33095182000</v>
      </c>
      <c r="AT312" s="1166">
        <v>28565131</v>
      </c>
      <c r="AU312" s="1166">
        <v>0</v>
      </c>
      <c r="AV312" s="1166">
        <v>0</v>
      </c>
      <c r="AW312" s="1166">
        <v>0</v>
      </c>
      <c r="AX312" s="1166">
        <v>55327794</v>
      </c>
      <c r="AY312" s="1166">
        <v>1855820546</v>
      </c>
      <c r="AZ312" s="1166">
        <v>0</v>
      </c>
      <c r="BA312" s="1166">
        <v>0</v>
      </c>
      <c r="BB312" s="1166">
        <v>0</v>
      </c>
      <c r="BC312" s="1166">
        <v>0</v>
      </c>
      <c r="BD312" s="1166">
        <v>0</v>
      </c>
      <c r="BE312" s="1166">
        <v>885608</v>
      </c>
      <c r="BF312" s="1166">
        <v>99075013</v>
      </c>
      <c r="BG312" s="1166">
        <v>0</v>
      </c>
      <c r="BH312" s="1166">
        <v>605527697</v>
      </c>
      <c r="BI312" s="1166">
        <v>0</v>
      </c>
      <c r="BJ312" s="1166">
        <v>0</v>
      </c>
      <c r="BK312" s="1120"/>
      <c r="BL312" s="1120"/>
    </row>
    <row r="313" spans="1:64" s="401" customFormat="1" ht="55.8" x14ac:dyDescent="0.3">
      <c r="A313" s="1152">
        <v>660</v>
      </c>
      <c r="B313" s="1222">
        <v>660</v>
      </c>
      <c r="C313" s="1152">
        <v>660</v>
      </c>
      <c r="D313" s="1214" t="s">
        <v>530</v>
      </c>
      <c r="E313" s="1152"/>
      <c r="F313" s="1163">
        <v>0</v>
      </c>
      <c r="G313" s="1164">
        <v>0</v>
      </c>
      <c r="H313" s="1164">
        <v>0</v>
      </c>
      <c r="I313" s="1164">
        <v>0</v>
      </c>
      <c r="J313" s="1164">
        <v>0</v>
      </c>
      <c r="K313" s="1164">
        <v>0</v>
      </c>
      <c r="L313" s="1165">
        <v>0</v>
      </c>
      <c r="M313" s="1166">
        <v>1494754</v>
      </c>
      <c r="N313" s="1166">
        <v>1455683000</v>
      </c>
      <c r="O313" s="1167">
        <v>0</v>
      </c>
      <c r="P313" s="1167">
        <v>0</v>
      </c>
      <c r="Q313" s="1167">
        <v>0</v>
      </c>
      <c r="R313" s="1167">
        <v>0</v>
      </c>
      <c r="S313" s="1167">
        <v>0</v>
      </c>
      <c r="T313" s="1167">
        <v>0</v>
      </c>
      <c r="U313" s="1167">
        <v>0</v>
      </c>
      <c r="V313" s="1167">
        <v>0</v>
      </c>
      <c r="W313" s="1167">
        <v>0</v>
      </c>
      <c r="X313" s="1167">
        <v>0</v>
      </c>
      <c r="Y313" s="1167">
        <v>0</v>
      </c>
      <c r="Z313" s="1167">
        <v>0</v>
      </c>
      <c r="AA313" s="1167">
        <v>0</v>
      </c>
      <c r="AB313" s="1167">
        <v>0</v>
      </c>
      <c r="AC313" s="1167">
        <v>0</v>
      </c>
      <c r="AD313" s="1166">
        <v>0</v>
      </c>
      <c r="AE313" s="1166">
        <v>0</v>
      </c>
      <c r="AF313" s="1166">
        <v>0</v>
      </c>
      <c r="AG313" s="1166">
        <v>0</v>
      </c>
      <c r="AH313" s="1166">
        <v>0</v>
      </c>
      <c r="AI313" s="1166">
        <v>0</v>
      </c>
      <c r="AJ313" s="1166">
        <v>0</v>
      </c>
      <c r="AK313" s="1166">
        <v>0</v>
      </c>
      <c r="AL313" s="1166">
        <v>0</v>
      </c>
      <c r="AM313" s="1166">
        <v>0</v>
      </c>
      <c r="AN313" s="1166">
        <v>0</v>
      </c>
      <c r="AO313" s="1166">
        <v>0</v>
      </c>
      <c r="AP313" s="1166">
        <v>0</v>
      </c>
      <c r="AQ313" s="1166">
        <v>0</v>
      </c>
      <c r="AR313" s="1166">
        <v>0</v>
      </c>
      <c r="AS313" s="1166">
        <v>1455683000</v>
      </c>
      <c r="AT313" s="1166">
        <v>0</v>
      </c>
      <c r="AU313" s="1166">
        <v>0</v>
      </c>
      <c r="AV313" s="1166">
        <v>0</v>
      </c>
      <c r="AW313" s="1166">
        <v>0</v>
      </c>
      <c r="AX313" s="1166">
        <v>0</v>
      </c>
      <c r="AY313" s="1166">
        <v>0</v>
      </c>
      <c r="AZ313" s="1166">
        <v>0</v>
      </c>
      <c r="BA313" s="1166">
        <v>0</v>
      </c>
      <c r="BB313" s="1166">
        <v>0</v>
      </c>
      <c r="BC313" s="1166">
        <v>0</v>
      </c>
      <c r="BD313" s="1166">
        <v>0</v>
      </c>
      <c r="BE313" s="1166">
        <v>0</v>
      </c>
      <c r="BF313" s="1166">
        <v>31639499499</v>
      </c>
      <c r="BG313" s="1166">
        <v>0</v>
      </c>
      <c r="BH313" s="1166">
        <v>0</v>
      </c>
      <c r="BI313" s="1166">
        <v>0</v>
      </c>
      <c r="BJ313" s="1166">
        <v>0</v>
      </c>
      <c r="BK313" s="1120"/>
      <c r="BL313" s="1120"/>
    </row>
    <row r="314" spans="1:64" s="401" customFormat="1" x14ac:dyDescent="0.3">
      <c r="A314" s="1152">
        <v>661</v>
      </c>
      <c r="B314" s="1222">
        <v>661</v>
      </c>
      <c r="C314" s="1152">
        <v>661</v>
      </c>
      <c r="D314" s="1152" t="s">
        <v>533</v>
      </c>
      <c r="E314" s="1152"/>
      <c r="F314" s="1163">
        <v>0</v>
      </c>
      <c r="G314" s="1164">
        <v>0</v>
      </c>
      <c r="H314" s="1164">
        <v>0</v>
      </c>
      <c r="I314" s="1164">
        <v>0</v>
      </c>
      <c r="J314" s="1164">
        <v>0</v>
      </c>
      <c r="K314" s="1164">
        <v>0</v>
      </c>
      <c r="L314" s="1165">
        <v>0</v>
      </c>
      <c r="M314" s="1196">
        <v>4.4000000000000004</v>
      </c>
      <c r="N314" s="1166">
        <v>4</v>
      </c>
      <c r="O314" s="1167">
        <v>0</v>
      </c>
      <c r="P314" s="1167">
        <v>0</v>
      </c>
      <c r="Q314" s="1167">
        <v>0</v>
      </c>
      <c r="R314" s="1167">
        <v>0</v>
      </c>
      <c r="S314" s="1167">
        <v>0</v>
      </c>
      <c r="T314" s="1167">
        <v>0</v>
      </c>
      <c r="U314" s="1167">
        <v>0</v>
      </c>
      <c r="V314" s="1167">
        <v>0</v>
      </c>
      <c r="W314" s="1167">
        <v>0</v>
      </c>
      <c r="X314" s="1167">
        <v>0</v>
      </c>
      <c r="Y314" s="1167">
        <v>0</v>
      </c>
      <c r="Z314" s="1167">
        <v>0</v>
      </c>
      <c r="AA314" s="1167">
        <v>4</v>
      </c>
      <c r="AB314" s="1167">
        <v>0</v>
      </c>
      <c r="AC314" s="1167">
        <v>0</v>
      </c>
      <c r="AD314" s="1166">
        <v>0</v>
      </c>
      <c r="AE314" s="1166">
        <v>0</v>
      </c>
      <c r="AF314" s="1166">
        <v>0</v>
      </c>
      <c r="AG314" s="1166">
        <v>4</v>
      </c>
      <c r="AH314" s="1166">
        <v>0</v>
      </c>
      <c r="AI314" s="1166">
        <v>0</v>
      </c>
      <c r="AJ314" s="1166">
        <v>0</v>
      </c>
      <c r="AK314" s="1166">
        <v>0</v>
      </c>
      <c r="AL314" s="1166">
        <v>0</v>
      </c>
      <c r="AM314" s="1166">
        <v>0</v>
      </c>
      <c r="AN314" s="1166">
        <v>0</v>
      </c>
      <c r="AO314" s="1166">
        <v>0</v>
      </c>
      <c r="AP314" s="1166">
        <v>0</v>
      </c>
      <c r="AQ314" s="1166">
        <v>0</v>
      </c>
      <c r="AR314" s="1166">
        <v>0</v>
      </c>
      <c r="AS314" s="1166">
        <v>4</v>
      </c>
      <c r="AT314" s="1166">
        <v>0</v>
      </c>
      <c r="AU314" s="1166">
        <v>0</v>
      </c>
      <c r="AV314" s="1166">
        <v>0</v>
      </c>
      <c r="AW314" s="1166">
        <v>0</v>
      </c>
      <c r="AX314" s="1166">
        <v>0</v>
      </c>
      <c r="AY314" s="1166">
        <v>0</v>
      </c>
      <c r="AZ314" s="1166">
        <v>0</v>
      </c>
      <c r="BA314" s="1166">
        <v>0</v>
      </c>
      <c r="BB314" s="1166">
        <v>0</v>
      </c>
      <c r="BC314" s="1166">
        <v>0</v>
      </c>
      <c r="BD314" s="1166">
        <v>0</v>
      </c>
      <c r="BE314" s="1166">
        <v>0</v>
      </c>
      <c r="BF314" s="1166">
        <v>0</v>
      </c>
      <c r="BG314" s="1166">
        <v>0</v>
      </c>
      <c r="BH314" s="1166">
        <v>0</v>
      </c>
      <c r="BI314" s="1166">
        <v>0</v>
      </c>
      <c r="BJ314" s="1166">
        <v>0</v>
      </c>
      <c r="BK314" s="1120"/>
      <c r="BL314" s="1120"/>
    </row>
    <row r="315" spans="1:64" s="401" customFormat="1" x14ac:dyDescent="0.3">
      <c r="A315" s="1152">
        <v>662</v>
      </c>
      <c r="B315" s="1222">
        <v>662</v>
      </c>
      <c r="C315" s="1152">
        <v>662</v>
      </c>
      <c r="D315" s="1152" t="s">
        <v>573</v>
      </c>
      <c r="E315" s="1152"/>
      <c r="F315" s="1163">
        <v>0</v>
      </c>
      <c r="G315" s="1164">
        <v>169915</v>
      </c>
      <c r="H315" s="1164">
        <v>100071</v>
      </c>
      <c r="I315" s="1164">
        <v>161300</v>
      </c>
      <c r="J315" s="1164">
        <v>100389</v>
      </c>
      <c r="K315" s="1164">
        <v>132381</v>
      </c>
      <c r="L315" s="1165">
        <v>75273</v>
      </c>
      <c r="M315" s="1166">
        <v>0</v>
      </c>
      <c r="N315" s="1166">
        <v>371120</v>
      </c>
      <c r="O315" s="1167">
        <v>0</v>
      </c>
      <c r="P315" s="1167">
        <v>123340</v>
      </c>
      <c r="Q315" s="1167">
        <v>260390</v>
      </c>
      <c r="R315" s="1167">
        <v>191617</v>
      </c>
      <c r="S315" s="1167">
        <v>0</v>
      </c>
      <c r="T315" s="1167">
        <v>0</v>
      </c>
      <c r="U315" s="1167">
        <v>934913</v>
      </c>
      <c r="V315" s="1167">
        <v>410664</v>
      </c>
      <c r="W315" s="1167">
        <v>160289</v>
      </c>
      <c r="X315" s="1167">
        <v>129894</v>
      </c>
      <c r="Y315" s="1167">
        <v>756736</v>
      </c>
      <c r="Z315" s="1167">
        <v>75136</v>
      </c>
      <c r="AA315" s="1167">
        <v>0</v>
      </c>
      <c r="AB315" s="1167">
        <v>0</v>
      </c>
      <c r="AC315" s="1167">
        <v>0</v>
      </c>
      <c r="AD315" s="1166">
        <v>0</v>
      </c>
      <c r="AE315" s="1166">
        <v>548401</v>
      </c>
      <c r="AF315" s="1166">
        <v>34514</v>
      </c>
      <c r="AG315" s="1166">
        <v>0</v>
      </c>
      <c r="AH315" s="1166">
        <v>134608</v>
      </c>
      <c r="AI315" s="1166">
        <v>33269</v>
      </c>
      <c r="AJ315" s="1166">
        <v>0</v>
      </c>
      <c r="AK315" s="1166">
        <v>87862</v>
      </c>
      <c r="AL315" s="1166">
        <v>360890</v>
      </c>
      <c r="AM315" s="1166">
        <v>103770</v>
      </c>
      <c r="AN315" s="1166">
        <v>0</v>
      </c>
      <c r="AO315" s="1166">
        <v>456619</v>
      </c>
      <c r="AP315" s="1166">
        <v>311885</v>
      </c>
      <c r="AQ315" s="1166">
        <v>283156</v>
      </c>
      <c r="AR315" s="1166">
        <v>0</v>
      </c>
      <c r="AS315" s="1166">
        <v>30453</v>
      </c>
      <c r="AT315" s="1166">
        <v>0</v>
      </c>
      <c r="AU315" s="1166">
        <v>152187</v>
      </c>
      <c r="AV315" s="1166">
        <v>29717</v>
      </c>
      <c r="AW315" s="1166">
        <v>0</v>
      </c>
      <c r="AX315" s="1166">
        <v>242557</v>
      </c>
      <c r="AY315" s="1166">
        <v>18187201</v>
      </c>
      <c r="AZ315" s="1166">
        <v>128474</v>
      </c>
      <c r="BA315" s="1166">
        <v>0</v>
      </c>
      <c r="BB315" s="1166">
        <v>30907</v>
      </c>
      <c r="BC315" s="1166">
        <v>1140442</v>
      </c>
      <c r="BD315" s="1166">
        <v>43630</v>
      </c>
      <c r="BE315" s="1166">
        <v>0</v>
      </c>
      <c r="BF315" s="1166">
        <v>74326</v>
      </c>
      <c r="BG315" s="1166">
        <v>87065</v>
      </c>
      <c r="BH315" s="1166">
        <v>1966774</v>
      </c>
      <c r="BI315" s="1166">
        <v>209023</v>
      </c>
      <c r="BJ315" s="1166">
        <v>52272</v>
      </c>
      <c r="BK315" s="1120"/>
      <c r="BL315" s="1120"/>
    </row>
    <row r="316" spans="1:64" s="401" customFormat="1" x14ac:dyDescent="0.3">
      <c r="A316" s="1152">
        <v>663</v>
      </c>
      <c r="B316" s="1222">
        <v>663</v>
      </c>
      <c r="C316" s="1152">
        <v>663</v>
      </c>
      <c r="D316" s="1152" t="s">
        <v>574</v>
      </c>
      <c r="E316" s="1152"/>
      <c r="F316" s="1163">
        <v>193606</v>
      </c>
      <c r="G316" s="1164">
        <v>378685</v>
      </c>
      <c r="H316" s="1164">
        <v>394972</v>
      </c>
      <c r="I316" s="1164">
        <v>116031</v>
      </c>
      <c r="J316" s="1164">
        <v>454458</v>
      </c>
      <c r="K316" s="1164">
        <v>134198</v>
      </c>
      <c r="L316" s="1165">
        <v>87115</v>
      </c>
      <c r="M316" s="1166">
        <v>0</v>
      </c>
      <c r="N316" s="1166">
        <v>233750</v>
      </c>
      <c r="O316" s="1167">
        <v>97158</v>
      </c>
      <c r="P316" s="1167">
        <v>201032</v>
      </c>
      <c r="Q316" s="1167">
        <v>498759</v>
      </c>
      <c r="R316" s="1167">
        <v>205823</v>
      </c>
      <c r="S316" s="1167">
        <v>64317</v>
      </c>
      <c r="T316" s="1167">
        <v>0</v>
      </c>
      <c r="U316" s="1167">
        <v>582022</v>
      </c>
      <c r="V316" s="1167">
        <v>560880</v>
      </c>
      <c r="W316" s="1167">
        <v>102569</v>
      </c>
      <c r="X316" s="1167">
        <v>60772</v>
      </c>
      <c r="Y316" s="1167">
        <v>1024056</v>
      </c>
      <c r="Z316" s="1167">
        <v>0</v>
      </c>
      <c r="AA316" s="1167">
        <v>0</v>
      </c>
      <c r="AB316" s="1167">
        <v>0</v>
      </c>
      <c r="AC316" s="1167">
        <v>295013</v>
      </c>
      <c r="AD316" s="1166">
        <v>0</v>
      </c>
      <c r="AE316" s="1166">
        <v>908038</v>
      </c>
      <c r="AF316" s="1166">
        <v>68455</v>
      </c>
      <c r="AG316" s="1166">
        <v>633699</v>
      </c>
      <c r="AH316" s="1166">
        <v>290519</v>
      </c>
      <c r="AI316" s="1166">
        <v>112136</v>
      </c>
      <c r="AJ316" s="1166">
        <v>928920</v>
      </c>
      <c r="AK316" s="1166">
        <v>457808</v>
      </c>
      <c r="AL316" s="1166">
        <v>715951</v>
      </c>
      <c r="AM316" s="1166">
        <v>0</v>
      </c>
      <c r="AN316" s="1166">
        <v>355028</v>
      </c>
      <c r="AO316" s="1166">
        <v>553062</v>
      </c>
      <c r="AP316" s="1166">
        <v>324471</v>
      </c>
      <c r="AQ316" s="1166">
        <v>226064</v>
      </c>
      <c r="AR316" s="1166">
        <v>300238</v>
      </c>
      <c r="AS316" s="1166">
        <v>0</v>
      </c>
      <c r="AT316" s="1166">
        <v>317745</v>
      </c>
      <c r="AU316" s="1166">
        <v>105153</v>
      </c>
      <c r="AV316" s="1166">
        <v>234928</v>
      </c>
      <c r="AW316" s="1166">
        <v>0</v>
      </c>
      <c r="AX316" s="1166">
        <v>228839</v>
      </c>
      <c r="AY316" s="1166">
        <v>3829817</v>
      </c>
      <c r="AZ316" s="1166">
        <v>178794</v>
      </c>
      <c r="BA316" s="1166">
        <v>274820</v>
      </c>
      <c r="BB316" s="1166">
        <v>133881</v>
      </c>
      <c r="BC316" s="1166">
        <v>737783</v>
      </c>
      <c r="BD316" s="1166">
        <v>32095</v>
      </c>
      <c r="BE316" s="1166">
        <v>0</v>
      </c>
      <c r="BF316" s="1166">
        <v>354998</v>
      </c>
      <c r="BG316" s="1166">
        <v>439155</v>
      </c>
      <c r="BH316" s="1166">
        <v>1749399</v>
      </c>
      <c r="BI316" s="1166">
        <v>274690</v>
      </c>
      <c r="BJ316" s="1166">
        <v>76580</v>
      </c>
      <c r="BK316" s="1120"/>
      <c r="BL316" s="1120"/>
    </row>
    <row r="317" spans="1:64" s="401" customFormat="1" x14ac:dyDescent="0.3">
      <c r="A317" s="1152">
        <v>906</v>
      </c>
      <c r="B317" s="1152"/>
      <c r="C317" s="1152" t="s">
        <v>1423</v>
      </c>
      <c r="D317" s="1152" t="s">
        <v>624</v>
      </c>
      <c r="E317" s="1152"/>
      <c r="F317" s="1163">
        <v>1</v>
      </c>
      <c r="G317" s="1164">
        <v>1</v>
      </c>
      <c r="H317" s="1164">
        <v>1</v>
      </c>
      <c r="I317" s="1164">
        <v>1</v>
      </c>
      <c r="J317" s="1164">
        <v>1</v>
      </c>
      <c r="K317" s="1164">
        <v>1</v>
      </c>
      <c r="L317" s="1165">
        <v>1</v>
      </c>
      <c r="M317" s="1166">
        <v>1</v>
      </c>
      <c r="N317" s="1166">
        <v>1</v>
      </c>
      <c r="O317" s="1167">
        <v>1</v>
      </c>
      <c r="P317" s="1167">
        <v>1</v>
      </c>
      <c r="Q317" s="1167">
        <v>1</v>
      </c>
      <c r="R317" s="1167">
        <v>1</v>
      </c>
      <c r="S317" s="1167">
        <v>1</v>
      </c>
      <c r="T317" s="1167">
        <v>1</v>
      </c>
      <c r="U317" s="1167">
        <v>1</v>
      </c>
      <c r="V317" s="1167">
        <v>1</v>
      </c>
      <c r="W317" s="1167">
        <v>1</v>
      </c>
      <c r="X317" s="1167">
        <v>1</v>
      </c>
      <c r="Y317" s="1167">
        <v>1</v>
      </c>
      <c r="Z317" s="1167">
        <v>1</v>
      </c>
      <c r="AA317" s="1167">
        <v>1</v>
      </c>
      <c r="AB317" s="1167">
        <v>1</v>
      </c>
      <c r="AC317" s="1167">
        <v>1</v>
      </c>
      <c r="AD317" s="1166">
        <v>1</v>
      </c>
      <c r="AE317" s="1166">
        <v>1</v>
      </c>
      <c r="AF317" s="1166">
        <v>1</v>
      </c>
      <c r="AG317" s="1166">
        <v>1</v>
      </c>
      <c r="AH317" s="1166">
        <v>1</v>
      </c>
      <c r="AI317" s="1166">
        <v>1</v>
      </c>
      <c r="AJ317" s="1166">
        <v>1</v>
      </c>
      <c r="AK317" s="1166">
        <v>1</v>
      </c>
      <c r="AL317" s="1166">
        <v>1</v>
      </c>
      <c r="AM317" s="1166">
        <v>1</v>
      </c>
      <c r="AN317" s="1166">
        <v>1</v>
      </c>
      <c r="AO317" s="1166">
        <v>1</v>
      </c>
      <c r="AP317" s="1166">
        <v>1</v>
      </c>
      <c r="AQ317" s="1166">
        <v>1</v>
      </c>
      <c r="AR317" s="1166">
        <v>1</v>
      </c>
      <c r="AS317" s="1166">
        <v>1</v>
      </c>
      <c r="AT317" s="1166">
        <v>1</v>
      </c>
      <c r="AU317" s="1166">
        <v>1</v>
      </c>
      <c r="AV317" s="1166">
        <v>1</v>
      </c>
      <c r="AW317" s="1166">
        <v>1</v>
      </c>
      <c r="AX317" s="1166">
        <v>1</v>
      </c>
      <c r="AY317" s="1166">
        <v>1</v>
      </c>
      <c r="AZ317" s="1166">
        <v>1</v>
      </c>
      <c r="BA317" s="1166">
        <v>1</v>
      </c>
      <c r="BB317" s="1166">
        <v>1</v>
      </c>
      <c r="BC317" s="1166">
        <v>1</v>
      </c>
      <c r="BD317" s="1166">
        <v>1</v>
      </c>
      <c r="BE317" s="1166">
        <v>1</v>
      </c>
      <c r="BF317" s="1166">
        <v>1</v>
      </c>
      <c r="BG317" s="1166">
        <v>1</v>
      </c>
      <c r="BH317" s="1166">
        <v>1</v>
      </c>
      <c r="BI317" s="1166">
        <v>1</v>
      </c>
      <c r="BJ317" s="1166">
        <v>1</v>
      </c>
      <c r="BK317" s="1120"/>
      <c r="BL317" s="1120"/>
    </row>
    <row r="318" spans="1:64" s="401" customFormat="1" x14ac:dyDescent="0.3">
      <c r="A318" s="1152">
        <v>907</v>
      </c>
      <c r="B318" s="1152"/>
      <c r="C318" s="1152" t="s">
        <v>1423</v>
      </c>
      <c r="D318" s="1152" t="s">
        <v>625</v>
      </c>
      <c r="E318" s="1152"/>
      <c r="F318" s="1163">
        <v>2</v>
      </c>
      <c r="G318" s="1164">
        <v>2</v>
      </c>
      <c r="H318" s="1164">
        <v>2</v>
      </c>
      <c r="I318" s="1164">
        <v>2</v>
      </c>
      <c r="J318" s="1164">
        <v>2</v>
      </c>
      <c r="K318" s="1164">
        <v>2</v>
      </c>
      <c r="L318" s="1165">
        <v>2</v>
      </c>
      <c r="M318" s="1166">
        <v>2</v>
      </c>
      <c r="N318" s="1166">
        <v>2</v>
      </c>
      <c r="O318" s="1167">
        <v>2</v>
      </c>
      <c r="P318" s="1167">
        <v>2</v>
      </c>
      <c r="Q318" s="1167">
        <v>2</v>
      </c>
      <c r="R318" s="1167">
        <v>2</v>
      </c>
      <c r="S318" s="1167">
        <v>2</v>
      </c>
      <c r="T318" s="1167">
        <v>2</v>
      </c>
      <c r="U318" s="1167">
        <v>2</v>
      </c>
      <c r="V318" s="1167">
        <v>2</v>
      </c>
      <c r="W318" s="1167">
        <v>2</v>
      </c>
      <c r="X318" s="1167">
        <v>2</v>
      </c>
      <c r="Y318" s="1167">
        <v>2</v>
      </c>
      <c r="Z318" s="1167">
        <v>2</v>
      </c>
      <c r="AA318" s="1167">
        <v>2</v>
      </c>
      <c r="AB318" s="1167">
        <v>2</v>
      </c>
      <c r="AC318" s="1167">
        <v>2</v>
      </c>
      <c r="AD318" s="1166">
        <v>2</v>
      </c>
      <c r="AE318" s="1166">
        <v>2</v>
      </c>
      <c r="AF318" s="1166">
        <v>2</v>
      </c>
      <c r="AG318" s="1166">
        <v>2</v>
      </c>
      <c r="AH318" s="1166">
        <v>2</v>
      </c>
      <c r="AI318" s="1166">
        <v>2</v>
      </c>
      <c r="AJ318" s="1166">
        <v>2</v>
      </c>
      <c r="AK318" s="1166">
        <v>2</v>
      </c>
      <c r="AL318" s="1166">
        <v>2</v>
      </c>
      <c r="AM318" s="1166">
        <v>2</v>
      </c>
      <c r="AN318" s="1166">
        <v>2</v>
      </c>
      <c r="AO318" s="1166">
        <v>2</v>
      </c>
      <c r="AP318" s="1166">
        <v>2</v>
      </c>
      <c r="AQ318" s="1166">
        <v>2</v>
      </c>
      <c r="AR318" s="1166">
        <v>2</v>
      </c>
      <c r="AS318" s="1166">
        <v>2</v>
      </c>
      <c r="AT318" s="1166">
        <v>2</v>
      </c>
      <c r="AU318" s="1166">
        <v>2</v>
      </c>
      <c r="AV318" s="1166">
        <v>2</v>
      </c>
      <c r="AW318" s="1166">
        <v>2</v>
      </c>
      <c r="AX318" s="1166">
        <v>2</v>
      </c>
      <c r="AY318" s="1166">
        <v>2</v>
      </c>
      <c r="AZ318" s="1166">
        <v>2</v>
      </c>
      <c r="BA318" s="1166">
        <v>2</v>
      </c>
      <c r="BB318" s="1166">
        <v>2</v>
      </c>
      <c r="BC318" s="1166">
        <v>2</v>
      </c>
      <c r="BD318" s="1166">
        <v>2</v>
      </c>
      <c r="BE318" s="1166">
        <v>2</v>
      </c>
      <c r="BF318" s="1166">
        <v>2</v>
      </c>
      <c r="BG318" s="1166">
        <v>2</v>
      </c>
      <c r="BH318" s="1166">
        <v>2</v>
      </c>
      <c r="BI318" s="1166">
        <v>2</v>
      </c>
      <c r="BJ318" s="1166">
        <v>2</v>
      </c>
      <c r="BK318" s="1120"/>
      <c r="BL318" s="1120"/>
    </row>
    <row r="319" spans="1:64" s="401" customFormat="1" x14ac:dyDescent="0.3">
      <c r="A319" s="1152">
        <v>951</v>
      </c>
      <c r="B319" s="1152"/>
      <c r="C319" s="1152" t="s">
        <v>1423</v>
      </c>
      <c r="D319" s="1152" t="s">
        <v>626</v>
      </c>
      <c r="E319" s="1152"/>
      <c r="F319" s="1163">
        <v>2</v>
      </c>
      <c r="G319" s="1164">
        <v>2</v>
      </c>
      <c r="H319" s="1164">
        <v>2</v>
      </c>
      <c r="I319" s="1164">
        <v>2</v>
      </c>
      <c r="J319" s="1164">
        <v>2</v>
      </c>
      <c r="K319" s="1164">
        <v>2</v>
      </c>
      <c r="L319" s="1165">
        <v>2</v>
      </c>
      <c r="M319" s="1166">
        <v>2</v>
      </c>
      <c r="N319" s="1166">
        <v>2</v>
      </c>
      <c r="O319" s="1167">
        <v>2</v>
      </c>
      <c r="P319" s="1167">
        <v>2</v>
      </c>
      <c r="Q319" s="1167">
        <v>2</v>
      </c>
      <c r="R319" s="1167">
        <v>2</v>
      </c>
      <c r="S319" s="1167">
        <v>2</v>
      </c>
      <c r="T319" s="1167">
        <v>2</v>
      </c>
      <c r="U319" s="1167">
        <v>2</v>
      </c>
      <c r="V319" s="1167">
        <v>2</v>
      </c>
      <c r="W319" s="1167">
        <v>2</v>
      </c>
      <c r="X319" s="1167">
        <v>2</v>
      </c>
      <c r="Y319" s="1167">
        <v>2</v>
      </c>
      <c r="Z319" s="1167">
        <v>2</v>
      </c>
      <c r="AA319" s="1167">
        <v>2</v>
      </c>
      <c r="AB319" s="1167">
        <v>2</v>
      </c>
      <c r="AC319" s="1167">
        <v>2</v>
      </c>
      <c r="AD319" s="1166">
        <v>2</v>
      </c>
      <c r="AE319" s="1166">
        <v>2</v>
      </c>
      <c r="AF319" s="1166">
        <v>2</v>
      </c>
      <c r="AG319" s="1166">
        <v>2</v>
      </c>
      <c r="AH319" s="1166">
        <v>2</v>
      </c>
      <c r="AI319" s="1166">
        <v>2</v>
      </c>
      <c r="AJ319" s="1166">
        <v>2</v>
      </c>
      <c r="AK319" s="1166">
        <v>2</v>
      </c>
      <c r="AL319" s="1166">
        <v>2</v>
      </c>
      <c r="AM319" s="1166">
        <v>2</v>
      </c>
      <c r="AN319" s="1166">
        <v>2</v>
      </c>
      <c r="AO319" s="1166">
        <v>2</v>
      </c>
      <c r="AP319" s="1166">
        <v>2</v>
      </c>
      <c r="AQ319" s="1166">
        <v>2</v>
      </c>
      <c r="AR319" s="1166">
        <v>2</v>
      </c>
      <c r="AS319" s="1166">
        <v>2</v>
      </c>
      <c r="AT319" s="1166">
        <v>2</v>
      </c>
      <c r="AU319" s="1166">
        <v>2</v>
      </c>
      <c r="AV319" s="1166">
        <v>2</v>
      </c>
      <c r="AW319" s="1166">
        <v>2</v>
      </c>
      <c r="AX319" s="1166">
        <v>2</v>
      </c>
      <c r="AY319" s="1166">
        <v>2</v>
      </c>
      <c r="AZ319" s="1166">
        <v>2</v>
      </c>
      <c r="BA319" s="1166">
        <v>2</v>
      </c>
      <c r="BB319" s="1166">
        <v>2</v>
      </c>
      <c r="BC319" s="1166">
        <v>2</v>
      </c>
      <c r="BD319" s="1166">
        <v>2</v>
      </c>
      <c r="BE319" s="1166">
        <v>2</v>
      </c>
      <c r="BF319" s="1166">
        <v>2</v>
      </c>
      <c r="BG319" s="1166">
        <v>2</v>
      </c>
      <c r="BH319" s="1166">
        <v>2</v>
      </c>
      <c r="BI319" s="1166">
        <v>2</v>
      </c>
      <c r="BJ319" s="1166">
        <v>2</v>
      </c>
      <c r="BK319" s="1120"/>
      <c r="BL319" s="1120"/>
    </row>
    <row r="320" spans="1:64" s="401" customFormat="1" x14ac:dyDescent="0.3">
      <c r="A320" s="1152">
        <v>953</v>
      </c>
      <c r="B320" s="1152"/>
      <c r="C320" s="1152" t="s">
        <v>1423</v>
      </c>
      <c r="D320" s="1152" t="s">
        <v>627</v>
      </c>
      <c r="E320" s="1152"/>
      <c r="F320" s="1163">
        <v>2</v>
      </c>
      <c r="G320" s="1164">
        <v>2</v>
      </c>
      <c r="H320" s="1164">
        <v>2</v>
      </c>
      <c r="I320" s="1164">
        <v>2</v>
      </c>
      <c r="J320" s="1164">
        <v>2</v>
      </c>
      <c r="K320" s="1164">
        <v>2</v>
      </c>
      <c r="L320" s="1165">
        <v>2</v>
      </c>
      <c r="M320" s="1166">
        <v>2</v>
      </c>
      <c r="N320" s="1166">
        <v>2</v>
      </c>
      <c r="O320" s="1167">
        <v>2</v>
      </c>
      <c r="P320" s="1167">
        <v>2</v>
      </c>
      <c r="Q320" s="1167">
        <v>2</v>
      </c>
      <c r="R320" s="1167">
        <v>2</v>
      </c>
      <c r="S320" s="1167">
        <v>2</v>
      </c>
      <c r="T320" s="1167">
        <v>2</v>
      </c>
      <c r="U320" s="1167">
        <v>2</v>
      </c>
      <c r="V320" s="1167">
        <v>2</v>
      </c>
      <c r="W320" s="1167">
        <v>2</v>
      </c>
      <c r="X320" s="1167">
        <v>2</v>
      </c>
      <c r="Y320" s="1167">
        <v>2</v>
      </c>
      <c r="Z320" s="1167">
        <v>2</v>
      </c>
      <c r="AA320" s="1167">
        <v>2</v>
      </c>
      <c r="AB320" s="1167">
        <v>2</v>
      </c>
      <c r="AC320" s="1167">
        <v>2</v>
      </c>
      <c r="AD320" s="1166">
        <v>2</v>
      </c>
      <c r="AE320" s="1166">
        <v>2</v>
      </c>
      <c r="AF320" s="1166">
        <v>2</v>
      </c>
      <c r="AG320" s="1166">
        <v>2</v>
      </c>
      <c r="AH320" s="1166">
        <v>2</v>
      </c>
      <c r="AI320" s="1166">
        <v>2</v>
      </c>
      <c r="AJ320" s="1166">
        <v>2</v>
      </c>
      <c r="AK320" s="1166">
        <v>2</v>
      </c>
      <c r="AL320" s="1166">
        <v>2</v>
      </c>
      <c r="AM320" s="1166">
        <v>2</v>
      </c>
      <c r="AN320" s="1166">
        <v>2</v>
      </c>
      <c r="AO320" s="1166">
        <v>2</v>
      </c>
      <c r="AP320" s="1166">
        <v>2</v>
      </c>
      <c r="AQ320" s="1166">
        <v>2</v>
      </c>
      <c r="AR320" s="1166">
        <v>2</v>
      </c>
      <c r="AS320" s="1166">
        <v>2</v>
      </c>
      <c r="AT320" s="1166">
        <v>2</v>
      </c>
      <c r="AU320" s="1166">
        <v>2</v>
      </c>
      <c r="AV320" s="1166">
        <v>2</v>
      </c>
      <c r="AW320" s="1166">
        <v>2</v>
      </c>
      <c r="AX320" s="1166">
        <v>2</v>
      </c>
      <c r="AY320" s="1166">
        <v>2</v>
      </c>
      <c r="AZ320" s="1166">
        <v>2</v>
      </c>
      <c r="BA320" s="1166">
        <v>2</v>
      </c>
      <c r="BB320" s="1166">
        <v>2</v>
      </c>
      <c r="BC320" s="1166">
        <v>2</v>
      </c>
      <c r="BD320" s="1166">
        <v>2</v>
      </c>
      <c r="BE320" s="1166">
        <v>2</v>
      </c>
      <c r="BF320" s="1166">
        <v>2</v>
      </c>
      <c r="BG320" s="1166">
        <v>2</v>
      </c>
      <c r="BH320" s="1166">
        <v>2</v>
      </c>
      <c r="BI320" s="1166">
        <v>2</v>
      </c>
      <c r="BJ320" s="1166">
        <v>2</v>
      </c>
      <c r="BK320" s="1120"/>
      <c r="BL320" s="1120"/>
    </row>
    <row r="321" spans="1:64" s="401" customFormat="1" x14ac:dyDescent="0.3">
      <c r="A321" s="1152">
        <v>955</v>
      </c>
      <c r="B321" s="1152"/>
      <c r="C321" s="1152" t="s">
        <v>1423</v>
      </c>
      <c r="D321" s="1152" t="s">
        <v>637</v>
      </c>
      <c r="E321" s="1152"/>
      <c r="F321" s="1163">
        <v>1</v>
      </c>
      <c r="G321" s="1164">
        <v>0</v>
      </c>
      <c r="H321" s="1164">
        <v>0</v>
      </c>
      <c r="I321" s="1164">
        <v>1</v>
      </c>
      <c r="J321" s="1164">
        <v>1</v>
      </c>
      <c r="K321" s="1164">
        <v>0</v>
      </c>
      <c r="L321" s="1165">
        <v>0</v>
      </c>
      <c r="M321" s="1166">
        <v>0</v>
      </c>
      <c r="N321" s="1166">
        <v>0</v>
      </c>
      <c r="O321" s="1167">
        <v>0</v>
      </c>
      <c r="P321" s="1167">
        <v>0</v>
      </c>
      <c r="Q321" s="1167">
        <v>0</v>
      </c>
      <c r="R321" s="1167">
        <v>0</v>
      </c>
      <c r="S321" s="1167">
        <v>0</v>
      </c>
      <c r="T321" s="1167">
        <v>0</v>
      </c>
      <c r="U321" s="1167">
        <v>1</v>
      </c>
      <c r="V321" s="1167">
        <v>0</v>
      </c>
      <c r="W321" s="1167">
        <v>1</v>
      </c>
      <c r="X321" s="1167">
        <v>3</v>
      </c>
      <c r="Y321" s="1167">
        <v>0</v>
      </c>
      <c r="Z321" s="1167">
        <v>0</v>
      </c>
      <c r="AA321" s="1167">
        <v>0</v>
      </c>
      <c r="AB321" s="1167">
        <v>0</v>
      </c>
      <c r="AC321" s="1167">
        <v>0</v>
      </c>
      <c r="AD321" s="1166">
        <v>0</v>
      </c>
      <c r="AE321" s="1166">
        <v>0</v>
      </c>
      <c r="AF321" s="1166">
        <v>0</v>
      </c>
      <c r="AG321" s="1166">
        <v>1</v>
      </c>
      <c r="AH321" s="1166">
        <v>0</v>
      </c>
      <c r="AI321" s="1166">
        <v>0</v>
      </c>
      <c r="AJ321" s="1166">
        <v>0</v>
      </c>
      <c r="AK321" s="1166">
        <v>0</v>
      </c>
      <c r="AL321" s="1166">
        <v>1</v>
      </c>
      <c r="AM321" s="1166">
        <v>0</v>
      </c>
      <c r="AN321" s="1166">
        <v>0</v>
      </c>
      <c r="AO321" s="1166">
        <v>3</v>
      </c>
      <c r="AP321" s="1166">
        <v>0</v>
      </c>
      <c r="AQ321" s="1166">
        <v>0</v>
      </c>
      <c r="AR321" s="1166">
        <v>0</v>
      </c>
      <c r="AS321" s="1166">
        <v>0</v>
      </c>
      <c r="AT321" s="1166">
        <v>0</v>
      </c>
      <c r="AU321" s="1166">
        <v>0</v>
      </c>
      <c r="AV321" s="1166">
        <v>0</v>
      </c>
      <c r="AW321" s="1166">
        <v>0</v>
      </c>
      <c r="AX321" s="1166">
        <v>2</v>
      </c>
      <c r="AY321" s="1166">
        <v>0</v>
      </c>
      <c r="AZ321" s="1166">
        <v>0</v>
      </c>
      <c r="BA321" s="1166">
        <v>5</v>
      </c>
      <c r="BB321" s="1166">
        <v>1</v>
      </c>
      <c r="BC321" s="1166">
        <v>0</v>
      </c>
      <c r="BD321" s="1166">
        <v>0</v>
      </c>
      <c r="BE321" s="1166">
        <v>1</v>
      </c>
      <c r="BF321" s="1166">
        <v>0</v>
      </c>
      <c r="BG321" s="1166">
        <v>0</v>
      </c>
      <c r="BH321" s="1166">
        <v>2</v>
      </c>
      <c r="BI321" s="1166">
        <v>1</v>
      </c>
      <c r="BJ321" s="1166">
        <v>0</v>
      </c>
      <c r="BK321" s="1120"/>
      <c r="BL321" s="1120"/>
    </row>
    <row r="322" spans="1:64" s="401" customFormat="1" x14ac:dyDescent="0.3">
      <c r="A322" s="1152">
        <v>957</v>
      </c>
      <c r="B322" s="1152"/>
      <c r="C322" s="1152" t="s">
        <v>1423</v>
      </c>
      <c r="D322" s="1152" t="s">
        <v>638</v>
      </c>
      <c r="E322" s="1152"/>
      <c r="F322" s="1163">
        <v>0</v>
      </c>
      <c r="G322" s="1164">
        <v>0</v>
      </c>
      <c r="H322" s="1164">
        <v>1</v>
      </c>
      <c r="I322" s="1164">
        <v>0</v>
      </c>
      <c r="J322" s="1164">
        <v>0</v>
      </c>
      <c r="K322" s="1164">
        <v>0</v>
      </c>
      <c r="L322" s="1165">
        <v>0</v>
      </c>
      <c r="M322" s="1166">
        <v>0</v>
      </c>
      <c r="N322" s="1166">
        <v>0</v>
      </c>
      <c r="O322" s="1167">
        <v>0</v>
      </c>
      <c r="P322" s="1167">
        <v>0</v>
      </c>
      <c r="Q322" s="1167">
        <v>0</v>
      </c>
      <c r="R322" s="1167">
        <v>0</v>
      </c>
      <c r="S322" s="1167">
        <v>0</v>
      </c>
      <c r="T322" s="1167">
        <v>0</v>
      </c>
      <c r="U322" s="1167">
        <v>0</v>
      </c>
      <c r="V322" s="1167">
        <v>0</v>
      </c>
      <c r="W322" s="1167">
        <v>0</v>
      </c>
      <c r="X322" s="1167">
        <v>0</v>
      </c>
      <c r="Y322" s="1167">
        <v>0</v>
      </c>
      <c r="Z322" s="1167">
        <v>0</v>
      </c>
      <c r="AA322" s="1167">
        <v>0</v>
      </c>
      <c r="AB322" s="1167">
        <v>0</v>
      </c>
      <c r="AC322" s="1167">
        <v>0</v>
      </c>
      <c r="AD322" s="1166">
        <v>0</v>
      </c>
      <c r="AE322" s="1166">
        <v>0</v>
      </c>
      <c r="AF322" s="1166">
        <v>0</v>
      </c>
      <c r="AG322" s="1166">
        <v>0</v>
      </c>
      <c r="AH322" s="1166">
        <v>0</v>
      </c>
      <c r="AI322" s="1166">
        <v>0</v>
      </c>
      <c r="AJ322" s="1166">
        <v>0</v>
      </c>
      <c r="AK322" s="1166">
        <v>0</v>
      </c>
      <c r="AL322" s="1166">
        <v>0</v>
      </c>
      <c r="AM322" s="1166">
        <v>0</v>
      </c>
      <c r="AN322" s="1166">
        <v>0</v>
      </c>
      <c r="AO322" s="1166">
        <v>0</v>
      </c>
      <c r="AP322" s="1166">
        <v>0</v>
      </c>
      <c r="AQ322" s="1166">
        <v>0</v>
      </c>
      <c r="AR322" s="1166">
        <v>0</v>
      </c>
      <c r="AS322" s="1166">
        <v>0</v>
      </c>
      <c r="AT322" s="1166">
        <v>1</v>
      </c>
      <c r="AU322" s="1166">
        <v>0</v>
      </c>
      <c r="AV322" s="1166">
        <v>0</v>
      </c>
      <c r="AW322" s="1166">
        <v>0</v>
      </c>
      <c r="AX322" s="1166">
        <v>1</v>
      </c>
      <c r="AY322" s="1166">
        <v>0</v>
      </c>
      <c r="AZ322" s="1166">
        <v>1</v>
      </c>
      <c r="BA322" s="1166">
        <v>0</v>
      </c>
      <c r="BB322" s="1166">
        <v>0</v>
      </c>
      <c r="BC322" s="1166">
        <v>4</v>
      </c>
      <c r="BD322" s="1166">
        <v>0</v>
      </c>
      <c r="BE322" s="1166">
        <v>0</v>
      </c>
      <c r="BF322" s="1166">
        <v>0</v>
      </c>
      <c r="BG322" s="1166">
        <v>0</v>
      </c>
      <c r="BH322" s="1166">
        <v>1</v>
      </c>
      <c r="BI322" s="1166">
        <v>0</v>
      </c>
      <c r="BJ322" s="1166">
        <v>0</v>
      </c>
      <c r="BK322" s="1120"/>
      <c r="BL322" s="1120"/>
    </row>
    <row r="323" spans="1:64" s="401" customFormat="1" x14ac:dyDescent="0.3">
      <c r="A323" s="1152">
        <v>959</v>
      </c>
      <c r="B323" s="1152"/>
      <c r="C323" s="1152" t="s">
        <v>1423</v>
      </c>
      <c r="D323" s="1152" t="s">
        <v>628</v>
      </c>
      <c r="E323" s="1152"/>
      <c r="F323" s="1163">
        <v>2</v>
      </c>
      <c r="G323" s="1164">
        <v>2</v>
      </c>
      <c r="H323" s="1164">
        <v>2</v>
      </c>
      <c r="I323" s="1164">
        <v>2</v>
      </c>
      <c r="J323" s="1164">
        <v>2</v>
      </c>
      <c r="K323" s="1164">
        <v>2</v>
      </c>
      <c r="L323" s="1165">
        <v>2</v>
      </c>
      <c r="M323" s="1166">
        <v>2</v>
      </c>
      <c r="N323" s="1166">
        <v>2</v>
      </c>
      <c r="O323" s="1167">
        <v>3</v>
      </c>
      <c r="P323" s="1167">
        <v>2</v>
      </c>
      <c r="Q323" s="1167">
        <v>3</v>
      </c>
      <c r="R323" s="1167">
        <v>2</v>
      </c>
      <c r="S323" s="1167">
        <v>3</v>
      </c>
      <c r="T323" s="1167">
        <v>2</v>
      </c>
      <c r="U323" s="1167">
        <v>2</v>
      </c>
      <c r="V323" s="1167">
        <v>3</v>
      </c>
      <c r="W323" s="1167">
        <v>2</v>
      </c>
      <c r="X323" s="1167">
        <v>2</v>
      </c>
      <c r="Y323" s="1167">
        <v>2</v>
      </c>
      <c r="Z323" s="1167">
        <v>2</v>
      </c>
      <c r="AA323" s="1167">
        <v>2</v>
      </c>
      <c r="AB323" s="1167">
        <v>3</v>
      </c>
      <c r="AC323" s="1167">
        <v>2</v>
      </c>
      <c r="AD323" s="1166">
        <v>2</v>
      </c>
      <c r="AE323" s="1166">
        <v>3</v>
      </c>
      <c r="AF323" s="1166">
        <v>2</v>
      </c>
      <c r="AG323" s="1166">
        <v>3</v>
      </c>
      <c r="AH323" s="1166">
        <v>2</v>
      </c>
      <c r="AI323" s="1166">
        <v>2</v>
      </c>
      <c r="AJ323" s="1166">
        <v>2</v>
      </c>
      <c r="AK323" s="1166">
        <v>2</v>
      </c>
      <c r="AL323" s="1166">
        <v>2</v>
      </c>
      <c r="AM323" s="1166">
        <v>2</v>
      </c>
      <c r="AN323" s="1166">
        <v>2</v>
      </c>
      <c r="AO323" s="1166">
        <v>2</v>
      </c>
      <c r="AP323" s="1166">
        <v>2</v>
      </c>
      <c r="AQ323" s="1166">
        <v>3</v>
      </c>
      <c r="AR323" s="1166">
        <v>2</v>
      </c>
      <c r="AS323" s="1166">
        <v>2</v>
      </c>
      <c r="AT323" s="1166">
        <v>2</v>
      </c>
      <c r="AU323" s="1166">
        <v>2</v>
      </c>
      <c r="AV323" s="1166">
        <v>2</v>
      </c>
      <c r="AW323" s="1166">
        <v>2</v>
      </c>
      <c r="AX323" s="1166">
        <v>3</v>
      </c>
      <c r="AY323" s="1166">
        <v>3</v>
      </c>
      <c r="AZ323" s="1166">
        <v>2</v>
      </c>
      <c r="BA323" s="1166">
        <v>2</v>
      </c>
      <c r="BB323" s="1166">
        <v>2</v>
      </c>
      <c r="BC323" s="1166">
        <v>2</v>
      </c>
      <c r="BD323" s="1166">
        <v>2</v>
      </c>
      <c r="BE323" s="1166">
        <v>2</v>
      </c>
      <c r="BF323" s="1166">
        <v>3</v>
      </c>
      <c r="BG323" s="1166">
        <v>2</v>
      </c>
      <c r="BH323" s="1166">
        <v>3</v>
      </c>
      <c r="BI323" s="1166">
        <v>2</v>
      </c>
      <c r="BJ323" s="1166">
        <v>2</v>
      </c>
      <c r="BK323" s="1120"/>
      <c r="BL323" s="1120"/>
    </row>
    <row r="324" spans="1:64" s="401" customFormat="1" x14ac:dyDescent="0.3">
      <c r="A324" s="1152">
        <v>961</v>
      </c>
      <c r="B324" s="1152"/>
      <c r="C324" s="1152" t="s">
        <v>1423</v>
      </c>
      <c r="D324" s="1152" t="s">
        <v>629</v>
      </c>
      <c r="E324" s="1152"/>
      <c r="F324" s="1163">
        <v>2</v>
      </c>
      <c r="G324" s="1164">
        <v>2</v>
      </c>
      <c r="H324" s="1164">
        <v>2</v>
      </c>
      <c r="I324" s="1164">
        <v>2</v>
      </c>
      <c r="J324" s="1164">
        <v>2</v>
      </c>
      <c r="K324" s="1164">
        <v>2</v>
      </c>
      <c r="L324" s="1165">
        <v>2</v>
      </c>
      <c r="M324" s="1166">
        <v>2</v>
      </c>
      <c r="N324" s="1166">
        <v>2</v>
      </c>
      <c r="O324" s="1167">
        <v>3</v>
      </c>
      <c r="P324" s="1167">
        <v>2</v>
      </c>
      <c r="Q324" s="1167">
        <v>3</v>
      </c>
      <c r="R324" s="1167">
        <v>2</v>
      </c>
      <c r="S324" s="1167">
        <v>3</v>
      </c>
      <c r="T324" s="1167">
        <v>2</v>
      </c>
      <c r="U324" s="1167">
        <v>2</v>
      </c>
      <c r="V324" s="1167">
        <v>3</v>
      </c>
      <c r="W324" s="1167">
        <v>2</v>
      </c>
      <c r="X324" s="1167">
        <v>2</v>
      </c>
      <c r="Y324" s="1167">
        <v>2</v>
      </c>
      <c r="Z324" s="1167">
        <v>2</v>
      </c>
      <c r="AA324" s="1167">
        <v>3</v>
      </c>
      <c r="AB324" s="1167">
        <v>2</v>
      </c>
      <c r="AC324" s="1167">
        <v>2</v>
      </c>
      <c r="AD324" s="1166">
        <v>2</v>
      </c>
      <c r="AE324" s="1166">
        <v>3</v>
      </c>
      <c r="AF324" s="1166">
        <v>2</v>
      </c>
      <c r="AG324" s="1166">
        <v>3</v>
      </c>
      <c r="AH324" s="1166">
        <v>2</v>
      </c>
      <c r="AI324" s="1166">
        <v>2</v>
      </c>
      <c r="AJ324" s="1166">
        <v>2</v>
      </c>
      <c r="AK324" s="1166">
        <v>2</v>
      </c>
      <c r="AL324" s="1166">
        <v>2</v>
      </c>
      <c r="AM324" s="1166">
        <v>2</v>
      </c>
      <c r="AN324" s="1166">
        <v>2</v>
      </c>
      <c r="AO324" s="1166">
        <v>2</v>
      </c>
      <c r="AP324" s="1166">
        <v>2</v>
      </c>
      <c r="AQ324" s="1166">
        <v>3</v>
      </c>
      <c r="AR324" s="1166">
        <v>2</v>
      </c>
      <c r="AS324" s="1166">
        <v>2</v>
      </c>
      <c r="AT324" s="1166">
        <v>2</v>
      </c>
      <c r="AU324" s="1166">
        <v>2</v>
      </c>
      <c r="AV324" s="1166">
        <v>3</v>
      </c>
      <c r="AW324" s="1166">
        <v>2</v>
      </c>
      <c r="AX324" s="1166">
        <v>3</v>
      </c>
      <c r="AY324" s="1166">
        <v>3</v>
      </c>
      <c r="AZ324" s="1166">
        <v>2</v>
      </c>
      <c r="BA324" s="1166">
        <v>2</v>
      </c>
      <c r="BB324" s="1166">
        <v>2</v>
      </c>
      <c r="BC324" s="1166">
        <v>2</v>
      </c>
      <c r="BD324" s="1166">
        <v>2</v>
      </c>
      <c r="BE324" s="1166">
        <v>2</v>
      </c>
      <c r="BF324" s="1166">
        <v>3</v>
      </c>
      <c r="BG324" s="1166">
        <v>2</v>
      </c>
      <c r="BH324" s="1166">
        <v>3</v>
      </c>
      <c r="BI324" s="1166">
        <v>2</v>
      </c>
      <c r="BJ324" s="1166">
        <v>2</v>
      </c>
      <c r="BK324" s="1120"/>
      <c r="BL324" s="1120"/>
    </row>
    <row r="325" spans="1:64" s="401" customFormat="1" x14ac:dyDescent="0.3">
      <c r="A325" s="1152">
        <v>963</v>
      </c>
      <c r="B325" s="1152"/>
      <c r="C325" s="1152" t="s">
        <v>1423</v>
      </c>
      <c r="D325" s="1152" t="s">
        <v>630</v>
      </c>
      <c r="E325" s="1152"/>
      <c r="F325" s="1163">
        <v>3</v>
      </c>
      <c r="G325" s="1164">
        <v>3</v>
      </c>
      <c r="H325" s="1164">
        <v>3</v>
      </c>
      <c r="I325" s="1164">
        <v>3</v>
      </c>
      <c r="J325" s="1164">
        <v>3</v>
      </c>
      <c r="K325" s="1164">
        <v>1</v>
      </c>
      <c r="L325" s="1165">
        <v>3</v>
      </c>
      <c r="M325" s="1166">
        <v>3</v>
      </c>
      <c r="N325" s="1166">
        <v>3</v>
      </c>
      <c r="O325" s="1167">
        <v>3</v>
      </c>
      <c r="P325" s="1167">
        <v>3</v>
      </c>
      <c r="Q325" s="1167">
        <v>3</v>
      </c>
      <c r="R325" s="1167">
        <v>3</v>
      </c>
      <c r="S325" s="1167">
        <v>3</v>
      </c>
      <c r="T325" s="1167">
        <v>3</v>
      </c>
      <c r="U325" s="1167">
        <v>3</v>
      </c>
      <c r="V325" s="1167">
        <v>3</v>
      </c>
      <c r="W325" s="1167">
        <v>3</v>
      </c>
      <c r="X325" s="1167">
        <v>3</v>
      </c>
      <c r="Y325" s="1167">
        <v>3</v>
      </c>
      <c r="Z325" s="1167">
        <v>3</v>
      </c>
      <c r="AA325" s="1167">
        <v>3</v>
      </c>
      <c r="AB325" s="1167">
        <v>3</v>
      </c>
      <c r="AC325" s="1167">
        <v>3</v>
      </c>
      <c r="AD325" s="1166">
        <v>3</v>
      </c>
      <c r="AE325" s="1166">
        <v>3</v>
      </c>
      <c r="AF325" s="1166">
        <v>3</v>
      </c>
      <c r="AG325" s="1166">
        <v>3</v>
      </c>
      <c r="AH325" s="1166">
        <v>3</v>
      </c>
      <c r="AI325" s="1166">
        <v>3</v>
      </c>
      <c r="AJ325" s="1166">
        <v>3</v>
      </c>
      <c r="AK325" s="1166">
        <v>3</v>
      </c>
      <c r="AL325" s="1166">
        <v>3</v>
      </c>
      <c r="AM325" s="1166">
        <v>3</v>
      </c>
      <c r="AN325" s="1166">
        <v>3</v>
      </c>
      <c r="AO325" s="1166">
        <v>3</v>
      </c>
      <c r="AP325" s="1166">
        <v>3</v>
      </c>
      <c r="AQ325" s="1166">
        <v>3</v>
      </c>
      <c r="AR325" s="1166">
        <v>3</v>
      </c>
      <c r="AS325" s="1166">
        <v>3</v>
      </c>
      <c r="AT325" s="1166">
        <v>3</v>
      </c>
      <c r="AU325" s="1166">
        <v>3</v>
      </c>
      <c r="AV325" s="1166">
        <v>3</v>
      </c>
      <c r="AW325" s="1166">
        <v>3</v>
      </c>
      <c r="AX325" s="1166">
        <v>3</v>
      </c>
      <c r="AY325" s="1166">
        <v>3</v>
      </c>
      <c r="AZ325" s="1166">
        <v>3</v>
      </c>
      <c r="BA325" s="1166">
        <v>3</v>
      </c>
      <c r="BB325" s="1166">
        <v>3</v>
      </c>
      <c r="BC325" s="1166">
        <v>3</v>
      </c>
      <c r="BD325" s="1166">
        <v>3</v>
      </c>
      <c r="BE325" s="1166">
        <v>3</v>
      </c>
      <c r="BF325" s="1166">
        <v>3</v>
      </c>
      <c r="BG325" s="1166">
        <v>3</v>
      </c>
      <c r="BH325" s="1166">
        <v>3</v>
      </c>
      <c r="BI325" s="1166">
        <v>3</v>
      </c>
      <c r="BJ325" s="1166">
        <v>3</v>
      </c>
      <c r="BK325" s="1120"/>
      <c r="BL325" s="1120"/>
    </row>
    <row r="326" spans="1:64" s="401" customFormat="1" x14ac:dyDescent="0.3">
      <c r="A326" s="1152">
        <v>965</v>
      </c>
      <c r="B326" s="1152"/>
      <c r="C326" s="1152" t="s">
        <v>1423</v>
      </c>
      <c r="D326" s="1152" t="s">
        <v>631</v>
      </c>
      <c r="E326" s="1152"/>
      <c r="F326" s="1163">
        <v>1</v>
      </c>
      <c r="G326" s="1164">
        <v>1</v>
      </c>
      <c r="H326" s="1164">
        <v>1</v>
      </c>
      <c r="I326" s="1164">
        <v>1</v>
      </c>
      <c r="J326" s="1164">
        <v>1</v>
      </c>
      <c r="K326" s="1164">
        <v>1</v>
      </c>
      <c r="L326" s="1165">
        <v>1</v>
      </c>
      <c r="M326" s="1166">
        <v>1</v>
      </c>
      <c r="N326" s="1166">
        <v>1</v>
      </c>
      <c r="O326" s="1167">
        <v>1</v>
      </c>
      <c r="P326" s="1167">
        <v>1</v>
      </c>
      <c r="Q326" s="1167">
        <v>1</v>
      </c>
      <c r="R326" s="1167">
        <v>1</v>
      </c>
      <c r="S326" s="1167">
        <v>1</v>
      </c>
      <c r="T326" s="1167">
        <v>1</v>
      </c>
      <c r="U326" s="1167">
        <v>1</v>
      </c>
      <c r="V326" s="1167">
        <v>1</v>
      </c>
      <c r="W326" s="1167">
        <v>1</v>
      </c>
      <c r="X326" s="1167">
        <v>1</v>
      </c>
      <c r="Y326" s="1167">
        <v>1</v>
      </c>
      <c r="Z326" s="1167">
        <v>1</v>
      </c>
      <c r="AA326" s="1167">
        <v>1</v>
      </c>
      <c r="AB326" s="1167">
        <v>1</v>
      </c>
      <c r="AC326" s="1167">
        <v>1</v>
      </c>
      <c r="AD326" s="1166">
        <v>1</v>
      </c>
      <c r="AE326" s="1166">
        <v>1</v>
      </c>
      <c r="AF326" s="1166">
        <v>1</v>
      </c>
      <c r="AG326" s="1166">
        <v>1</v>
      </c>
      <c r="AH326" s="1166">
        <v>1</v>
      </c>
      <c r="AI326" s="1166">
        <v>1</v>
      </c>
      <c r="AJ326" s="1166">
        <v>1</v>
      </c>
      <c r="AK326" s="1166">
        <v>1</v>
      </c>
      <c r="AL326" s="1166">
        <v>1</v>
      </c>
      <c r="AM326" s="1166">
        <v>1</v>
      </c>
      <c r="AN326" s="1166">
        <v>1</v>
      </c>
      <c r="AO326" s="1166">
        <v>1</v>
      </c>
      <c r="AP326" s="1166">
        <v>1</v>
      </c>
      <c r="AQ326" s="1166">
        <v>1</v>
      </c>
      <c r="AR326" s="1166">
        <v>1</v>
      </c>
      <c r="AS326" s="1166">
        <v>1</v>
      </c>
      <c r="AT326" s="1166">
        <v>1</v>
      </c>
      <c r="AU326" s="1166">
        <v>1</v>
      </c>
      <c r="AV326" s="1166">
        <v>1</v>
      </c>
      <c r="AW326" s="1166">
        <v>1</v>
      </c>
      <c r="AX326" s="1166">
        <v>1</v>
      </c>
      <c r="AY326" s="1166">
        <v>1</v>
      </c>
      <c r="AZ326" s="1166">
        <v>1</v>
      </c>
      <c r="BA326" s="1166">
        <v>1</v>
      </c>
      <c r="BB326" s="1166">
        <v>1</v>
      </c>
      <c r="BC326" s="1166">
        <v>1</v>
      </c>
      <c r="BD326" s="1166">
        <v>1</v>
      </c>
      <c r="BE326" s="1166">
        <v>1</v>
      </c>
      <c r="BF326" s="1166">
        <v>1</v>
      </c>
      <c r="BG326" s="1166">
        <v>1</v>
      </c>
      <c r="BH326" s="1166">
        <v>1</v>
      </c>
      <c r="BI326" s="1166">
        <v>1</v>
      </c>
      <c r="BJ326" s="1166">
        <v>1</v>
      </c>
      <c r="BK326" s="1120"/>
      <c r="BL326" s="1120"/>
    </row>
    <row r="327" spans="1:64" s="401" customFormat="1" x14ac:dyDescent="0.3">
      <c r="A327" s="1152">
        <v>603</v>
      </c>
      <c r="B327" s="1152"/>
      <c r="C327" s="1152" t="s">
        <v>1424</v>
      </c>
      <c r="D327" s="1152" t="s">
        <v>636</v>
      </c>
      <c r="E327" s="1152"/>
      <c r="F327" s="1163">
        <v>0</v>
      </c>
      <c r="G327" s="1164">
        <v>0</v>
      </c>
      <c r="H327" s="1164">
        <v>2</v>
      </c>
      <c r="I327" s="1164">
        <v>0</v>
      </c>
      <c r="J327" s="1164">
        <v>0</v>
      </c>
      <c r="K327" s="1164">
        <v>0</v>
      </c>
      <c r="L327" s="1165">
        <v>0</v>
      </c>
      <c r="M327" s="1166">
        <v>0</v>
      </c>
      <c r="N327" s="1166">
        <v>0</v>
      </c>
      <c r="O327" s="1167">
        <v>0</v>
      </c>
      <c r="P327" s="1167">
        <v>0</v>
      </c>
      <c r="Q327" s="1167">
        <v>0</v>
      </c>
      <c r="R327" s="1167">
        <v>0</v>
      </c>
      <c r="S327" s="1167">
        <v>0</v>
      </c>
      <c r="T327" s="1167">
        <v>0</v>
      </c>
      <c r="U327" s="1167">
        <v>0</v>
      </c>
      <c r="V327" s="1167">
        <v>2</v>
      </c>
      <c r="W327" s="1167">
        <v>0</v>
      </c>
      <c r="X327" s="1167">
        <v>0</v>
      </c>
      <c r="Y327" s="1167">
        <v>0</v>
      </c>
      <c r="Z327" s="1167">
        <v>0</v>
      </c>
      <c r="AA327" s="1167">
        <v>0</v>
      </c>
      <c r="AB327" s="1167">
        <v>0</v>
      </c>
      <c r="AC327" s="1167">
        <v>0</v>
      </c>
      <c r="AD327" s="1166">
        <v>0</v>
      </c>
      <c r="AE327" s="1166">
        <v>0</v>
      </c>
      <c r="AF327" s="1166">
        <v>0</v>
      </c>
      <c r="AG327" s="1166">
        <v>0</v>
      </c>
      <c r="AH327" s="1166">
        <v>0</v>
      </c>
      <c r="AI327" s="1166">
        <v>0</v>
      </c>
      <c r="AJ327" s="1166">
        <v>1</v>
      </c>
      <c r="AK327" s="1166">
        <v>0</v>
      </c>
      <c r="AL327" s="1166">
        <v>0</v>
      </c>
      <c r="AM327" s="1166">
        <v>0</v>
      </c>
      <c r="AN327" s="1166">
        <v>0</v>
      </c>
      <c r="AO327" s="1166">
        <v>7</v>
      </c>
      <c r="AP327" s="1166">
        <v>0</v>
      </c>
      <c r="AQ327" s="1166">
        <v>0</v>
      </c>
      <c r="AR327" s="1166">
        <v>0</v>
      </c>
      <c r="AS327" s="1166">
        <v>0</v>
      </c>
      <c r="AT327" s="1166">
        <v>7</v>
      </c>
      <c r="AU327" s="1166">
        <v>0</v>
      </c>
      <c r="AV327" s="1166">
        <v>0</v>
      </c>
      <c r="AW327" s="1166">
        <v>0</v>
      </c>
      <c r="AX327" s="1166">
        <v>7</v>
      </c>
      <c r="AY327" s="1166">
        <v>0</v>
      </c>
      <c r="AZ327" s="1166">
        <v>4</v>
      </c>
      <c r="BA327" s="1166">
        <v>7</v>
      </c>
      <c r="BB327" s="1166">
        <v>0</v>
      </c>
      <c r="BC327" s="1166">
        <v>7</v>
      </c>
      <c r="BD327" s="1166">
        <v>0</v>
      </c>
      <c r="BE327" s="1166">
        <v>0</v>
      </c>
      <c r="BF327" s="1166">
        <v>0</v>
      </c>
      <c r="BG327" s="1166">
        <v>0</v>
      </c>
      <c r="BH327" s="1166">
        <v>7</v>
      </c>
      <c r="BI327" s="1166">
        <v>0</v>
      </c>
      <c r="BJ327" s="1166">
        <v>0</v>
      </c>
      <c r="BK327" s="1120"/>
      <c r="BL327" s="1120"/>
    </row>
    <row r="328" spans="1:64" s="401" customFormat="1" x14ac:dyDescent="0.3">
      <c r="A328" s="1152">
        <v>929</v>
      </c>
      <c r="B328" s="1152"/>
      <c r="C328" s="1152" t="s">
        <v>1424</v>
      </c>
      <c r="D328" s="1152" t="s">
        <v>632</v>
      </c>
      <c r="E328" s="1152"/>
      <c r="F328" s="1163">
        <v>0</v>
      </c>
      <c r="G328" s="1164">
        <v>0</v>
      </c>
      <c r="H328" s="1164">
        <v>2</v>
      </c>
      <c r="I328" s="1164">
        <v>0</v>
      </c>
      <c r="J328" s="1164">
        <v>0</v>
      </c>
      <c r="K328" s="1164">
        <v>0</v>
      </c>
      <c r="L328" s="1165">
        <v>0</v>
      </c>
      <c r="M328" s="1166">
        <v>0</v>
      </c>
      <c r="N328" s="1166">
        <v>0</v>
      </c>
      <c r="O328" s="1167">
        <v>0</v>
      </c>
      <c r="P328" s="1167">
        <v>0</v>
      </c>
      <c r="Q328" s="1167">
        <v>0</v>
      </c>
      <c r="R328" s="1167">
        <v>0</v>
      </c>
      <c r="S328" s="1167">
        <v>0</v>
      </c>
      <c r="T328" s="1167">
        <v>0</v>
      </c>
      <c r="U328" s="1167">
        <v>0</v>
      </c>
      <c r="V328" s="1167">
        <v>2</v>
      </c>
      <c r="W328" s="1167">
        <v>0</v>
      </c>
      <c r="X328" s="1167">
        <v>2</v>
      </c>
      <c r="Y328" s="1167">
        <v>0</v>
      </c>
      <c r="Z328" s="1167">
        <v>0</v>
      </c>
      <c r="AA328" s="1167">
        <v>0</v>
      </c>
      <c r="AB328" s="1167">
        <v>0</v>
      </c>
      <c r="AC328" s="1167">
        <v>0</v>
      </c>
      <c r="AD328" s="1166">
        <v>0</v>
      </c>
      <c r="AE328" s="1166">
        <v>0</v>
      </c>
      <c r="AF328" s="1166">
        <v>0</v>
      </c>
      <c r="AG328" s="1166">
        <v>0</v>
      </c>
      <c r="AH328" s="1166">
        <v>0</v>
      </c>
      <c r="AI328" s="1166">
        <v>0</v>
      </c>
      <c r="AJ328" s="1166">
        <v>0</v>
      </c>
      <c r="AK328" s="1166">
        <v>0</v>
      </c>
      <c r="AL328" s="1166">
        <v>0</v>
      </c>
      <c r="AM328" s="1166">
        <v>0</v>
      </c>
      <c r="AN328" s="1166">
        <v>0</v>
      </c>
      <c r="AO328" s="1166">
        <v>2</v>
      </c>
      <c r="AP328" s="1166">
        <v>0</v>
      </c>
      <c r="AQ328" s="1166">
        <v>0</v>
      </c>
      <c r="AR328" s="1166">
        <v>0</v>
      </c>
      <c r="AS328" s="1166">
        <v>0</v>
      </c>
      <c r="AT328" s="1166">
        <v>2</v>
      </c>
      <c r="AU328" s="1166">
        <v>0</v>
      </c>
      <c r="AV328" s="1166">
        <v>0</v>
      </c>
      <c r="AW328" s="1166">
        <v>0</v>
      </c>
      <c r="AX328" s="1166">
        <v>2</v>
      </c>
      <c r="AY328" s="1166">
        <v>0</v>
      </c>
      <c r="AZ328" s="1166">
        <v>1</v>
      </c>
      <c r="BA328" s="1166">
        <v>2</v>
      </c>
      <c r="BB328" s="1166">
        <v>0</v>
      </c>
      <c r="BC328" s="1166">
        <v>2</v>
      </c>
      <c r="BD328" s="1166">
        <v>0</v>
      </c>
      <c r="BE328" s="1166">
        <v>0</v>
      </c>
      <c r="BF328" s="1166">
        <v>0</v>
      </c>
      <c r="BG328" s="1166">
        <v>0</v>
      </c>
      <c r="BH328" s="1166">
        <v>2</v>
      </c>
      <c r="BI328" s="1166">
        <v>0</v>
      </c>
      <c r="BJ328" s="1166">
        <v>0</v>
      </c>
      <c r="BK328" s="1120"/>
      <c r="BL328" s="1120"/>
    </row>
    <row r="329" spans="1:64" s="401" customFormat="1" x14ac:dyDescent="0.3">
      <c r="A329" s="1152">
        <v>930</v>
      </c>
      <c r="B329" s="1152"/>
      <c r="C329" s="1152" t="s">
        <v>1424</v>
      </c>
      <c r="D329" s="1152" t="s">
        <v>633</v>
      </c>
      <c r="E329" s="1152"/>
      <c r="F329" s="1163">
        <v>0</v>
      </c>
      <c r="G329" s="1164">
        <v>0</v>
      </c>
      <c r="H329" s="1164">
        <v>2</v>
      </c>
      <c r="I329" s="1164">
        <v>0</v>
      </c>
      <c r="J329" s="1164">
        <v>0</v>
      </c>
      <c r="K329" s="1164">
        <v>0</v>
      </c>
      <c r="L329" s="1165">
        <v>0</v>
      </c>
      <c r="M329" s="1166">
        <v>0</v>
      </c>
      <c r="N329" s="1166">
        <v>0</v>
      </c>
      <c r="O329" s="1167">
        <v>0</v>
      </c>
      <c r="P329" s="1167">
        <v>0</v>
      </c>
      <c r="Q329" s="1167">
        <v>0</v>
      </c>
      <c r="R329" s="1167">
        <v>0</v>
      </c>
      <c r="S329" s="1167">
        <v>0</v>
      </c>
      <c r="T329" s="1167">
        <v>0</v>
      </c>
      <c r="U329" s="1167">
        <v>0</v>
      </c>
      <c r="V329" s="1167">
        <v>2</v>
      </c>
      <c r="W329" s="1167">
        <v>0</v>
      </c>
      <c r="X329" s="1167">
        <v>2</v>
      </c>
      <c r="Y329" s="1167">
        <v>0</v>
      </c>
      <c r="Z329" s="1167">
        <v>0</v>
      </c>
      <c r="AA329" s="1167">
        <v>0</v>
      </c>
      <c r="AB329" s="1167">
        <v>0</v>
      </c>
      <c r="AC329" s="1167">
        <v>0</v>
      </c>
      <c r="AD329" s="1166">
        <v>0</v>
      </c>
      <c r="AE329" s="1166">
        <v>0</v>
      </c>
      <c r="AF329" s="1166">
        <v>0</v>
      </c>
      <c r="AG329" s="1166">
        <v>0</v>
      </c>
      <c r="AH329" s="1166">
        <v>0</v>
      </c>
      <c r="AI329" s="1166">
        <v>0</v>
      </c>
      <c r="AJ329" s="1166">
        <v>0</v>
      </c>
      <c r="AK329" s="1166">
        <v>0</v>
      </c>
      <c r="AL329" s="1166">
        <v>0</v>
      </c>
      <c r="AM329" s="1166">
        <v>0</v>
      </c>
      <c r="AN329" s="1166">
        <v>0</v>
      </c>
      <c r="AO329" s="1166">
        <v>2</v>
      </c>
      <c r="AP329" s="1166">
        <v>0</v>
      </c>
      <c r="AQ329" s="1166">
        <v>0</v>
      </c>
      <c r="AR329" s="1166">
        <v>0</v>
      </c>
      <c r="AS329" s="1166">
        <v>0</v>
      </c>
      <c r="AT329" s="1166">
        <v>2</v>
      </c>
      <c r="AU329" s="1166">
        <v>0</v>
      </c>
      <c r="AV329" s="1166">
        <v>0</v>
      </c>
      <c r="AW329" s="1166">
        <v>0</v>
      </c>
      <c r="AX329" s="1166">
        <v>2</v>
      </c>
      <c r="AY329" s="1166">
        <v>0</v>
      </c>
      <c r="AZ329" s="1166">
        <v>2</v>
      </c>
      <c r="BA329" s="1166">
        <v>2</v>
      </c>
      <c r="BB329" s="1166">
        <v>0</v>
      </c>
      <c r="BC329" s="1166">
        <v>2</v>
      </c>
      <c r="BD329" s="1166">
        <v>0</v>
      </c>
      <c r="BE329" s="1166">
        <v>0</v>
      </c>
      <c r="BF329" s="1166">
        <v>0</v>
      </c>
      <c r="BG329" s="1166">
        <v>0</v>
      </c>
      <c r="BH329" s="1166">
        <v>2</v>
      </c>
      <c r="BI329" s="1166">
        <v>0</v>
      </c>
      <c r="BJ329" s="1166">
        <v>0</v>
      </c>
      <c r="BK329" s="1120"/>
      <c r="BL329" s="1120"/>
    </row>
    <row r="330" spans="1:64" s="401" customFormat="1" x14ac:dyDescent="0.3">
      <c r="A330" s="1152">
        <v>931</v>
      </c>
      <c r="B330" s="1152"/>
      <c r="C330" s="1152" t="s">
        <v>1424</v>
      </c>
      <c r="D330" s="1152" t="s">
        <v>634</v>
      </c>
      <c r="E330" s="1152"/>
      <c r="F330" s="1163">
        <v>0</v>
      </c>
      <c r="G330" s="1164">
        <v>0</v>
      </c>
      <c r="H330" s="1164">
        <v>2</v>
      </c>
      <c r="I330" s="1164">
        <v>0</v>
      </c>
      <c r="J330" s="1164">
        <v>0</v>
      </c>
      <c r="K330" s="1164">
        <v>0</v>
      </c>
      <c r="L330" s="1165">
        <v>0</v>
      </c>
      <c r="M330" s="1166">
        <v>0</v>
      </c>
      <c r="N330" s="1166">
        <v>0</v>
      </c>
      <c r="O330" s="1167">
        <v>0</v>
      </c>
      <c r="P330" s="1167">
        <v>0</v>
      </c>
      <c r="Q330" s="1167">
        <v>0</v>
      </c>
      <c r="R330" s="1167">
        <v>0</v>
      </c>
      <c r="S330" s="1167">
        <v>0</v>
      </c>
      <c r="T330" s="1167">
        <v>0</v>
      </c>
      <c r="U330" s="1167">
        <v>0</v>
      </c>
      <c r="V330" s="1167">
        <v>2</v>
      </c>
      <c r="W330" s="1167">
        <v>0</v>
      </c>
      <c r="X330" s="1167">
        <v>1</v>
      </c>
      <c r="Y330" s="1167">
        <v>0</v>
      </c>
      <c r="Z330" s="1167">
        <v>0</v>
      </c>
      <c r="AA330" s="1167">
        <v>0</v>
      </c>
      <c r="AB330" s="1167">
        <v>0</v>
      </c>
      <c r="AC330" s="1167">
        <v>0</v>
      </c>
      <c r="AD330" s="1166">
        <v>0</v>
      </c>
      <c r="AE330" s="1166">
        <v>0</v>
      </c>
      <c r="AF330" s="1166">
        <v>0</v>
      </c>
      <c r="AG330" s="1166">
        <v>0</v>
      </c>
      <c r="AH330" s="1166">
        <v>0</v>
      </c>
      <c r="AI330" s="1166">
        <v>0</v>
      </c>
      <c r="AJ330" s="1166">
        <v>1</v>
      </c>
      <c r="AK330" s="1166">
        <v>0</v>
      </c>
      <c r="AL330" s="1166">
        <v>0</v>
      </c>
      <c r="AM330" s="1166">
        <v>0</v>
      </c>
      <c r="AN330" s="1166">
        <v>0</v>
      </c>
      <c r="AO330" s="1166">
        <v>1</v>
      </c>
      <c r="AP330" s="1166">
        <v>0</v>
      </c>
      <c r="AQ330" s="1166">
        <v>0</v>
      </c>
      <c r="AR330" s="1166">
        <v>0</v>
      </c>
      <c r="AS330" s="1166">
        <v>0</v>
      </c>
      <c r="AT330" s="1166">
        <v>1</v>
      </c>
      <c r="AU330" s="1166">
        <v>0</v>
      </c>
      <c r="AV330" s="1166">
        <v>0</v>
      </c>
      <c r="AW330" s="1166">
        <v>0</v>
      </c>
      <c r="AX330" s="1166">
        <v>1</v>
      </c>
      <c r="AY330" s="1166">
        <v>0</v>
      </c>
      <c r="AZ330" s="1166">
        <v>1</v>
      </c>
      <c r="BA330" s="1166">
        <v>1</v>
      </c>
      <c r="BB330" s="1166">
        <v>0</v>
      </c>
      <c r="BC330" s="1166">
        <v>1</v>
      </c>
      <c r="BD330" s="1166">
        <v>0</v>
      </c>
      <c r="BE330" s="1166">
        <v>0</v>
      </c>
      <c r="BF330" s="1166">
        <v>0</v>
      </c>
      <c r="BG330" s="1166">
        <v>0</v>
      </c>
      <c r="BH330" s="1166">
        <v>1</v>
      </c>
      <c r="BI330" s="1166">
        <v>0</v>
      </c>
      <c r="BJ330" s="1166">
        <v>0</v>
      </c>
      <c r="BK330" s="1120"/>
      <c r="BL330" s="1120"/>
    </row>
    <row r="331" spans="1:64" s="401" customFormat="1" x14ac:dyDescent="0.3">
      <c r="A331" s="1152">
        <v>932</v>
      </c>
      <c r="B331" s="1152"/>
      <c r="C331" s="1152" t="s">
        <v>1424</v>
      </c>
      <c r="D331" s="1152" t="s">
        <v>635</v>
      </c>
      <c r="E331" s="1152"/>
      <c r="F331" s="1163">
        <v>0</v>
      </c>
      <c r="G331" s="1164">
        <v>0</v>
      </c>
      <c r="H331" s="1164">
        <v>2</v>
      </c>
      <c r="I331" s="1164">
        <v>0</v>
      </c>
      <c r="J331" s="1164">
        <v>0</v>
      </c>
      <c r="K331" s="1164">
        <v>0</v>
      </c>
      <c r="L331" s="1165">
        <v>0</v>
      </c>
      <c r="M331" s="1166">
        <v>0</v>
      </c>
      <c r="N331" s="1166">
        <v>0</v>
      </c>
      <c r="O331" s="1167">
        <v>0</v>
      </c>
      <c r="P331" s="1167">
        <v>0</v>
      </c>
      <c r="Q331" s="1167">
        <v>0</v>
      </c>
      <c r="R331" s="1167">
        <v>0</v>
      </c>
      <c r="S331" s="1167">
        <v>0</v>
      </c>
      <c r="T331" s="1167">
        <v>0</v>
      </c>
      <c r="U331" s="1167">
        <v>0</v>
      </c>
      <c r="V331" s="1167">
        <v>2</v>
      </c>
      <c r="W331" s="1167">
        <v>0</v>
      </c>
      <c r="X331" s="1167">
        <v>2</v>
      </c>
      <c r="Y331" s="1167">
        <v>0</v>
      </c>
      <c r="Z331" s="1167">
        <v>0</v>
      </c>
      <c r="AA331" s="1167">
        <v>0</v>
      </c>
      <c r="AB331" s="1167">
        <v>0</v>
      </c>
      <c r="AC331" s="1167">
        <v>0</v>
      </c>
      <c r="AD331" s="1166">
        <v>0</v>
      </c>
      <c r="AE331" s="1166">
        <v>0</v>
      </c>
      <c r="AF331" s="1166">
        <v>0</v>
      </c>
      <c r="AG331" s="1166">
        <v>0</v>
      </c>
      <c r="AH331" s="1166">
        <v>0</v>
      </c>
      <c r="AI331" s="1166">
        <v>0</v>
      </c>
      <c r="AJ331" s="1166">
        <v>0</v>
      </c>
      <c r="AK331" s="1166">
        <v>0</v>
      </c>
      <c r="AL331" s="1166">
        <v>0</v>
      </c>
      <c r="AM331" s="1166">
        <v>0</v>
      </c>
      <c r="AN331" s="1166">
        <v>0</v>
      </c>
      <c r="AO331" s="1166">
        <v>2</v>
      </c>
      <c r="AP331" s="1166">
        <v>0</v>
      </c>
      <c r="AQ331" s="1166">
        <v>0</v>
      </c>
      <c r="AR331" s="1166">
        <v>0</v>
      </c>
      <c r="AS331" s="1166">
        <v>0</v>
      </c>
      <c r="AT331" s="1166">
        <v>2</v>
      </c>
      <c r="AU331" s="1166">
        <v>0</v>
      </c>
      <c r="AV331" s="1166">
        <v>0</v>
      </c>
      <c r="AW331" s="1166">
        <v>0</v>
      </c>
      <c r="AX331" s="1166">
        <v>2</v>
      </c>
      <c r="AY331" s="1166">
        <v>0</v>
      </c>
      <c r="AZ331" s="1166">
        <v>2</v>
      </c>
      <c r="BA331" s="1166">
        <v>2</v>
      </c>
      <c r="BB331" s="1166">
        <v>0</v>
      </c>
      <c r="BC331" s="1166">
        <v>2</v>
      </c>
      <c r="BD331" s="1166">
        <v>0</v>
      </c>
      <c r="BE331" s="1166">
        <v>0</v>
      </c>
      <c r="BF331" s="1166">
        <v>0</v>
      </c>
      <c r="BG331" s="1166">
        <v>0</v>
      </c>
      <c r="BH331" s="1166">
        <v>2</v>
      </c>
      <c r="BI331" s="1166">
        <v>0</v>
      </c>
      <c r="BJ331" s="1166">
        <v>0</v>
      </c>
      <c r="BK331" s="1120"/>
      <c r="BL331" s="1120"/>
    </row>
    <row r="332" spans="1:64" s="401" customFormat="1" x14ac:dyDescent="0.3">
      <c r="A332" s="1152" t="s">
        <v>1517</v>
      </c>
      <c r="B332" s="1222"/>
      <c r="C332" s="1152"/>
      <c r="D332" s="1152"/>
      <c r="E332" s="1152"/>
      <c r="F332" s="1163"/>
      <c r="G332" s="1164"/>
      <c r="H332" s="1164"/>
      <c r="I332" s="1164"/>
      <c r="J332" s="1164"/>
      <c r="K332" s="1164"/>
      <c r="L332" s="1165"/>
      <c r="M332" s="1166"/>
      <c r="N332" s="1166"/>
      <c r="O332" s="1167"/>
      <c r="P332" s="1167"/>
      <c r="Q332" s="1167"/>
      <c r="R332" s="1167"/>
      <c r="S332" s="1167"/>
      <c r="T332" s="1167"/>
      <c r="U332" s="1167"/>
      <c r="V332" s="1167"/>
      <c r="W332" s="1167"/>
      <c r="X332" s="1167"/>
      <c r="Y332" s="1167"/>
      <c r="Z332" s="1167"/>
      <c r="AA332" s="1167"/>
      <c r="AB332" s="1167"/>
      <c r="AC332" s="1167"/>
      <c r="AD332" s="1166"/>
      <c r="AE332" s="1166"/>
      <c r="AF332" s="1166"/>
      <c r="AG332" s="1166"/>
      <c r="AH332" s="1166"/>
      <c r="AI332" s="1166"/>
      <c r="AJ332" s="1166"/>
      <c r="AK332" s="1166"/>
      <c r="AL332" s="1166"/>
      <c r="AM332" s="1166"/>
      <c r="AN332" s="1166"/>
      <c r="AO332" s="1166"/>
      <c r="AP332" s="1166"/>
      <c r="AQ332" s="1166"/>
      <c r="AR332" s="1166"/>
      <c r="AS332" s="1166"/>
      <c r="AT332" s="1166"/>
      <c r="AU332" s="1166"/>
      <c r="AV332" s="1166"/>
      <c r="AW332" s="1166"/>
      <c r="AX332" s="1166"/>
      <c r="AY332" s="1166"/>
      <c r="AZ332" s="1166"/>
      <c r="BA332" s="1166"/>
      <c r="BB332" s="1166"/>
      <c r="BC332" s="1166"/>
      <c r="BD332" s="1166"/>
      <c r="BE332" s="1166"/>
      <c r="BF332" s="1166"/>
      <c r="BG332" s="1166"/>
      <c r="BH332" s="1166"/>
      <c r="BI332" s="1166"/>
      <c r="BJ332" s="1166"/>
      <c r="BK332" s="1108"/>
      <c r="BL332" s="1108"/>
    </row>
    <row r="333" spans="1:64" s="401" customFormat="1" x14ac:dyDescent="0.3">
      <c r="A333" s="1152" t="s">
        <v>1517</v>
      </c>
      <c r="B333" s="1222"/>
      <c r="C333" s="1152"/>
      <c r="D333" s="1152"/>
      <c r="E333" s="1152"/>
      <c r="F333" s="1163"/>
      <c r="G333" s="1164"/>
      <c r="H333" s="1164"/>
      <c r="I333" s="1164"/>
      <c r="J333" s="1164"/>
      <c r="K333" s="1164"/>
      <c r="L333" s="1165"/>
      <c r="M333" s="1166"/>
      <c r="N333" s="1166"/>
      <c r="O333" s="1167"/>
      <c r="P333" s="1167"/>
      <c r="Q333" s="1167"/>
      <c r="R333" s="1167"/>
      <c r="S333" s="1167"/>
      <c r="T333" s="1167"/>
      <c r="U333" s="1167"/>
      <c r="V333" s="1167"/>
      <c r="W333" s="1167"/>
      <c r="X333" s="1167"/>
      <c r="Y333" s="1167"/>
      <c r="Z333" s="1167"/>
      <c r="AA333" s="1167"/>
      <c r="AB333" s="1167"/>
      <c r="AC333" s="1167"/>
      <c r="AD333" s="1166"/>
      <c r="AE333" s="1166"/>
      <c r="AF333" s="1166"/>
      <c r="AG333" s="1166"/>
      <c r="AH333" s="1166"/>
      <c r="AI333" s="1166"/>
      <c r="AJ333" s="1166"/>
      <c r="AK333" s="1166"/>
      <c r="AL333" s="1166"/>
      <c r="AM333" s="1166"/>
      <c r="AN333" s="1166"/>
      <c r="AO333" s="1166"/>
      <c r="AP333" s="1166"/>
      <c r="AQ333" s="1166"/>
      <c r="AR333" s="1166"/>
      <c r="AS333" s="1166"/>
      <c r="AT333" s="1166"/>
      <c r="AU333" s="1166"/>
      <c r="AV333" s="1166"/>
      <c r="AW333" s="1166"/>
      <c r="AX333" s="1166"/>
      <c r="AY333" s="1166"/>
      <c r="AZ333" s="1166"/>
      <c r="BA333" s="1166"/>
      <c r="BB333" s="1166"/>
      <c r="BC333" s="1166"/>
      <c r="BD333" s="1166"/>
      <c r="BE333" s="1166"/>
      <c r="BF333" s="1166"/>
      <c r="BG333" s="1166"/>
      <c r="BH333" s="1166"/>
      <c r="BI333" s="1166"/>
      <c r="BJ333" s="1166"/>
      <c r="BK333" s="1108"/>
      <c r="BL333" s="1108"/>
    </row>
    <row r="334" spans="1:64" s="401" customFormat="1" x14ac:dyDescent="0.3">
      <c r="A334" s="1222"/>
      <c r="B334" s="1152" t="s">
        <v>1425</v>
      </c>
      <c r="C334" s="1152"/>
      <c r="D334" s="1152" t="s">
        <v>806</v>
      </c>
      <c r="E334" s="1152"/>
      <c r="F334" s="1228">
        <v>11555047</v>
      </c>
      <c r="G334" s="1228">
        <v>17217181</v>
      </c>
      <c r="H334" s="1228">
        <v>10058639</v>
      </c>
      <c r="I334" s="1228">
        <v>5128938</v>
      </c>
      <c r="J334" s="1228">
        <v>19631410</v>
      </c>
      <c r="K334" s="1228">
        <v>9740393</v>
      </c>
      <c r="L334" s="1228">
        <v>3004493</v>
      </c>
      <c r="M334" s="1228">
        <v>6607374</v>
      </c>
      <c r="N334" s="1228">
        <v>12579730</v>
      </c>
      <c r="O334" s="1228">
        <v>2386349</v>
      </c>
      <c r="P334" s="1228">
        <v>5448273</v>
      </c>
      <c r="Q334" s="1228">
        <v>30482557</v>
      </c>
      <c r="R334" s="1228">
        <v>18389896</v>
      </c>
      <c r="S334" s="1228">
        <v>2859422</v>
      </c>
      <c r="T334" s="1228">
        <v>181643</v>
      </c>
      <c r="U334" s="1228">
        <v>22758966</v>
      </c>
      <c r="V334" s="1228">
        <v>80039440</v>
      </c>
      <c r="W334" s="1228">
        <v>6461524</v>
      </c>
      <c r="X334" s="1228">
        <v>3723613</v>
      </c>
      <c r="Y334" s="1228">
        <v>52424089</v>
      </c>
      <c r="Z334" s="1228">
        <v>34205848</v>
      </c>
      <c r="AA334" s="1228">
        <v>3800257</v>
      </c>
      <c r="AB334" s="1228">
        <v>18174889</v>
      </c>
      <c r="AC334" s="1228">
        <v>2785354</v>
      </c>
      <c r="AD334" s="1228">
        <v>9876199</v>
      </c>
      <c r="AE334" s="1228">
        <v>40800776</v>
      </c>
      <c r="AF334" s="1228">
        <v>5191796</v>
      </c>
      <c r="AG334" s="1228">
        <v>25295496</v>
      </c>
      <c r="AH334" s="1228">
        <v>8586227</v>
      </c>
      <c r="AI334" s="1228">
        <v>4042867</v>
      </c>
      <c r="AJ334" s="1228">
        <v>17622099</v>
      </c>
      <c r="AK334" s="1228">
        <v>15888404</v>
      </c>
      <c r="AL334" s="1228">
        <v>38608688</v>
      </c>
      <c r="AM334" s="1228">
        <v>14308390</v>
      </c>
      <c r="AN334" s="1228">
        <v>10421769</v>
      </c>
      <c r="AO334" s="1228">
        <v>14442238</v>
      </c>
      <c r="AP334" s="1228">
        <v>12746052</v>
      </c>
      <c r="AQ334" s="1228">
        <v>12747273</v>
      </c>
      <c r="AR334" s="1228">
        <v>10329642</v>
      </c>
      <c r="AS334" s="1228">
        <v>995816</v>
      </c>
      <c r="AT334" s="1228">
        <v>5586384</v>
      </c>
      <c r="AU334" s="1228">
        <v>12643943</v>
      </c>
      <c r="AV334" s="1228">
        <v>690179</v>
      </c>
      <c r="AW334" s="1228">
        <v>103123063</v>
      </c>
      <c r="AX334" s="1228">
        <v>7315892</v>
      </c>
      <c r="AY334" s="1228">
        <v>491292159</v>
      </c>
      <c r="AZ334" s="1228">
        <v>4420854</v>
      </c>
      <c r="BA334" s="1228">
        <v>1566673</v>
      </c>
      <c r="BB334" s="1228">
        <v>15132718</v>
      </c>
      <c r="BC334" s="1228">
        <v>21670213</v>
      </c>
      <c r="BD334" s="1228">
        <v>1611237</v>
      </c>
      <c r="BE334" s="1228">
        <v>1886330</v>
      </c>
      <c r="BF334" s="1228">
        <v>17709894</v>
      </c>
      <c r="BG334" s="1228">
        <v>19497788</v>
      </c>
      <c r="BH334" s="1228">
        <v>124977535</v>
      </c>
      <c r="BI334" s="1228">
        <v>6347288</v>
      </c>
      <c r="BJ334" s="1228">
        <v>3036130</v>
      </c>
      <c r="BK334" s="1124"/>
      <c r="BL334" s="1124"/>
    </row>
    <row r="335" spans="1:64" s="401" customFormat="1" ht="28.8" x14ac:dyDescent="0.3">
      <c r="A335" s="1222"/>
      <c r="B335" s="1152"/>
      <c r="C335" s="1152"/>
      <c r="D335" s="1152"/>
      <c r="E335" s="1152"/>
      <c r="F335" s="1229" t="s">
        <v>975</v>
      </c>
      <c r="G335" s="1229" t="s">
        <v>975</v>
      </c>
      <c r="H335" s="1229" t="s">
        <v>975</v>
      </c>
      <c r="I335" s="1229" t="s">
        <v>974</v>
      </c>
      <c r="J335" s="1229" t="s">
        <v>975</v>
      </c>
      <c r="K335" s="1229" t="s">
        <v>974</v>
      </c>
      <c r="L335" s="1229" t="s">
        <v>974</v>
      </c>
      <c r="M335" s="1229" t="s">
        <v>974</v>
      </c>
      <c r="N335" s="1229" t="s">
        <v>975</v>
      </c>
      <c r="O335" s="1229" t="s">
        <v>974</v>
      </c>
      <c r="P335" s="1229" t="s">
        <v>974</v>
      </c>
      <c r="Q335" s="1229" t="s">
        <v>975</v>
      </c>
      <c r="R335" s="1229" t="s">
        <v>975</v>
      </c>
      <c r="S335" s="1229" t="s">
        <v>974</v>
      </c>
      <c r="T335" s="1229" t="s">
        <v>1518</v>
      </c>
      <c r="U335" s="1229" t="s">
        <v>975</v>
      </c>
      <c r="V335" s="1229" t="s">
        <v>975</v>
      </c>
      <c r="W335" s="1229" t="s">
        <v>974</v>
      </c>
      <c r="X335" s="1229" t="s">
        <v>974</v>
      </c>
      <c r="Y335" s="1229" t="s">
        <v>975</v>
      </c>
      <c r="Z335" s="1229" t="s">
        <v>975</v>
      </c>
      <c r="AA335" s="1229" t="s">
        <v>974</v>
      </c>
      <c r="AB335" s="1229" t="s">
        <v>975</v>
      </c>
      <c r="AC335" s="1229" t="s">
        <v>974</v>
      </c>
      <c r="AD335" s="1229" t="s">
        <v>974</v>
      </c>
      <c r="AE335" s="1229" t="s">
        <v>975</v>
      </c>
      <c r="AF335" s="1229" t="s">
        <v>974</v>
      </c>
      <c r="AG335" s="1229" t="s">
        <v>975</v>
      </c>
      <c r="AH335" s="1229" t="s">
        <v>974</v>
      </c>
      <c r="AI335" s="1229" t="s">
        <v>974</v>
      </c>
      <c r="AJ335" s="1229" t="s">
        <v>975</v>
      </c>
      <c r="AK335" s="1229" t="s">
        <v>975</v>
      </c>
      <c r="AL335" s="1229" t="s">
        <v>975</v>
      </c>
      <c r="AM335" s="1229" t="s">
        <v>975</v>
      </c>
      <c r="AN335" s="1229" t="s">
        <v>975</v>
      </c>
      <c r="AO335" s="1229" t="s">
        <v>975</v>
      </c>
      <c r="AP335" s="1229" t="s">
        <v>975</v>
      </c>
      <c r="AQ335" s="1229" t="s">
        <v>975</v>
      </c>
      <c r="AR335" s="1229" t="s">
        <v>975</v>
      </c>
      <c r="AS335" s="1229" t="s">
        <v>1518</v>
      </c>
      <c r="AT335" s="1229" t="s">
        <v>974</v>
      </c>
      <c r="AU335" s="1229" t="s">
        <v>975</v>
      </c>
      <c r="AV335" s="1229" t="s">
        <v>1518</v>
      </c>
      <c r="AW335" s="1229" t="s">
        <v>975</v>
      </c>
      <c r="AX335" s="1229" t="s">
        <v>974</v>
      </c>
      <c r="AY335" s="1229" t="s">
        <v>975</v>
      </c>
      <c r="AZ335" s="1229" t="s">
        <v>974</v>
      </c>
      <c r="BA335" s="1229" t="s">
        <v>974</v>
      </c>
      <c r="BB335" s="1229" t="s">
        <v>975</v>
      </c>
      <c r="BC335" s="1229" t="s">
        <v>975</v>
      </c>
      <c r="BD335" s="1229" t="s">
        <v>974</v>
      </c>
      <c r="BE335" s="1229" t="s">
        <v>974</v>
      </c>
      <c r="BF335" s="1229" t="s">
        <v>975</v>
      </c>
      <c r="BG335" s="1229" t="s">
        <v>975</v>
      </c>
      <c r="BH335" s="1229" t="s">
        <v>975</v>
      </c>
      <c r="BI335" s="1229" t="s">
        <v>974</v>
      </c>
      <c r="BJ335" s="1229" t="s">
        <v>974</v>
      </c>
      <c r="BK335" s="1125"/>
      <c r="BL335" s="1125"/>
    </row>
    <row r="336" spans="1:64" s="404" customFormat="1" x14ac:dyDescent="0.3">
      <c r="A336" s="1222"/>
      <c r="B336" s="1152"/>
      <c r="C336" s="1152"/>
      <c r="D336" s="1152"/>
      <c r="E336" s="1152"/>
      <c r="F336" s="1229">
        <v>0.25</v>
      </c>
      <c r="G336" s="1229">
        <v>0.25</v>
      </c>
      <c r="H336" s="1229">
        <v>0.25</v>
      </c>
      <c r="I336" s="1229">
        <v>0.34</v>
      </c>
      <c r="J336" s="1229">
        <v>0.25</v>
      </c>
      <c r="K336" s="1229">
        <v>0.34</v>
      </c>
      <c r="L336" s="1229">
        <v>0.34</v>
      </c>
      <c r="M336" s="1229">
        <v>0.34</v>
      </c>
      <c r="N336" s="1229">
        <v>0.25</v>
      </c>
      <c r="O336" s="1229">
        <v>0.34</v>
      </c>
      <c r="P336" s="1229">
        <v>0.34</v>
      </c>
      <c r="Q336" s="1229">
        <v>0.25</v>
      </c>
      <c r="R336" s="1229">
        <v>0.25</v>
      </c>
      <c r="S336" s="1229">
        <v>0.34</v>
      </c>
      <c r="T336" s="1229">
        <v>0.71</v>
      </c>
      <c r="U336" s="1229">
        <v>0.25</v>
      </c>
      <c r="V336" s="1229">
        <v>0.25</v>
      </c>
      <c r="W336" s="1229">
        <v>0.34</v>
      </c>
      <c r="X336" s="1229">
        <v>0.34</v>
      </c>
      <c r="Y336" s="1229">
        <v>0.25</v>
      </c>
      <c r="Z336" s="1229">
        <v>0.25</v>
      </c>
      <c r="AA336" s="1229">
        <v>0.34</v>
      </c>
      <c r="AB336" s="1229">
        <v>0.25</v>
      </c>
      <c r="AC336" s="1229">
        <v>0.34</v>
      </c>
      <c r="AD336" s="1229">
        <v>0.34</v>
      </c>
      <c r="AE336" s="1229">
        <v>0.25</v>
      </c>
      <c r="AF336" s="1229">
        <v>0.34</v>
      </c>
      <c r="AG336" s="1229">
        <v>0.25</v>
      </c>
      <c r="AH336" s="1229">
        <v>0.34</v>
      </c>
      <c r="AI336" s="1229">
        <v>0.34</v>
      </c>
      <c r="AJ336" s="1229">
        <v>0.25</v>
      </c>
      <c r="AK336" s="1229">
        <v>0.25</v>
      </c>
      <c r="AL336" s="1229">
        <v>0.25</v>
      </c>
      <c r="AM336" s="1229">
        <v>0.25</v>
      </c>
      <c r="AN336" s="1229">
        <v>0.25</v>
      </c>
      <c r="AO336" s="1229">
        <v>0.25</v>
      </c>
      <c r="AP336" s="1229">
        <v>0.25</v>
      </c>
      <c r="AQ336" s="1229">
        <v>0.25</v>
      </c>
      <c r="AR336" s="1229">
        <v>0.25</v>
      </c>
      <c r="AS336" s="1229">
        <v>0.71</v>
      </c>
      <c r="AT336" s="1229">
        <v>0.34</v>
      </c>
      <c r="AU336" s="1229">
        <v>0.25</v>
      </c>
      <c r="AV336" s="1229">
        <v>0.71</v>
      </c>
      <c r="AW336" s="1229">
        <v>0.25</v>
      </c>
      <c r="AX336" s="1229">
        <v>0.34</v>
      </c>
      <c r="AY336" s="1229">
        <v>0.25</v>
      </c>
      <c r="AZ336" s="1229">
        <v>0.34</v>
      </c>
      <c r="BA336" s="1229">
        <v>0.34</v>
      </c>
      <c r="BB336" s="1229">
        <v>0.25</v>
      </c>
      <c r="BC336" s="1229">
        <v>0.25</v>
      </c>
      <c r="BD336" s="1229">
        <v>0.34</v>
      </c>
      <c r="BE336" s="1229">
        <v>0.34</v>
      </c>
      <c r="BF336" s="1229">
        <v>0.25</v>
      </c>
      <c r="BG336" s="1229">
        <v>0.25</v>
      </c>
      <c r="BH336" s="1229">
        <v>0.25</v>
      </c>
      <c r="BI336" s="1229">
        <v>0.34</v>
      </c>
      <c r="BJ336" s="1229">
        <v>0.34</v>
      </c>
      <c r="BK336" s="1125"/>
      <c r="BL336" s="1125"/>
    </row>
    <row r="337" spans="1:64" s="401" customFormat="1" x14ac:dyDescent="0.3">
      <c r="A337" s="1222"/>
      <c r="B337" s="1152" t="s">
        <v>807</v>
      </c>
      <c r="C337" s="1152"/>
      <c r="D337" s="1152" t="s">
        <v>591</v>
      </c>
      <c r="E337" s="1152"/>
      <c r="F337" s="1228">
        <v>343862</v>
      </c>
      <c r="G337" s="1228">
        <v>1859271</v>
      </c>
      <c r="H337" s="1228">
        <v>2438722</v>
      </c>
      <c r="I337" s="1228">
        <v>1446027</v>
      </c>
      <c r="J337" s="1228">
        <v>1107517</v>
      </c>
      <c r="K337" s="1228">
        <v>1411450</v>
      </c>
      <c r="L337" s="1228">
        <v>268100</v>
      </c>
      <c r="M337" s="1228">
        <v>2394219</v>
      </c>
      <c r="N337" s="1228">
        <v>5275501</v>
      </c>
      <c r="O337" s="1228">
        <v>927410</v>
      </c>
      <c r="P337" s="1228">
        <v>2935571</v>
      </c>
      <c r="Q337" s="1228">
        <v>2808080</v>
      </c>
      <c r="R337" s="1228">
        <v>2350787</v>
      </c>
      <c r="S337" s="1228">
        <v>1376196</v>
      </c>
      <c r="T337" s="1228">
        <v>657504</v>
      </c>
      <c r="U337" s="1228">
        <v>3807868</v>
      </c>
      <c r="V337" s="1228">
        <v>10718999</v>
      </c>
      <c r="W337" s="1228">
        <v>2313570</v>
      </c>
      <c r="X337" s="1228">
        <v>42859</v>
      </c>
      <c r="Y337" s="1228">
        <v>10641516</v>
      </c>
      <c r="Z337" s="1228">
        <v>5972896</v>
      </c>
      <c r="AA337" s="1228">
        <v>466550</v>
      </c>
      <c r="AB337" s="1228">
        <v>4144550</v>
      </c>
      <c r="AC337" s="1228">
        <v>323074</v>
      </c>
      <c r="AD337" s="1228">
        <v>1629737</v>
      </c>
      <c r="AE337" s="1228">
        <v>8921220</v>
      </c>
      <c r="AF337" s="1228">
        <v>619616</v>
      </c>
      <c r="AG337" s="1228">
        <v>5215292</v>
      </c>
      <c r="AH337" s="1228">
        <v>3123448</v>
      </c>
      <c r="AI337" s="1228">
        <v>1496757</v>
      </c>
      <c r="AJ337" s="1228">
        <v>3355835</v>
      </c>
      <c r="AK337" s="1228">
        <v>15083551</v>
      </c>
      <c r="AL337" s="1228">
        <v>6313479</v>
      </c>
      <c r="AM337" s="1228">
        <v>3706327</v>
      </c>
      <c r="AN337" s="1228">
        <v>3955301</v>
      </c>
      <c r="AO337" s="1228">
        <v>1710884</v>
      </c>
      <c r="AP337" s="1228">
        <v>682771</v>
      </c>
      <c r="AQ337" s="1228">
        <v>829898</v>
      </c>
      <c r="AR337" s="1228">
        <v>2460924</v>
      </c>
      <c r="AS337" s="1228">
        <v>56500</v>
      </c>
      <c r="AT337" s="1228">
        <v>-660840</v>
      </c>
      <c r="AU337" s="1228">
        <v>1048095</v>
      </c>
      <c r="AV337" s="1228">
        <v>331877</v>
      </c>
      <c r="AW337" s="1228">
        <v>1602910</v>
      </c>
      <c r="AX337" s="1228">
        <v>552886</v>
      </c>
      <c r="AY337" s="1228">
        <v>79978434</v>
      </c>
      <c r="AZ337" s="1228">
        <v>832712</v>
      </c>
      <c r="BA337" s="1228">
        <v>337234</v>
      </c>
      <c r="BB337" s="1228">
        <v>3775921</v>
      </c>
      <c r="BC337" s="1228">
        <v>-5725383</v>
      </c>
      <c r="BD337" s="1228">
        <v>797147</v>
      </c>
      <c r="BE337" s="1228">
        <v>1489677</v>
      </c>
      <c r="BF337" s="1228">
        <v>5212534</v>
      </c>
      <c r="BG337" s="1228">
        <v>7034409</v>
      </c>
      <c r="BH337" s="1228">
        <v>7756984</v>
      </c>
      <c r="BI337" s="1228">
        <v>1607326</v>
      </c>
      <c r="BJ337" s="1228">
        <v>936233</v>
      </c>
      <c r="BK337" s="1124"/>
      <c r="BL337" s="1124"/>
    </row>
    <row r="338" spans="1:64" s="401" customFormat="1" x14ac:dyDescent="0.3">
      <c r="A338" s="1222"/>
      <c r="B338" s="1152" t="s">
        <v>507</v>
      </c>
      <c r="C338" s="1152"/>
      <c r="D338" s="1152" t="s">
        <v>512</v>
      </c>
      <c r="E338" s="1152"/>
      <c r="F338" s="1228">
        <v>11555047</v>
      </c>
      <c r="G338" s="1228">
        <v>17217181</v>
      </c>
      <c r="H338" s="1228">
        <v>10058639</v>
      </c>
      <c r="I338" s="1228">
        <v>5128938</v>
      </c>
      <c r="J338" s="1228">
        <v>19631410</v>
      </c>
      <c r="K338" s="1228">
        <v>9740393</v>
      </c>
      <c r="L338" s="1228">
        <v>3004493</v>
      </c>
      <c r="M338" s="1228">
        <v>6607374</v>
      </c>
      <c r="N338" s="1228">
        <v>12579730</v>
      </c>
      <c r="O338" s="1228">
        <v>2386349</v>
      </c>
      <c r="P338" s="1228">
        <v>5448273</v>
      </c>
      <c r="Q338" s="1228">
        <v>30482557</v>
      </c>
      <c r="R338" s="1228">
        <v>18389896</v>
      </c>
      <c r="S338" s="1228">
        <v>2859422</v>
      </c>
      <c r="T338" s="1228">
        <v>181643</v>
      </c>
      <c r="U338" s="1228">
        <v>22758966</v>
      </c>
      <c r="V338" s="1228">
        <v>80039440</v>
      </c>
      <c r="W338" s="1228">
        <v>6461524</v>
      </c>
      <c r="X338" s="1228">
        <v>3723613</v>
      </c>
      <c r="Y338" s="1228">
        <v>52424089</v>
      </c>
      <c r="Z338" s="1228">
        <v>34205848</v>
      </c>
      <c r="AA338" s="1228">
        <v>3800257</v>
      </c>
      <c r="AB338" s="1228">
        <v>18174889</v>
      </c>
      <c r="AC338" s="1228">
        <v>2785354</v>
      </c>
      <c r="AD338" s="1228">
        <v>9876199</v>
      </c>
      <c r="AE338" s="1228">
        <v>40800776</v>
      </c>
      <c r="AF338" s="1228">
        <v>5191796</v>
      </c>
      <c r="AG338" s="1228">
        <v>25295496</v>
      </c>
      <c r="AH338" s="1228">
        <v>8586227</v>
      </c>
      <c r="AI338" s="1228">
        <v>4042867</v>
      </c>
      <c r="AJ338" s="1228">
        <v>17622099</v>
      </c>
      <c r="AK338" s="1228">
        <v>15888404</v>
      </c>
      <c r="AL338" s="1228">
        <v>38608688</v>
      </c>
      <c r="AM338" s="1228">
        <v>14308390</v>
      </c>
      <c r="AN338" s="1228">
        <v>10421769</v>
      </c>
      <c r="AO338" s="1228">
        <v>14442238</v>
      </c>
      <c r="AP338" s="1228">
        <v>12746052</v>
      </c>
      <c r="AQ338" s="1228">
        <v>12747273</v>
      </c>
      <c r="AR338" s="1228">
        <v>10329642</v>
      </c>
      <c r="AS338" s="1228">
        <v>995816</v>
      </c>
      <c r="AT338" s="1228">
        <v>5586384</v>
      </c>
      <c r="AU338" s="1228">
        <v>12643943</v>
      </c>
      <c r="AV338" s="1228">
        <v>690179</v>
      </c>
      <c r="AW338" s="1228">
        <v>103123063</v>
      </c>
      <c r="AX338" s="1228">
        <v>7315892</v>
      </c>
      <c r="AY338" s="1228">
        <v>491292159</v>
      </c>
      <c r="AZ338" s="1228">
        <v>4420854</v>
      </c>
      <c r="BA338" s="1228">
        <v>1566673</v>
      </c>
      <c r="BB338" s="1228">
        <v>15132718</v>
      </c>
      <c r="BC338" s="1228">
        <v>21670213</v>
      </c>
      <c r="BD338" s="1228">
        <v>1611237</v>
      </c>
      <c r="BE338" s="1228">
        <v>1886330</v>
      </c>
      <c r="BF338" s="1228">
        <v>17709894</v>
      </c>
      <c r="BG338" s="1228">
        <v>19497788</v>
      </c>
      <c r="BH338" s="1228">
        <v>124977535</v>
      </c>
      <c r="BI338" s="1228">
        <v>6347288</v>
      </c>
      <c r="BJ338" s="1228">
        <v>3036130</v>
      </c>
      <c r="BK338" s="1124"/>
      <c r="BL338" s="1124"/>
    </row>
    <row r="339" spans="1:64" s="404" customFormat="1" x14ac:dyDescent="0.3">
      <c r="A339" s="1222"/>
      <c r="B339" s="1152" t="s">
        <v>808</v>
      </c>
      <c r="C339" s="1152"/>
      <c r="D339" s="1152" t="s">
        <v>590</v>
      </c>
      <c r="E339" s="1152"/>
      <c r="F339" s="1230">
        <v>2.98E-2</v>
      </c>
      <c r="G339" s="1230">
        <v>0.108</v>
      </c>
      <c r="H339" s="1230">
        <v>0.24249999999999999</v>
      </c>
      <c r="I339" s="1230">
        <v>0.28189999999999998</v>
      </c>
      <c r="J339" s="1230">
        <v>5.6399999999999999E-2</v>
      </c>
      <c r="K339" s="1230">
        <v>0.1449</v>
      </c>
      <c r="L339" s="1230">
        <v>8.9200000000000002E-2</v>
      </c>
      <c r="M339" s="1230">
        <v>0.3624</v>
      </c>
      <c r="N339" s="1230">
        <v>0.4194</v>
      </c>
      <c r="O339" s="1230">
        <v>0.3886</v>
      </c>
      <c r="P339" s="1230">
        <v>0.53879999999999995</v>
      </c>
      <c r="Q339" s="1230">
        <v>9.2100000000000001E-2</v>
      </c>
      <c r="R339" s="1230">
        <v>0.1278</v>
      </c>
      <c r="S339" s="1230">
        <v>0.48130000000000001</v>
      </c>
      <c r="T339" s="1230">
        <v>3.6198000000000001</v>
      </c>
      <c r="U339" s="1230">
        <v>0.1673</v>
      </c>
      <c r="V339" s="1230">
        <v>0.13389999999999999</v>
      </c>
      <c r="W339" s="1230">
        <v>0.35809999999999997</v>
      </c>
      <c r="X339" s="1230">
        <v>1.15E-2</v>
      </c>
      <c r="Y339" s="1230">
        <v>0.20300000000000001</v>
      </c>
      <c r="Z339" s="1230">
        <v>0.17460000000000001</v>
      </c>
      <c r="AA339" s="1230">
        <v>0.12280000000000001</v>
      </c>
      <c r="AB339" s="1230">
        <v>0.22800000000000001</v>
      </c>
      <c r="AC339" s="1230">
        <v>0.11600000000000001</v>
      </c>
      <c r="AD339" s="1230">
        <v>0.16500000000000001</v>
      </c>
      <c r="AE339" s="1230">
        <v>0.21870000000000001</v>
      </c>
      <c r="AF339" s="1230">
        <v>0.1193</v>
      </c>
      <c r="AG339" s="1230">
        <v>0.20619999999999999</v>
      </c>
      <c r="AH339" s="1230">
        <v>0.36380000000000001</v>
      </c>
      <c r="AI339" s="1230">
        <v>0.37019999999999997</v>
      </c>
      <c r="AJ339" s="1230">
        <v>0.19040000000000001</v>
      </c>
      <c r="AK339" s="1230">
        <v>0.94930000000000003</v>
      </c>
      <c r="AL339" s="1230">
        <v>0.16350000000000001</v>
      </c>
      <c r="AM339" s="1230">
        <v>0.25900000000000001</v>
      </c>
      <c r="AN339" s="1230">
        <v>0.3795</v>
      </c>
      <c r="AO339" s="1230">
        <v>0.11849999999999999</v>
      </c>
      <c r="AP339" s="1230">
        <v>5.3600000000000002E-2</v>
      </c>
      <c r="AQ339" s="1230">
        <v>6.5100000000000005E-2</v>
      </c>
      <c r="AR339" s="1230">
        <v>0.2382</v>
      </c>
      <c r="AS339" s="1230">
        <v>5.67E-2</v>
      </c>
      <c r="AT339" s="1230">
        <v>-0.1183</v>
      </c>
      <c r="AU339" s="1230">
        <v>8.2900000000000001E-2</v>
      </c>
      <c r="AV339" s="1230">
        <v>0.48089999999999999</v>
      </c>
      <c r="AW339" s="1230">
        <v>1.55E-2</v>
      </c>
      <c r="AX339" s="1230">
        <v>7.5600000000000001E-2</v>
      </c>
      <c r="AY339" s="1230">
        <v>0.1628</v>
      </c>
      <c r="AZ339" s="1230">
        <v>0.18840000000000001</v>
      </c>
      <c r="BA339" s="1230">
        <v>0.21529999999999999</v>
      </c>
      <c r="BB339" s="1230">
        <v>0.2495</v>
      </c>
      <c r="BC339" s="1230">
        <v>-0.26419999999999999</v>
      </c>
      <c r="BD339" s="1230">
        <v>0.49469999999999997</v>
      </c>
      <c r="BE339" s="1230">
        <v>0.78969999999999996</v>
      </c>
      <c r="BF339" s="1230">
        <v>0.29430000000000001</v>
      </c>
      <c r="BG339" s="1230">
        <v>0.36080000000000001</v>
      </c>
      <c r="BH339" s="1230">
        <v>6.2100000000000002E-2</v>
      </c>
      <c r="BI339" s="1230">
        <v>0.25319999999999998</v>
      </c>
      <c r="BJ339" s="1230">
        <v>0.30840000000000001</v>
      </c>
      <c r="BK339" s="1126"/>
      <c r="BL339" s="1126"/>
    </row>
    <row r="340" spans="1:64" s="401" customFormat="1" x14ac:dyDescent="0.3">
      <c r="A340" s="1222"/>
      <c r="B340" s="1152" t="s">
        <v>508</v>
      </c>
      <c r="C340" s="1152"/>
      <c r="D340" s="1152" t="s">
        <v>513</v>
      </c>
      <c r="E340" s="1152"/>
      <c r="F340" s="1231">
        <v>0</v>
      </c>
      <c r="G340" s="1231">
        <v>0</v>
      </c>
      <c r="H340" s="1231">
        <v>0</v>
      </c>
      <c r="I340" s="1231">
        <v>0</v>
      </c>
      <c r="J340" s="1231">
        <v>0</v>
      </c>
      <c r="K340" s="1231">
        <v>0</v>
      </c>
      <c r="L340" s="1231">
        <v>0</v>
      </c>
      <c r="M340" s="1231">
        <v>0</v>
      </c>
      <c r="N340" s="1231">
        <v>0</v>
      </c>
      <c r="O340" s="1231">
        <v>0</v>
      </c>
      <c r="P340" s="1231">
        <v>0</v>
      </c>
      <c r="Q340" s="1231">
        <v>0</v>
      </c>
      <c r="R340" s="1231">
        <v>0</v>
      </c>
      <c r="S340" s="1231">
        <v>0</v>
      </c>
      <c r="T340" s="1231">
        <v>0</v>
      </c>
      <c r="U340" s="1231">
        <v>0</v>
      </c>
      <c r="V340" s="1231">
        <v>0</v>
      </c>
      <c r="W340" s="1231">
        <v>0</v>
      </c>
      <c r="X340" s="1231">
        <v>0</v>
      </c>
      <c r="Y340" s="1231">
        <v>0</v>
      </c>
      <c r="Z340" s="1231">
        <v>0</v>
      </c>
      <c r="AA340" s="1231">
        <v>0</v>
      </c>
      <c r="AB340" s="1231">
        <v>0</v>
      </c>
      <c r="AC340" s="1231">
        <v>0</v>
      </c>
      <c r="AD340" s="1231">
        <v>0</v>
      </c>
      <c r="AE340" s="1231">
        <v>0</v>
      </c>
      <c r="AF340" s="1231">
        <v>0</v>
      </c>
      <c r="AG340" s="1231">
        <v>0</v>
      </c>
      <c r="AH340" s="1231">
        <v>0</v>
      </c>
      <c r="AI340" s="1231">
        <v>0</v>
      </c>
      <c r="AJ340" s="1231">
        <v>0</v>
      </c>
      <c r="AK340" s="1231">
        <v>0</v>
      </c>
      <c r="AL340" s="1231">
        <v>0</v>
      </c>
      <c r="AM340" s="1231">
        <v>0</v>
      </c>
      <c r="AN340" s="1231">
        <v>0</v>
      </c>
      <c r="AO340" s="1231">
        <v>0</v>
      </c>
      <c r="AP340" s="1231">
        <v>0</v>
      </c>
      <c r="AQ340" s="1231">
        <v>0</v>
      </c>
      <c r="AR340" s="1231">
        <v>0</v>
      </c>
      <c r="AS340" s="1231">
        <v>0</v>
      </c>
      <c r="AT340" s="1231">
        <v>0</v>
      </c>
      <c r="AU340" s="1231">
        <v>0</v>
      </c>
      <c r="AV340" s="1231">
        <v>0</v>
      </c>
      <c r="AW340" s="1231">
        <v>0</v>
      </c>
      <c r="AX340" s="1231">
        <v>0</v>
      </c>
      <c r="AY340" s="1231">
        <v>0</v>
      </c>
      <c r="AZ340" s="1231">
        <v>0</v>
      </c>
      <c r="BA340" s="1231">
        <v>0</v>
      </c>
      <c r="BB340" s="1231">
        <v>0</v>
      </c>
      <c r="BC340" s="1231">
        <v>0</v>
      </c>
      <c r="BD340" s="1231">
        <v>0</v>
      </c>
      <c r="BE340" s="1231">
        <v>0</v>
      </c>
      <c r="BF340" s="1231">
        <v>0</v>
      </c>
      <c r="BG340" s="1231">
        <v>0</v>
      </c>
      <c r="BH340" s="1231">
        <v>0</v>
      </c>
      <c r="BI340" s="1231">
        <v>0</v>
      </c>
      <c r="BJ340" s="1231">
        <v>0</v>
      </c>
      <c r="BK340" s="1127"/>
      <c r="BL340" s="1127"/>
    </row>
    <row r="341" spans="1:64" s="401" customFormat="1" x14ac:dyDescent="0.3">
      <c r="A341" s="1222"/>
      <c r="B341" s="1152" t="s">
        <v>566</v>
      </c>
      <c r="C341" s="1152"/>
      <c r="D341" s="1152" t="s">
        <v>509</v>
      </c>
      <c r="E341" s="1152"/>
      <c r="F341" s="1231"/>
      <c r="G341" s="1231"/>
      <c r="H341" s="1231"/>
      <c r="I341" s="1231"/>
      <c r="J341" s="1231"/>
      <c r="K341" s="1231"/>
      <c r="L341" s="1231"/>
      <c r="M341" s="1231"/>
      <c r="N341" s="1231"/>
      <c r="O341" s="1231"/>
      <c r="P341" s="1231"/>
      <c r="Q341" s="1231"/>
      <c r="R341" s="1231"/>
      <c r="S341" s="1231"/>
      <c r="T341" s="1231"/>
      <c r="U341" s="1231"/>
      <c r="V341" s="1231"/>
      <c r="W341" s="1231"/>
      <c r="X341" s="1231"/>
      <c r="Y341" s="1231"/>
      <c r="Z341" s="1231"/>
      <c r="AA341" s="1231"/>
      <c r="AB341" s="1231"/>
      <c r="AC341" s="1231"/>
      <c r="AD341" s="1231"/>
      <c r="AE341" s="1231"/>
      <c r="AF341" s="1231"/>
      <c r="AG341" s="1231"/>
      <c r="AH341" s="1231"/>
      <c r="AI341" s="1231"/>
      <c r="AJ341" s="1231"/>
      <c r="AK341" s="1231"/>
      <c r="AL341" s="1231"/>
      <c r="AM341" s="1231"/>
      <c r="AN341" s="1231"/>
      <c r="AO341" s="1231"/>
      <c r="AP341" s="1231"/>
      <c r="AQ341" s="1231"/>
      <c r="AR341" s="1231"/>
      <c r="AS341" s="1231"/>
      <c r="AT341" s="1231"/>
      <c r="AU341" s="1231"/>
      <c r="AV341" s="1231"/>
      <c r="AW341" s="1231"/>
      <c r="AX341" s="1231"/>
      <c r="AY341" s="1231"/>
      <c r="AZ341" s="1231"/>
      <c r="BA341" s="1231"/>
      <c r="BB341" s="1231"/>
      <c r="BC341" s="1231"/>
      <c r="BD341" s="1231"/>
      <c r="BE341" s="1231"/>
      <c r="BF341" s="1231"/>
      <c r="BG341" s="1231"/>
      <c r="BH341" s="1231"/>
      <c r="BI341" s="1231"/>
      <c r="BJ341" s="1231"/>
      <c r="BK341" s="1127"/>
      <c r="BL341" s="1127"/>
    </row>
    <row r="342" spans="1:64" s="401" customFormat="1" x14ac:dyDescent="0.3">
      <c r="A342" s="1222"/>
      <c r="B342" s="1152" t="s">
        <v>511</v>
      </c>
      <c r="C342" s="1152"/>
      <c r="D342" s="1152" t="s">
        <v>510</v>
      </c>
      <c r="E342" s="1152"/>
      <c r="F342" s="1231"/>
      <c r="G342" s="1231"/>
      <c r="H342" s="1231"/>
      <c r="I342" s="1231"/>
      <c r="J342" s="1231"/>
      <c r="K342" s="1231"/>
      <c r="L342" s="1231"/>
      <c r="M342" s="1231"/>
      <c r="N342" s="1231"/>
      <c r="O342" s="1231"/>
      <c r="P342" s="1231"/>
      <c r="Q342" s="1231"/>
      <c r="R342" s="1231"/>
      <c r="S342" s="1231"/>
      <c r="T342" s="1231"/>
      <c r="U342" s="1231"/>
      <c r="V342" s="1231"/>
      <c r="W342" s="1231"/>
      <c r="X342" s="1231"/>
      <c r="Y342" s="1231"/>
      <c r="Z342" s="1231"/>
      <c r="AA342" s="1231"/>
      <c r="AB342" s="1231"/>
      <c r="AC342" s="1231"/>
      <c r="AD342" s="1231"/>
      <c r="AE342" s="1231"/>
      <c r="AF342" s="1231"/>
      <c r="AG342" s="1231"/>
      <c r="AH342" s="1231"/>
      <c r="AI342" s="1231"/>
      <c r="AJ342" s="1231"/>
      <c r="AK342" s="1231"/>
      <c r="AL342" s="1231"/>
      <c r="AM342" s="1231"/>
      <c r="AN342" s="1231"/>
      <c r="AO342" s="1231"/>
      <c r="AP342" s="1231"/>
      <c r="AQ342" s="1231"/>
      <c r="AR342" s="1231"/>
      <c r="AS342" s="1231"/>
      <c r="AT342" s="1231"/>
      <c r="AU342" s="1231"/>
      <c r="AV342" s="1231"/>
      <c r="AW342" s="1231"/>
      <c r="AX342" s="1231"/>
      <c r="AY342" s="1231"/>
      <c r="AZ342" s="1231"/>
      <c r="BA342" s="1231"/>
      <c r="BB342" s="1231"/>
      <c r="BC342" s="1231"/>
      <c r="BD342" s="1231"/>
      <c r="BE342" s="1231"/>
      <c r="BF342" s="1231"/>
      <c r="BG342" s="1231"/>
      <c r="BH342" s="1231"/>
      <c r="BI342" s="1231"/>
      <c r="BJ342" s="1231"/>
      <c r="BK342" s="1127"/>
      <c r="BL342" s="1127"/>
    </row>
    <row r="343" spans="1:64" s="401" customFormat="1" x14ac:dyDescent="0.3">
      <c r="A343" s="1222"/>
      <c r="B343" s="1152" t="s">
        <v>514</v>
      </c>
      <c r="C343" s="1152"/>
      <c r="D343" s="1152" t="s">
        <v>516</v>
      </c>
      <c r="E343" s="1152"/>
      <c r="F343" s="1231"/>
      <c r="G343" s="1231"/>
      <c r="H343" s="1231"/>
      <c r="I343" s="1231"/>
      <c r="J343" s="1231"/>
      <c r="K343" s="1231"/>
      <c r="L343" s="1231"/>
      <c r="M343" s="1231"/>
      <c r="N343" s="1231"/>
      <c r="O343" s="1231"/>
      <c r="P343" s="1231"/>
      <c r="Q343" s="1231"/>
      <c r="R343" s="1231"/>
      <c r="S343" s="1231"/>
      <c r="T343" s="1231"/>
      <c r="U343" s="1231"/>
      <c r="V343" s="1231"/>
      <c r="W343" s="1231"/>
      <c r="X343" s="1231"/>
      <c r="Y343" s="1231"/>
      <c r="Z343" s="1231"/>
      <c r="AA343" s="1231"/>
      <c r="AB343" s="1231"/>
      <c r="AC343" s="1231"/>
      <c r="AD343" s="1231"/>
      <c r="AE343" s="1231"/>
      <c r="AF343" s="1231"/>
      <c r="AG343" s="1231"/>
      <c r="AH343" s="1231"/>
      <c r="AI343" s="1231"/>
      <c r="AJ343" s="1231"/>
      <c r="AK343" s="1231"/>
      <c r="AL343" s="1231"/>
      <c r="AM343" s="1231"/>
      <c r="AN343" s="1231"/>
      <c r="AO343" s="1231"/>
      <c r="AP343" s="1231"/>
      <c r="AQ343" s="1231"/>
      <c r="AR343" s="1231"/>
      <c r="AS343" s="1231"/>
      <c r="AT343" s="1231"/>
      <c r="AU343" s="1231"/>
      <c r="AV343" s="1231"/>
      <c r="AW343" s="1231"/>
      <c r="AX343" s="1231"/>
      <c r="AY343" s="1231"/>
      <c r="AZ343" s="1231"/>
      <c r="BA343" s="1231"/>
      <c r="BB343" s="1231"/>
      <c r="BC343" s="1231"/>
      <c r="BD343" s="1231"/>
      <c r="BE343" s="1231"/>
      <c r="BF343" s="1231"/>
      <c r="BG343" s="1231"/>
      <c r="BH343" s="1231"/>
      <c r="BI343" s="1231"/>
      <c r="BJ343" s="1231"/>
      <c r="BK343" s="1127"/>
      <c r="BL343" s="1127"/>
    </row>
    <row r="344" spans="1:64" s="401" customFormat="1" x14ac:dyDescent="0.3">
      <c r="A344" s="1222"/>
      <c r="B344" s="1152" t="s">
        <v>515</v>
      </c>
      <c r="C344" s="1152"/>
      <c r="D344" s="1152" t="s">
        <v>517</v>
      </c>
      <c r="E344" s="1152"/>
      <c r="F344" s="1231"/>
      <c r="G344" s="1231"/>
      <c r="H344" s="1231"/>
      <c r="I344" s="1231"/>
      <c r="J344" s="1231"/>
      <c r="K344" s="1231"/>
      <c r="L344" s="1231"/>
      <c r="M344" s="1231"/>
      <c r="N344" s="1231"/>
      <c r="O344" s="1231"/>
      <c r="P344" s="1231"/>
      <c r="Q344" s="1231"/>
      <c r="R344" s="1231"/>
      <c r="S344" s="1231"/>
      <c r="T344" s="1231"/>
      <c r="U344" s="1231"/>
      <c r="V344" s="1231"/>
      <c r="W344" s="1231"/>
      <c r="X344" s="1231"/>
      <c r="Y344" s="1231"/>
      <c r="Z344" s="1231"/>
      <c r="AA344" s="1231"/>
      <c r="AB344" s="1231"/>
      <c r="AC344" s="1231"/>
      <c r="AD344" s="1231"/>
      <c r="AE344" s="1231"/>
      <c r="AF344" s="1231"/>
      <c r="AG344" s="1231"/>
      <c r="AH344" s="1231"/>
      <c r="AI344" s="1231"/>
      <c r="AJ344" s="1231"/>
      <c r="AK344" s="1231"/>
      <c r="AL344" s="1231"/>
      <c r="AM344" s="1231"/>
      <c r="AN344" s="1231"/>
      <c r="AO344" s="1231"/>
      <c r="AP344" s="1231"/>
      <c r="AQ344" s="1231"/>
      <c r="AR344" s="1231"/>
      <c r="AS344" s="1231"/>
      <c r="AT344" s="1231"/>
      <c r="AU344" s="1231"/>
      <c r="AV344" s="1231"/>
      <c r="AW344" s="1231"/>
      <c r="AX344" s="1231"/>
      <c r="AY344" s="1231"/>
      <c r="AZ344" s="1231"/>
      <c r="BA344" s="1231"/>
      <c r="BB344" s="1231"/>
      <c r="BC344" s="1231"/>
      <c r="BD344" s="1231"/>
      <c r="BE344" s="1231"/>
      <c r="BF344" s="1231"/>
      <c r="BG344" s="1231"/>
      <c r="BH344" s="1231"/>
      <c r="BI344" s="1231"/>
      <c r="BJ344" s="1231"/>
      <c r="BK344" s="1127"/>
      <c r="BL344" s="1127"/>
    </row>
    <row r="345" spans="1:64" s="401" customFormat="1" x14ac:dyDescent="0.3">
      <c r="A345" s="1222"/>
      <c r="B345" s="1152" t="s">
        <v>588</v>
      </c>
      <c r="C345" s="1152"/>
      <c r="D345" s="1152" t="s">
        <v>591</v>
      </c>
      <c r="E345" s="1152"/>
      <c r="F345" s="1231"/>
      <c r="G345" s="1231"/>
      <c r="H345" s="1231"/>
      <c r="I345" s="1231"/>
      <c r="J345" s="1231"/>
      <c r="K345" s="1231"/>
      <c r="L345" s="1231"/>
      <c r="M345" s="1231"/>
      <c r="N345" s="1231"/>
      <c r="O345" s="1231"/>
      <c r="P345" s="1231"/>
      <c r="Q345" s="1231"/>
      <c r="R345" s="1231"/>
      <c r="S345" s="1231"/>
      <c r="T345" s="1231"/>
      <c r="U345" s="1231"/>
      <c r="V345" s="1231"/>
      <c r="W345" s="1231"/>
      <c r="X345" s="1231"/>
      <c r="Y345" s="1231"/>
      <c r="Z345" s="1231"/>
      <c r="AA345" s="1231"/>
      <c r="AB345" s="1231"/>
      <c r="AC345" s="1231"/>
      <c r="AD345" s="1231"/>
      <c r="AE345" s="1231"/>
      <c r="AF345" s="1231"/>
      <c r="AG345" s="1231"/>
      <c r="AH345" s="1231"/>
      <c r="AI345" s="1231"/>
      <c r="AJ345" s="1231"/>
      <c r="AK345" s="1231"/>
      <c r="AL345" s="1231"/>
      <c r="AM345" s="1231"/>
      <c r="AN345" s="1231"/>
      <c r="AO345" s="1231"/>
      <c r="AP345" s="1231"/>
      <c r="AQ345" s="1231"/>
      <c r="AR345" s="1231"/>
      <c r="AS345" s="1231"/>
      <c r="AT345" s="1231"/>
      <c r="AU345" s="1231"/>
      <c r="AV345" s="1231"/>
      <c r="AW345" s="1231"/>
      <c r="AX345" s="1231"/>
      <c r="AY345" s="1231"/>
      <c r="AZ345" s="1231"/>
      <c r="BA345" s="1231"/>
      <c r="BB345" s="1231"/>
      <c r="BC345" s="1231"/>
      <c r="BD345" s="1231"/>
      <c r="BE345" s="1231"/>
      <c r="BF345" s="1231"/>
      <c r="BG345" s="1231"/>
      <c r="BH345" s="1231"/>
      <c r="BI345" s="1231"/>
      <c r="BJ345" s="1231"/>
      <c r="BK345" s="1127"/>
      <c r="BL345" s="1127"/>
    </row>
    <row r="346" spans="1:64" s="401" customFormat="1" x14ac:dyDescent="0.3">
      <c r="A346" s="1222"/>
      <c r="B346" s="1152" t="s">
        <v>589</v>
      </c>
      <c r="C346" s="1152"/>
      <c r="D346" s="1152" t="s">
        <v>590</v>
      </c>
      <c r="E346" s="1152"/>
      <c r="F346" s="1231"/>
      <c r="G346" s="1231"/>
      <c r="H346" s="1231"/>
      <c r="I346" s="1231"/>
      <c r="J346" s="1231"/>
      <c r="K346" s="1231"/>
      <c r="L346" s="1231"/>
      <c r="M346" s="1231"/>
      <c r="N346" s="1231"/>
      <c r="O346" s="1231"/>
      <c r="P346" s="1231"/>
      <c r="Q346" s="1231"/>
      <c r="R346" s="1231"/>
      <c r="S346" s="1231"/>
      <c r="T346" s="1231"/>
      <c r="U346" s="1231"/>
      <c r="V346" s="1231"/>
      <c r="W346" s="1231"/>
      <c r="X346" s="1231"/>
      <c r="Y346" s="1231"/>
      <c r="Z346" s="1231"/>
      <c r="AA346" s="1231"/>
      <c r="AB346" s="1231"/>
      <c r="AC346" s="1231"/>
      <c r="AD346" s="1231"/>
      <c r="AE346" s="1231"/>
      <c r="AF346" s="1231"/>
      <c r="AG346" s="1231"/>
      <c r="AH346" s="1231"/>
      <c r="AI346" s="1231"/>
      <c r="AJ346" s="1231"/>
      <c r="AK346" s="1231"/>
      <c r="AL346" s="1231"/>
      <c r="AM346" s="1231"/>
      <c r="AN346" s="1231"/>
      <c r="AO346" s="1231"/>
      <c r="AP346" s="1231"/>
      <c r="AQ346" s="1231"/>
      <c r="AR346" s="1231"/>
      <c r="AS346" s="1231"/>
      <c r="AT346" s="1231"/>
      <c r="AU346" s="1231"/>
      <c r="AV346" s="1231"/>
      <c r="AW346" s="1231"/>
      <c r="AX346" s="1231"/>
      <c r="AY346" s="1231"/>
      <c r="AZ346" s="1231"/>
      <c r="BA346" s="1231"/>
      <c r="BB346" s="1231"/>
      <c r="BC346" s="1231"/>
      <c r="BD346" s="1231"/>
      <c r="BE346" s="1231"/>
      <c r="BF346" s="1231"/>
      <c r="BG346" s="1231"/>
      <c r="BH346" s="1231"/>
      <c r="BI346" s="1231"/>
      <c r="BJ346" s="1231"/>
      <c r="BK346" s="1127"/>
      <c r="BL346" s="1127"/>
    </row>
    <row r="347" spans="1:64" s="401" customFormat="1" x14ac:dyDescent="0.3">
      <c r="A347" s="1222"/>
      <c r="B347" s="1152" t="s">
        <v>809</v>
      </c>
      <c r="C347" s="1152"/>
      <c r="D347" s="1152" t="s">
        <v>535</v>
      </c>
      <c r="E347" s="1152"/>
      <c r="F347" s="1231" t="e">
        <v>#DIV/0!</v>
      </c>
      <c r="G347" s="1231" t="e">
        <v>#DIV/0!</v>
      </c>
      <c r="H347" s="1231" t="e">
        <v>#DIV/0!</v>
      </c>
      <c r="I347" s="1231" t="e">
        <v>#DIV/0!</v>
      </c>
      <c r="J347" s="1231" t="e">
        <v>#DIV/0!</v>
      </c>
      <c r="K347" s="1231" t="e">
        <v>#DIV/0!</v>
      </c>
      <c r="L347" s="1231" t="e">
        <v>#DIV/0!</v>
      </c>
      <c r="M347" s="1231" t="e">
        <v>#DIV/0!</v>
      </c>
      <c r="N347" s="1231" t="e">
        <v>#DIV/0!</v>
      </c>
      <c r="O347" s="1231" t="e">
        <v>#DIV/0!</v>
      </c>
      <c r="P347" s="1231" t="e">
        <v>#DIV/0!</v>
      </c>
      <c r="Q347" s="1231" t="e">
        <v>#DIV/0!</v>
      </c>
      <c r="R347" s="1231" t="e">
        <v>#DIV/0!</v>
      </c>
      <c r="S347" s="1231" t="e">
        <v>#DIV/0!</v>
      </c>
      <c r="T347" s="1231" t="e">
        <v>#DIV/0!</v>
      </c>
      <c r="U347" s="1231" t="e">
        <v>#DIV/0!</v>
      </c>
      <c r="V347" s="1231" t="e">
        <v>#DIV/0!</v>
      </c>
      <c r="W347" s="1231" t="e">
        <v>#DIV/0!</v>
      </c>
      <c r="X347" s="1231" t="e">
        <v>#DIV/0!</v>
      </c>
      <c r="Y347" s="1231" t="e">
        <v>#DIV/0!</v>
      </c>
      <c r="Z347" s="1231" t="e">
        <v>#DIV/0!</v>
      </c>
      <c r="AA347" s="1231" t="e">
        <v>#DIV/0!</v>
      </c>
      <c r="AB347" s="1231" t="e">
        <v>#DIV/0!</v>
      </c>
      <c r="AC347" s="1231" t="e">
        <v>#DIV/0!</v>
      </c>
      <c r="AD347" s="1231" t="e">
        <v>#DIV/0!</v>
      </c>
      <c r="AE347" s="1231" t="e">
        <v>#DIV/0!</v>
      </c>
      <c r="AF347" s="1231" t="e">
        <v>#DIV/0!</v>
      </c>
      <c r="AG347" s="1231" t="e">
        <v>#DIV/0!</v>
      </c>
      <c r="AH347" s="1231" t="e">
        <v>#DIV/0!</v>
      </c>
      <c r="AI347" s="1231" t="e">
        <v>#DIV/0!</v>
      </c>
      <c r="AJ347" s="1231" t="e">
        <v>#DIV/0!</v>
      </c>
      <c r="AK347" s="1231" t="e">
        <v>#DIV/0!</v>
      </c>
      <c r="AL347" s="1231" t="e">
        <v>#DIV/0!</v>
      </c>
      <c r="AM347" s="1231" t="e">
        <v>#DIV/0!</v>
      </c>
      <c r="AN347" s="1231" t="e">
        <v>#DIV/0!</v>
      </c>
      <c r="AO347" s="1231" t="e">
        <v>#DIV/0!</v>
      </c>
      <c r="AP347" s="1231" t="e">
        <v>#DIV/0!</v>
      </c>
      <c r="AQ347" s="1231" t="e">
        <v>#DIV/0!</v>
      </c>
      <c r="AR347" s="1231" t="e">
        <v>#DIV/0!</v>
      </c>
      <c r="AS347" s="1231" t="e">
        <v>#DIV/0!</v>
      </c>
      <c r="AT347" s="1231" t="e">
        <v>#DIV/0!</v>
      </c>
      <c r="AU347" s="1231" t="e">
        <v>#DIV/0!</v>
      </c>
      <c r="AV347" s="1231" t="e">
        <v>#DIV/0!</v>
      </c>
      <c r="AW347" s="1231" t="e">
        <v>#DIV/0!</v>
      </c>
      <c r="AX347" s="1231" t="e">
        <v>#DIV/0!</v>
      </c>
      <c r="AY347" s="1231" t="e">
        <v>#DIV/0!</v>
      </c>
      <c r="AZ347" s="1231" t="e">
        <v>#DIV/0!</v>
      </c>
      <c r="BA347" s="1231" t="e">
        <v>#DIV/0!</v>
      </c>
      <c r="BB347" s="1231" t="e">
        <v>#DIV/0!</v>
      </c>
      <c r="BC347" s="1231" t="e">
        <v>#DIV/0!</v>
      </c>
      <c r="BD347" s="1231" t="e">
        <v>#DIV/0!</v>
      </c>
      <c r="BE347" s="1231" t="e">
        <v>#DIV/0!</v>
      </c>
      <c r="BF347" s="1231" t="e">
        <v>#DIV/0!</v>
      </c>
      <c r="BG347" s="1231" t="e">
        <v>#DIV/0!</v>
      </c>
      <c r="BH347" s="1231" t="e">
        <v>#DIV/0!</v>
      </c>
      <c r="BI347" s="1231" t="e">
        <v>#DIV/0!</v>
      </c>
      <c r="BJ347" s="1231" t="e">
        <v>#DIV/0!</v>
      </c>
      <c r="BK347" s="1127"/>
      <c r="BL347" s="1127"/>
    </row>
    <row r="348" spans="1:64" s="401" customFormat="1" x14ac:dyDescent="0.3">
      <c r="A348" s="1220"/>
      <c r="B348" s="1152" t="s">
        <v>815</v>
      </c>
      <c r="C348" s="1152"/>
      <c r="D348" s="1152" t="s">
        <v>979</v>
      </c>
      <c r="E348" s="1152"/>
      <c r="F348" s="1232" t="s">
        <v>1519</v>
      </c>
      <c r="G348" s="1232" t="s">
        <v>1519</v>
      </c>
      <c r="H348" s="1232" t="s">
        <v>1519</v>
      </c>
      <c r="I348" s="1232" t="s">
        <v>1519</v>
      </c>
      <c r="J348" s="1232" t="s">
        <v>1519</v>
      </c>
      <c r="K348" s="1232" t="s">
        <v>1519</v>
      </c>
      <c r="L348" s="1232" t="s">
        <v>1519</v>
      </c>
      <c r="M348" s="1232" t="s">
        <v>1519</v>
      </c>
      <c r="N348" s="1232" t="s">
        <v>1520</v>
      </c>
      <c r="O348" s="1232" t="s">
        <v>1519</v>
      </c>
      <c r="P348" s="1232" t="s">
        <v>1519</v>
      </c>
      <c r="Q348" s="1232" t="s">
        <v>1519</v>
      </c>
      <c r="R348" s="1232" t="s">
        <v>1519</v>
      </c>
      <c r="S348" s="1232" t="s">
        <v>1519</v>
      </c>
      <c r="T348" s="1232" t="s">
        <v>1519</v>
      </c>
      <c r="U348" s="1232" t="s">
        <v>1519</v>
      </c>
      <c r="V348" s="1232" t="s">
        <v>1519</v>
      </c>
      <c r="W348" s="1232" t="s">
        <v>1519</v>
      </c>
      <c r="X348" s="1232" t="s">
        <v>1519</v>
      </c>
      <c r="Y348" s="1232" t="s">
        <v>1519</v>
      </c>
      <c r="Z348" s="1232" t="s">
        <v>1519</v>
      </c>
      <c r="AA348" s="1232" t="s">
        <v>1519</v>
      </c>
      <c r="AB348" s="1232" t="s">
        <v>1519</v>
      </c>
      <c r="AC348" s="1232" t="s">
        <v>1519</v>
      </c>
      <c r="AD348" s="1232" t="s">
        <v>1519</v>
      </c>
      <c r="AE348" s="1232" t="s">
        <v>1519</v>
      </c>
      <c r="AF348" s="1232" t="s">
        <v>1519</v>
      </c>
      <c r="AG348" s="1232" t="s">
        <v>1519</v>
      </c>
      <c r="AH348" s="1232" t="s">
        <v>1519</v>
      </c>
      <c r="AI348" s="1232" t="s">
        <v>1519</v>
      </c>
      <c r="AJ348" s="1232" t="s">
        <v>1519</v>
      </c>
      <c r="AK348" s="1232" t="s">
        <v>1519</v>
      </c>
      <c r="AL348" s="1232" t="s">
        <v>1519</v>
      </c>
      <c r="AM348" s="1232" t="s">
        <v>1519</v>
      </c>
      <c r="AN348" s="1232" t="s">
        <v>1519</v>
      </c>
      <c r="AO348" s="1232" t="s">
        <v>1519</v>
      </c>
      <c r="AP348" s="1232" t="s">
        <v>1519</v>
      </c>
      <c r="AQ348" s="1232" t="s">
        <v>1519</v>
      </c>
      <c r="AR348" s="1232" t="s">
        <v>1519</v>
      </c>
      <c r="AS348" s="1232" t="s">
        <v>1520</v>
      </c>
      <c r="AT348" s="1232" t="s">
        <v>1519</v>
      </c>
      <c r="AU348" s="1232" t="s">
        <v>1519</v>
      </c>
      <c r="AV348" s="1232" t="s">
        <v>1519</v>
      </c>
      <c r="AW348" s="1232" t="s">
        <v>1519</v>
      </c>
      <c r="AX348" s="1232" t="s">
        <v>1519</v>
      </c>
      <c r="AY348" s="1232" t="s">
        <v>1521</v>
      </c>
      <c r="AZ348" s="1232" t="s">
        <v>1519</v>
      </c>
      <c r="BA348" s="1232" t="s">
        <v>1519</v>
      </c>
      <c r="BB348" s="1232" t="s">
        <v>1519</v>
      </c>
      <c r="BC348" s="1232" t="s">
        <v>1519</v>
      </c>
      <c r="BD348" s="1232" t="s">
        <v>1519</v>
      </c>
      <c r="BE348" s="1232" t="s">
        <v>1519</v>
      </c>
      <c r="BF348" s="1232" t="s">
        <v>1522</v>
      </c>
      <c r="BG348" s="1232" t="s">
        <v>1519</v>
      </c>
      <c r="BH348" s="1232" t="s">
        <v>1519</v>
      </c>
      <c r="BI348" s="1232" t="s">
        <v>1519</v>
      </c>
      <c r="BJ348" s="1232" t="s">
        <v>1519</v>
      </c>
      <c r="BK348" s="1128"/>
      <c r="BL348" s="1128"/>
    </row>
    <row r="349" spans="1:64" s="401" customFormat="1" x14ac:dyDescent="0.3">
      <c r="A349" s="1220"/>
      <c r="B349" s="1152" t="s">
        <v>814</v>
      </c>
      <c r="C349" s="1152"/>
      <c r="D349" s="1152" t="s">
        <v>816</v>
      </c>
      <c r="E349" s="1152"/>
      <c r="F349" s="1231" t="e">
        <v>#DIV/0!</v>
      </c>
      <c r="G349" s="1231" t="e">
        <v>#DIV/0!</v>
      </c>
      <c r="H349" s="1231" t="e">
        <v>#DIV/0!</v>
      </c>
      <c r="I349" s="1231" t="e">
        <v>#DIV/0!</v>
      </c>
      <c r="J349" s="1231" t="e">
        <v>#DIV/0!</v>
      </c>
      <c r="K349" s="1231" t="e">
        <v>#DIV/0!</v>
      </c>
      <c r="L349" s="1231" t="e">
        <v>#DIV/0!</v>
      </c>
      <c r="M349" s="1231" t="e">
        <v>#DIV/0!</v>
      </c>
      <c r="N349" s="1231" t="e">
        <v>#DIV/0!</v>
      </c>
      <c r="O349" s="1231" t="e">
        <v>#DIV/0!</v>
      </c>
      <c r="P349" s="1231" t="e">
        <v>#DIV/0!</v>
      </c>
      <c r="Q349" s="1231" t="e">
        <v>#DIV/0!</v>
      </c>
      <c r="R349" s="1231" t="e">
        <v>#DIV/0!</v>
      </c>
      <c r="S349" s="1231" t="e">
        <v>#DIV/0!</v>
      </c>
      <c r="T349" s="1231" t="e">
        <v>#DIV/0!</v>
      </c>
      <c r="U349" s="1231" t="e">
        <v>#DIV/0!</v>
      </c>
      <c r="V349" s="1231" t="e">
        <v>#DIV/0!</v>
      </c>
      <c r="W349" s="1231" t="e">
        <v>#DIV/0!</v>
      </c>
      <c r="X349" s="1231" t="e">
        <v>#DIV/0!</v>
      </c>
      <c r="Y349" s="1231" t="e">
        <v>#DIV/0!</v>
      </c>
      <c r="Z349" s="1231" t="e">
        <v>#DIV/0!</v>
      </c>
      <c r="AA349" s="1231" t="e">
        <v>#DIV/0!</v>
      </c>
      <c r="AB349" s="1231" t="e">
        <v>#DIV/0!</v>
      </c>
      <c r="AC349" s="1231" t="e">
        <v>#DIV/0!</v>
      </c>
      <c r="AD349" s="1231" t="e">
        <v>#DIV/0!</v>
      </c>
      <c r="AE349" s="1231" t="e">
        <v>#DIV/0!</v>
      </c>
      <c r="AF349" s="1231" t="e">
        <v>#DIV/0!</v>
      </c>
      <c r="AG349" s="1231" t="e">
        <v>#DIV/0!</v>
      </c>
      <c r="AH349" s="1231" t="e">
        <v>#DIV/0!</v>
      </c>
      <c r="AI349" s="1231" t="e">
        <v>#DIV/0!</v>
      </c>
      <c r="AJ349" s="1231" t="e">
        <v>#DIV/0!</v>
      </c>
      <c r="AK349" s="1231" t="e">
        <v>#DIV/0!</v>
      </c>
      <c r="AL349" s="1231" t="e">
        <v>#DIV/0!</v>
      </c>
      <c r="AM349" s="1231" t="e">
        <v>#DIV/0!</v>
      </c>
      <c r="AN349" s="1231" t="e">
        <v>#DIV/0!</v>
      </c>
      <c r="AO349" s="1231" t="e">
        <v>#DIV/0!</v>
      </c>
      <c r="AP349" s="1231" t="e">
        <v>#DIV/0!</v>
      </c>
      <c r="AQ349" s="1231" t="e">
        <v>#DIV/0!</v>
      </c>
      <c r="AR349" s="1231" t="e">
        <v>#DIV/0!</v>
      </c>
      <c r="AS349" s="1231" t="e">
        <v>#DIV/0!</v>
      </c>
      <c r="AT349" s="1231" t="e">
        <v>#DIV/0!</v>
      </c>
      <c r="AU349" s="1231" t="e">
        <v>#DIV/0!</v>
      </c>
      <c r="AV349" s="1231" t="e">
        <v>#DIV/0!</v>
      </c>
      <c r="AW349" s="1231" t="e">
        <v>#DIV/0!</v>
      </c>
      <c r="AX349" s="1231" t="e">
        <v>#DIV/0!</v>
      </c>
      <c r="AY349" s="1231" t="e">
        <v>#DIV/0!</v>
      </c>
      <c r="AZ349" s="1231" t="e">
        <v>#DIV/0!</v>
      </c>
      <c r="BA349" s="1231" t="e">
        <v>#DIV/0!</v>
      </c>
      <c r="BB349" s="1231" t="e">
        <v>#DIV/0!</v>
      </c>
      <c r="BC349" s="1231" t="e">
        <v>#DIV/0!</v>
      </c>
      <c r="BD349" s="1231" t="e">
        <v>#DIV/0!</v>
      </c>
      <c r="BE349" s="1231" t="e">
        <v>#DIV/0!</v>
      </c>
      <c r="BF349" s="1231" t="e">
        <v>#DIV/0!</v>
      </c>
      <c r="BG349" s="1231" t="e">
        <v>#DIV/0!</v>
      </c>
      <c r="BH349" s="1231" t="e">
        <v>#DIV/0!</v>
      </c>
      <c r="BI349" s="1231" t="e">
        <v>#DIV/0!</v>
      </c>
      <c r="BJ349" s="1231" t="e">
        <v>#DIV/0!</v>
      </c>
      <c r="BK349" s="1127"/>
      <c r="BL349" s="1127"/>
    </row>
    <row r="350" spans="1:64" s="401" customFormat="1" x14ac:dyDescent="0.3">
      <c r="A350" s="1220"/>
      <c r="B350" s="1152" t="s">
        <v>813</v>
      </c>
      <c r="C350" s="1152"/>
      <c r="D350" s="1152" t="s">
        <v>817</v>
      </c>
      <c r="E350" s="1152"/>
      <c r="F350" s="1231" t="e">
        <v>#DIV/0!</v>
      </c>
      <c r="G350" s="1231" t="e">
        <v>#DIV/0!</v>
      </c>
      <c r="H350" s="1231" t="e">
        <v>#DIV/0!</v>
      </c>
      <c r="I350" s="1231" t="e">
        <v>#DIV/0!</v>
      </c>
      <c r="J350" s="1231" t="e">
        <v>#DIV/0!</v>
      </c>
      <c r="K350" s="1231" t="e">
        <v>#DIV/0!</v>
      </c>
      <c r="L350" s="1231" t="e">
        <v>#DIV/0!</v>
      </c>
      <c r="M350" s="1231" t="e">
        <v>#DIV/0!</v>
      </c>
      <c r="N350" s="1231" t="e">
        <v>#DIV/0!</v>
      </c>
      <c r="O350" s="1231" t="e">
        <v>#DIV/0!</v>
      </c>
      <c r="P350" s="1231" t="e">
        <v>#DIV/0!</v>
      </c>
      <c r="Q350" s="1231" t="e">
        <v>#DIV/0!</v>
      </c>
      <c r="R350" s="1231" t="e">
        <v>#DIV/0!</v>
      </c>
      <c r="S350" s="1231" t="e">
        <v>#DIV/0!</v>
      </c>
      <c r="T350" s="1231" t="e">
        <v>#DIV/0!</v>
      </c>
      <c r="U350" s="1231" t="e">
        <v>#DIV/0!</v>
      </c>
      <c r="V350" s="1231" t="e">
        <v>#DIV/0!</v>
      </c>
      <c r="W350" s="1231" t="e">
        <v>#DIV/0!</v>
      </c>
      <c r="X350" s="1231" t="e">
        <v>#DIV/0!</v>
      </c>
      <c r="Y350" s="1231" t="e">
        <v>#DIV/0!</v>
      </c>
      <c r="Z350" s="1231" t="e">
        <v>#DIV/0!</v>
      </c>
      <c r="AA350" s="1231" t="e">
        <v>#DIV/0!</v>
      </c>
      <c r="AB350" s="1231" t="e">
        <v>#DIV/0!</v>
      </c>
      <c r="AC350" s="1231" t="e">
        <v>#DIV/0!</v>
      </c>
      <c r="AD350" s="1231" t="e">
        <v>#DIV/0!</v>
      </c>
      <c r="AE350" s="1231" t="e">
        <v>#DIV/0!</v>
      </c>
      <c r="AF350" s="1231" t="e">
        <v>#DIV/0!</v>
      </c>
      <c r="AG350" s="1231" t="e">
        <v>#DIV/0!</v>
      </c>
      <c r="AH350" s="1231" t="e">
        <v>#DIV/0!</v>
      </c>
      <c r="AI350" s="1231" t="e">
        <v>#DIV/0!</v>
      </c>
      <c r="AJ350" s="1231" t="e">
        <v>#DIV/0!</v>
      </c>
      <c r="AK350" s="1231" t="e">
        <v>#DIV/0!</v>
      </c>
      <c r="AL350" s="1231" t="e">
        <v>#DIV/0!</v>
      </c>
      <c r="AM350" s="1231" t="e">
        <v>#DIV/0!</v>
      </c>
      <c r="AN350" s="1231" t="e">
        <v>#DIV/0!</v>
      </c>
      <c r="AO350" s="1231" t="e">
        <v>#DIV/0!</v>
      </c>
      <c r="AP350" s="1231" t="e">
        <v>#DIV/0!</v>
      </c>
      <c r="AQ350" s="1231" t="e">
        <v>#DIV/0!</v>
      </c>
      <c r="AR350" s="1231" t="e">
        <v>#DIV/0!</v>
      </c>
      <c r="AS350" s="1231" t="e">
        <v>#DIV/0!</v>
      </c>
      <c r="AT350" s="1231" t="e">
        <v>#DIV/0!</v>
      </c>
      <c r="AU350" s="1231" t="e">
        <v>#DIV/0!</v>
      </c>
      <c r="AV350" s="1231" t="e">
        <v>#DIV/0!</v>
      </c>
      <c r="AW350" s="1231" t="e">
        <v>#DIV/0!</v>
      </c>
      <c r="AX350" s="1231" t="e">
        <v>#DIV/0!</v>
      </c>
      <c r="AY350" s="1231" t="e">
        <v>#DIV/0!</v>
      </c>
      <c r="AZ350" s="1231" t="e">
        <v>#DIV/0!</v>
      </c>
      <c r="BA350" s="1231" t="e">
        <v>#DIV/0!</v>
      </c>
      <c r="BB350" s="1231" t="e">
        <v>#DIV/0!</v>
      </c>
      <c r="BC350" s="1231" t="e">
        <v>#DIV/0!</v>
      </c>
      <c r="BD350" s="1231" t="e">
        <v>#DIV/0!</v>
      </c>
      <c r="BE350" s="1231" t="e">
        <v>#DIV/0!</v>
      </c>
      <c r="BF350" s="1231" t="e">
        <v>#DIV/0!</v>
      </c>
      <c r="BG350" s="1231" t="e">
        <v>#DIV/0!</v>
      </c>
      <c r="BH350" s="1231" t="e">
        <v>#DIV/0!</v>
      </c>
      <c r="BI350" s="1231" t="e">
        <v>#DIV/0!</v>
      </c>
      <c r="BJ350" s="1231" t="e">
        <v>#DIV/0!</v>
      </c>
      <c r="BK350" s="1127"/>
      <c r="BL350" s="1127"/>
    </row>
    <row r="351" spans="1:64" s="401" customFormat="1" x14ac:dyDescent="0.3">
      <c r="A351" s="1220"/>
      <c r="B351" s="1152" t="s">
        <v>819</v>
      </c>
      <c r="C351" s="1152"/>
      <c r="D351" s="1152" t="s">
        <v>980</v>
      </c>
      <c r="E351" s="1152"/>
      <c r="F351" s="1232" t="s">
        <v>1519</v>
      </c>
      <c r="G351" s="1232" t="s">
        <v>1519</v>
      </c>
      <c r="H351" s="1232" t="s">
        <v>1519</v>
      </c>
      <c r="I351" s="1232" t="s">
        <v>1519</v>
      </c>
      <c r="J351" s="1232" t="s">
        <v>1519</v>
      </c>
      <c r="K351" s="1232" t="s">
        <v>1519</v>
      </c>
      <c r="L351" s="1232" t="s">
        <v>1519</v>
      </c>
      <c r="M351" s="1232" t="s">
        <v>1519</v>
      </c>
      <c r="N351" s="1232" t="s">
        <v>1520</v>
      </c>
      <c r="O351" s="1232" t="s">
        <v>1519</v>
      </c>
      <c r="P351" s="1232" t="s">
        <v>1519</v>
      </c>
      <c r="Q351" s="1232" t="s">
        <v>1519</v>
      </c>
      <c r="R351" s="1232" t="s">
        <v>1519</v>
      </c>
      <c r="S351" s="1232" t="s">
        <v>1519</v>
      </c>
      <c r="T351" s="1232" t="s">
        <v>1519</v>
      </c>
      <c r="U351" s="1232" t="s">
        <v>1519</v>
      </c>
      <c r="V351" s="1232" t="s">
        <v>1519</v>
      </c>
      <c r="W351" s="1232" t="s">
        <v>1519</v>
      </c>
      <c r="X351" s="1232" t="s">
        <v>1519</v>
      </c>
      <c r="Y351" s="1232" t="s">
        <v>1519</v>
      </c>
      <c r="Z351" s="1232" t="s">
        <v>1519</v>
      </c>
      <c r="AA351" s="1232" t="s">
        <v>1519</v>
      </c>
      <c r="AB351" s="1232" t="s">
        <v>1519</v>
      </c>
      <c r="AC351" s="1232" t="s">
        <v>1519</v>
      </c>
      <c r="AD351" s="1232" t="s">
        <v>1519</v>
      </c>
      <c r="AE351" s="1232" t="s">
        <v>1519</v>
      </c>
      <c r="AF351" s="1232" t="s">
        <v>1519</v>
      </c>
      <c r="AG351" s="1232" t="s">
        <v>1519</v>
      </c>
      <c r="AH351" s="1232" t="s">
        <v>1519</v>
      </c>
      <c r="AI351" s="1232" t="s">
        <v>1519</v>
      </c>
      <c r="AJ351" s="1232" t="s">
        <v>1519</v>
      </c>
      <c r="AK351" s="1232" t="s">
        <v>1519</v>
      </c>
      <c r="AL351" s="1232" t="s">
        <v>1519</v>
      </c>
      <c r="AM351" s="1232" t="s">
        <v>1519</v>
      </c>
      <c r="AN351" s="1232" t="s">
        <v>1519</v>
      </c>
      <c r="AO351" s="1232" t="s">
        <v>1519</v>
      </c>
      <c r="AP351" s="1232" t="s">
        <v>1519</v>
      </c>
      <c r="AQ351" s="1232" t="s">
        <v>1519</v>
      </c>
      <c r="AR351" s="1232" t="s">
        <v>1519</v>
      </c>
      <c r="AS351" s="1232" t="s">
        <v>1520</v>
      </c>
      <c r="AT351" s="1232" t="s">
        <v>1519</v>
      </c>
      <c r="AU351" s="1232" t="s">
        <v>1519</v>
      </c>
      <c r="AV351" s="1232" t="s">
        <v>1519</v>
      </c>
      <c r="AW351" s="1232" t="s">
        <v>1519</v>
      </c>
      <c r="AX351" s="1232" t="s">
        <v>1519</v>
      </c>
      <c r="AY351" s="1232" t="s">
        <v>1521</v>
      </c>
      <c r="AZ351" s="1232" t="s">
        <v>1519</v>
      </c>
      <c r="BA351" s="1232" t="s">
        <v>1519</v>
      </c>
      <c r="BB351" s="1232" t="s">
        <v>1519</v>
      </c>
      <c r="BC351" s="1232" t="s">
        <v>1519</v>
      </c>
      <c r="BD351" s="1232" t="s">
        <v>1519</v>
      </c>
      <c r="BE351" s="1232" t="s">
        <v>1519</v>
      </c>
      <c r="BF351" s="1232" t="s">
        <v>1522</v>
      </c>
      <c r="BG351" s="1232" t="s">
        <v>1519</v>
      </c>
      <c r="BH351" s="1232" t="s">
        <v>1519</v>
      </c>
      <c r="BI351" s="1232" t="s">
        <v>1519</v>
      </c>
      <c r="BJ351" s="1232" t="s">
        <v>1519</v>
      </c>
      <c r="BK351" s="1128"/>
      <c r="BL351" s="1128"/>
    </row>
    <row r="352" spans="1:64" s="401" customFormat="1" x14ac:dyDescent="0.3">
      <c r="A352" s="1220"/>
      <c r="B352" s="1152" t="s">
        <v>820</v>
      </c>
      <c r="C352" s="1152"/>
      <c r="D352" s="1152" t="s">
        <v>821</v>
      </c>
      <c r="E352" s="1152"/>
      <c r="F352" s="1231" t="e">
        <v>#DIV/0!</v>
      </c>
      <c r="G352" s="1231" t="e">
        <v>#DIV/0!</v>
      </c>
      <c r="H352" s="1231" t="e">
        <v>#DIV/0!</v>
      </c>
      <c r="I352" s="1231" t="e">
        <v>#DIV/0!</v>
      </c>
      <c r="J352" s="1231" t="e">
        <v>#DIV/0!</v>
      </c>
      <c r="K352" s="1231" t="e">
        <v>#DIV/0!</v>
      </c>
      <c r="L352" s="1231" t="e">
        <v>#DIV/0!</v>
      </c>
      <c r="M352" s="1231" t="e">
        <v>#DIV/0!</v>
      </c>
      <c r="N352" s="1231" t="e">
        <v>#DIV/0!</v>
      </c>
      <c r="O352" s="1231" t="e">
        <v>#DIV/0!</v>
      </c>
      <c r="P352" s="1231" t="e">
        <v>#DIV/0!</v>
      </c>
      <c r="Q352" s="1231" t="e">
        <v>#DIV/0!</v>
      </c>
      <c r="R352" s="1231" t="e">
        <v>#DIV/0!</v>
      </c>
      <c r="S352" s="1231" t="e">
        <v>#DIV/0!</v>
      </c>
      <c r="T352" s="1231" t="e">
        <v>#DIV/0!</v>
      </c>
      <c r="U352" s="1231" t="e">
        <v>#DIV/0!</v>
      </c>
      <c r="V352" s="1231" t="e">
        <v>#DIV/0!</v>
      </c>
      <c r="W352" s="1231" t="e">
        <v>#DIV/0!</v>
      </c>
      <c r="X352" s="1231" t="e">
        <v>#DIV/0!</v>
      </c>
      <c r="Y352" s="1231" t="e">
        <v>#DIV/0!</v>
      </c>
      <c r="Z352" s="1231" t="e">
        <v>#DIV/0!</v>
      </c>
      <c r="AA352" s="1231" t="e">
        <v>#DIV/0!</v>
      </c>
      <c r="AB352" s="1231" t="e">
        <v>#DIV/0!</v>
      </c>
      <c r="AC352" s="1231" t="e">
        <v>#DIV/0!</v>
      </c>
      <c r="AD352" s="1231" t="e">
        <v>#DIV/0!</v>
      </c>
      <c r="AE352" s="1231" t="e">
        <v>#DIV/0!</v>
      </c>
      <c r="AF352" s="1231" t="e">
        <v>#DIV/0!</v>
      </c>
      <c r="AG352" s="1231" t="e">
        <v>#DIV/0!</v>
      </c>
      <c r="AH352" s="1231" t="e">
        <v>#DIV/0!</v>
      </c>
      <c r="AI352" s="1231" t="e">
        <v>#DIV/0!</v>
      </c>
      <c r="AJ352" s="1231" t="e">
        <v>#DIV/0!</v>
      </c>
      <c r="AK352" s="1231" t="e">
        <v>#DIV/0!</v>
      </c>
      <c r="AL352" s="1231" t="e">
        <v>#DIV/0!</v>
      </c>
      <c r="AM352" s="1231" t="e">
        <v>#DIV/0!</v>
      </c>
      <c r="AN352" s="1231" t="e">
        <v>#DIV/0!</v>
      </c>
      <c r="AO352" s="1231" t="e">
        <v>#DIV/0!</v>
      </c>
      <c r="AP352" s="1231" t="e">
        <v>#DIV/0!</v>
      </c>
      <c r="AQ352" s="1231" t="e">
        <v>#DIV/0!</v>
      </c>
      <c r="AR352" s="1231" t="e">
        <v>#DIV/0!</v>
      </c>
      <c r="AS352" s="1231" t="e">
        <v>#DIV/0!</v>
      </c>
      <c r="AT352" s="1231" t="e">
        <v>#DIV/0!</v>
      </c>
      <c r="AU352" s="1231" t="e">
        <v>#DIV/0!</v>
      </c>
      <c r="AV352" s="1231" t="e">
        <v>#DIV/0!</v>
      </c>
      <c r="AW352" s="1231" t="e">
        <v>#DIV/0!</v>
      </c>
      <c r="AX352" s="1231" t="e">
        <v>#DIV/0!</v>
      </c>
      <c r="AY352" s="1231" t="e">
        <v>#DIV/0!</v>
      </c>
      <c r="AZ352" s="1231" t="e">
        <v>#DIV/0!</v>
      </c>
      <c r="BA352" s="1231" t="e">
        <v>#DIV/0!</v>
      </c>
      <c r="BB352" s="1231" t="e">
        <v>#DIV/0!</v>
      </c>
      <c r="BC352" s="1231" t="e">
        <v>#DIV/0!</v>
      </c>
      <c r="BD352" s="1231" t="e">
        <v>#DIV/0!</v>
      </c>
      <c r="BE352" s="1231" t="e">
        <v>#DIV/0!</v>
      </c>
      <c r="BF352" s="1231" t="e">
        <v>#DIV/0!</v>
      </c>
      <c r="BG352" s="1231" t="e">
        <v>#DIV/0!</v>
      </c>
      <c r="BH352" s="1231" t="e">
        <v>#DIV/0!</v>
      </c>
      <c r="BI352" s="1231" t="e">
        <v>#DIV/0!</v>
      </c>
      <c r="BJ352" s="1231" t="e">
        <v>#DIV/0!</v>
      </c>
      <c r="BK352" s="1127"/>
      <c r="BL352" s="1127"/>
    </row>
    <row r="353" spans="1:64" s="401" customFormat="1" x14ac:dyDescent="0.3">
      <c r="A353" s="1220"/>
      <c r="B353" s="1152" t="s">
        <v>1523</v>
      </c>
      <c r="C353" s="1152"/>
      <c r="D353" s="1152" t="s">
        <v>836</v>
      </c>
      <c r="E353" s="1152"/>
      <c r="F353" s="1213">
        <v>0</v>
      </c>
      <c r="G353" s="1213">
        <v>0</v>
      </c>
      <c r="H353" s="1213">
        <v>0</v>
      </c>
      <c r="I353" s="1213">
        <v>0</v>
      </c>
      <c r="J353" s="1213">
        <v>0</v>
      </c>
      <c r="K353" s="1213">
        <v>0</v>
      </c>
      <c r="L353" s="1213">
        <v>0</v>
      </c>
      <c r="M353" s="1213">
        <v>0</v>
      </c>
      <c r="N353" s="1213">
        <v>0</v>
      </c>
      <c r="O353" s="1213">
        <v>0</v>
      </c>
      <c r="P353" s="1213">
        <v>0</v>
      </c>
      <c r="Q353" s="1213">
        <v>0</v>
      </c>
      <c r="R353" s="1213">
        <v>0</v>
      </c>
      <c r="S353" s="1213">
        <v>0</v>
      </c>
      <c r="T353" s="1213">
        <v>0</v>
      </c>
      <c r="U353" s="1213">
        <v>0</v>
      </c>
      <c r="V353" s="1213">
        <v>0</v>
      </c>
      <c r="W353" s="1213">
        <v>0</v>
      </c>
      <c r="X353" s="1213">
        <v>0</v>
      </c>
      <c r="Y353" s="1213">
        <v>0</v>
      </c>
      <c r="Z353" s="1213">
        <v>0</v>
      </c>
      <c r="AA353" s="1213">
        <v>0</v>
      </c>
      <c r="AB353" s="1213">
        <v>0</v>
      </c>
      <c r="AC353" s="1213">
        <v>0</v>
      </c>
      <c r="AD353" s="1213">
        <v>0</v>
      </c>
      <c r="AE353" s="1213">
        <v>0</v>
      </c>
      <c r="AF353" s="1213">
        <v>0</v>
      </c>
      <c r="AG353" s="1213">
        <v>0</v>
      </c>
      <c r="AH353" s="1213">
        <v>0</v>
      </c>
      <c r="AI353" s="1213">
        <v>0</v>
      </c>
      <c r="AJ353" s="1213">
        <v>0</v>
      </c>
      <c r="AK353" s="1213">
        <v>0</v>
      </c>
      <c r="AL353" s="1213">
        <v>0</v>
      </c>
      <c r="AM353" s="1213">
        <v>0</v>
      </c>
      <c r="AN353" s="1213">
        <v>0</v>
      </c>
      <c r="AO353" s="1213">
        <v>0</v>
      </c>
      <c r="AP353" s="1213">
        <v>0</v>
      </c>
      <c r="AQ353" s="1213">
        <v>0</v>
      </c>
      <c r="AR353" s="1213">
        <v>0</v>
      </c>
      <c r="AS353" s="1213">
        <v>0</v>
      </c>
      <c r="AT353" s="1213">
        <v>0</v>
      </c>
      <c r="AU353" s="1213">
        <v>0</v>
      </c>
      <c r="AV353" s="1213">
        <v>0</v>
      </c>
      <c r="AW353" s="1213">
        <v>0</v>
      </c>
      <c r="AX353" s="1213">
        <v>0</v>
      </c>
      <c r="AY353" s="1213">
        <v>0</v>
      </c>
      <c r="AZ353" s="1213">
        <v>0</v>
      </c>
      <c r="BA353" s="1213">
        <v>0</v>
      </c>
      <c r="BB353" s="1213">
        <v>0</v>
      </c>
      <c r="BC353" s="1213">
        <v>0</v>
      </c>
      <c r="BD353" s="1213">
        <v>0</v>
      </c>
      <c r="BE353" s="1213">
        <v>0</v>
      </c>
      <c r="BF353" s="1213">
        <v>0</v>
      </c>
      <c r="BG353" s="1213">
        <v>0</v>
      </c>
      <c r="BH353" s="1213">
        <v>0</v>
      </c>
      <c r="BI353" s="1213">
        <v>0</v>
      </c>
      <c r="BJ353" s="1213">
        <v>0</v>
      </c>
      <c r="BK353" s="1129"/>
      <c r="BL353" s="1129"/>
    </row>
    <row r="354" spans="1:64" s="401" customFormat="1" x14ac:dyDescent="0.3">
      <c r="A354" s="1220"/>
      <c r="B354" s="1152" t="s">
        <v>835</v>
      </c>
      <c r="C354" s="1152"/>
      <c r="D354" s="1152"/>
      <c r="E354" s="1152"/>
      <c r="F354" s="1213"/>
      <c r="G354" s="1213"/>
      <c r="H354" s="1213"/>
      <c r="I354" s="1213"/>
      <c r="J354" s="1213"/>
      <c r="K354" s="1213"/>
      <c r="L354" s="1213"/>
      <c r="M354" s="1213"/>
      <c r="N354" s="1213"/>
      <c r="O354" s="1213"/>
      <c r="P354" s="1213"/>
      <c r="Q354" s="1213"/>
      <c r="R354" s="1213"/>
      <c r="S354" s="1213"/>
      <c r="T354" s="1213"/>
      <c r="U354" s="1213"/>
      <c r="V354" s="1213"/>
      <c r="W354" s="1213"/>
      <c r="X354" s="1213"/>
      <c r="Y354" s="1213"/>
      <c r="Z354" s="1213"/>
      <c r="AA354" s="1213"/>
      <c r="AB354" s="1213"/>
      <c r="AC354" s="1213"/>
      <c r="AD354" s="1213"/>
      <c r="AE354" s="1213"/>
      <c r="AF354" s="1213"/>
      <c r="AG354" s="1213"/>
      <c r="AH354" s="1213"/>
      <c r="AI354" s="1213"/>
      <c r="AJ354" s="1213"/>
      <c r="AK354" s="1213"/>
      <c r="AL354" s="1213"/>
      <c r="AM354" s="1213"/>
      <c r="AN354" s="1213"/>
      <c r="AO354" s="1213"/>
      <c r="AP354" s="1213"/>
      <c r="AQ354" s="1213"/>
      <c r="AR354" s="1213"/>
      <c r="AS354" s="1213"/>
      <c r="AT354" s="1213"/>
      <c r="AU354" s="1213"/>
      <c r="AV354" s="1213"/>
      <c r="AW354" s="1213"/>
      <c r="AX354" s="1213"/>
      <c r="AY354" s="1213"/>
      <c r="AZ354" s="1213"/>
      <c r="BA354" s="1213"/>
      <c r="BB354" s="1213"/>
      <c r="BC354" s="1213"/>
      <c r="BD354" s="1213"/>
      <c r="BE354" s="1213"/>
      <c r="BF354" s="1213"/>
      <c r="BG354" s="1213"/>
      <c r="BH354" s="1213"/>
      <c r="BI354" s="1213"/>
      <c r="BJ354" s="1213"/>
      <c r="BK354" s="1108"/>
      <c r="BL354" s="1108"/>
    </row>
    <row r="355" spans="1:64" s="401" customFormat="1" x14ac:dyDescent="0.3">
      <c r="A355" s="1220"/>
      <c r="B355" s="1152"/>
      <c r="C355" s="1152"/>
      <c r="D355" s="1152"/>
      <c r="E355" s="1152"/>
      <c r="F355" s="1213"/>
      <c r="G355" s="1213"/>
      <c r="H355" s="1213"/>
      <c r="I355" s="1213"/>
      <c r="J355" s="1213"/>
      <c r="K355" s="1213"/>
      <c r="L355" s="1213"/>
      <c r="M355" s="1213"/>
      <c r="N355" s="1213"/>
      <c r="O355" s="1213"/>
      <c r="P355" s="1213"/>
      <c r="Q355" s="1213"/>
      <c r="R355" s="1213"/>
      <c r="S355" s="1213"/>
      <c r="T355" s="1213"/>
      <c r="U355" s="1213"/>
      <c r="V355" s="1213"/>
      <c r="W355" s="1213"/>
      <c r="X355" s="1213"/>
      <c r="Y355" s="1213"/>
      <c r="Z355" s="1213"/>
      <c r="AA355" s="1213"/>
      <c r="AB355" s="1213"/>
      <c r="AC355" s="1213"/>
      <c r="AD355" s="1213"/>
      <c r="AE355" s="1213"/>
      <c r="AF355" s="1213"/>
      <c r="AG355" s="1213"/>
      <c r="AH355" s="1213"/>
      <c r="AI355" s="1213"/>
      <c r="AJ355" s="1213"/>
      <c r="AK355" s="1213"/>
      <c r="AL355" s="1213"/>
      <c r="AM355" s="1213"/>
      <c r="AN355" s="1213"/>
      <c r="AO355" s="1213"/>
      <c r="AP355" s="1213"/>
      <c r="AQ355" s="1213"/>
      <c r="AR355" s="1213"/>
      <c r="AS355" s="1213"/>
      <c r="AT355" s="1213"/>
      <c r="AU355" s="1213"/>
      <c r="AV355" s="1213"/>
      <c r="AW355" s="1213"/>
      <c r="AX355" s="1213"/>
      <c r="AY355" s="1213"/>
      <c r="AZ355" s="1213"/>
      <c r="BA355" s="1213"/>
      <c r="BB355" s="1213"/>
      <c r="BC355" s="1213"/>
      <c r="BD355" s="1213"/>
      <c r="BE355" s="1213"/>
      <c r="BF355" s="1213"/>
      <c r="BG355" s="1213"/>
      <c r="BH355" s="1213"/>
      <c r="BI355" s="1213"/>
      <c r="BJ355" s="1213"/>
      <c r="BK355" s="1108"/>
      <c r="BL355" s="1108"/>
    </row>
    <row r="356" spans="1:64" s="401" customFormat="1" x14ac:dyDescent="0.3">
      <c r="A356" s="1220"/>
      <c r="B356" s="1152"/>
      <c r="C356" s="1152"/>
      <c r="D356" s="1152"/>
      <c r="E356" s="1152"/>
      <c r="F356" s="1213"/>
      <c r="G356" s="1213"/>
      <c r="H356" s="1213"/>
      <c r="I356" s="1213"/>
      <c r="J356" s="1213"/>
      <c r="K356" s="1213"/>
      <c r="L356" s="1213"/>
      <c r="M356" s="1213"/>
      <c r="N356" s="1213"/>
      <c r="O356" s="1213"/>
      <c r="P356" s="1213"/>
      <c r="Q356" s="1213"/>
      <c r="R356" s="1213"/>
      <c r="S356" s="1213"/>
      <c r="T356" s="1213"/>
      <c r="U356" s="1213"/>
      <c r="V356" s="1213"/>
      <c r="W356" s="1213"/>
      <c r="X356" s="1213"/>
      <c r="Y356" s="1213"/>
      <c r="Z356" s="1213"/>
      <c r="AA356" s="1213"/>
      <c r="AB356" s="1213"/>
      <c r="AC356" s="1213"/>
      <c r="AD356" s="1213"/>
      <c r="AE356" s="1213"/>
      <c r="AF356" s="1213"/>
      <c r="AG356" s="1213"/>
      <c r="AH356" s="1213"/>
      <c r="AI356" s="1213"/>
      <c r="AJ356" s="1213"/>
      <c r="AK356" s="1213"/>
      <c r="AL356" s="1213"/>
      <c r="AM356" s="1213"/>
      <c r="AN356" s="1213"/>
      <c r="AO356" s="1213"/>
      <c r="AP356" s="1213"/>
      <c r="AQ356" s="1213"/>
      <c r="AR356" s="1213"/>
      <c r="AS356" s="1213"/>
      <c r="AT356" s="1213"/>
      <c r="AU356" s="1213"/>
      <c r="AV356" s="1213"/>
      <c r="AW356" s="1213"/>
      <c r="AX356" s="1213"/>
      <c r="AY356" s="1213"/>
      <c r="AZ356" s="1213"/>
      <c r="BA356" s="1213"/>
      <c r="BB356" s="1213"/>
      <c r="BC356" s="1213"/>
      <c r="BD356" s="1213"/>
      <c r="BE356" s="1213"/>
      <c r="BF356" s="1213"/>
      <c r="BG356" s="1213"/>
      <c r="BH356" s="1213"/>
      <c r="BI356" s="1213"/>
      <c r="BJ356" s="1213"/>
      <c r="BK356" s="1108"/>
      <c r="BL356" s="1108"/>
    </row>
    <row r="357" spans="1:64" x14ac:dyDescent="0.3">
      <c r="A357" s="1234"/>
      <c r="B357" s="1234"/>
      <c r="C357" s="1234"/>
      <c r="D357" s="1234"/>
      <c r="E357" s="1234"/>
      <c r="F357" s="1233"/>
      <c r="G357" s="1233"/>
      <c r="H357" s="1233"/>
      <c r="I357" s="1233"/>
      <c r="J357" s="1233"/>
      <c r="K357" s="1233"/>
      <c r="L357" s="1233"/>
      <c r="M357" s="1233"/>
      <c r="N357" s="1233"/>
      <c r="O357" s="1233"/>
      <c r="P357" s="1233"/>
      <c r="Q357" s="1233"/>
      <c r="R357" s="1233"/>
      <c r="S357" s="1233"/>
      <c r="T357" s="1233"/>
      <c r="U357" s="1233"/>
      <c r="V357" s="1233"/>
      <c r="W357" s="1233"/>
      <c r="X357" s="1233"/>
      <c r="Y357" s="1233"/>
      <c r="Z357" s="1233"/>
      <c r="AA357" s="1233"/>
      <c r="AB357" s="1233"/>
      <c r="AC357" s="1233"/>
      <c r="AD357" s="1233"/>
      <c r="AE357" s="1233"/>
      <c r="AF357" s="1233"/>
      <c r="AG357" s="1233"/>
      <c r="AH357" s="1233"/>
      <c r="AI357" s="1233"/>
      <c r="AJ357" s="1233"/>
      <c r="AK357" s="1233"/>
      <c r="AL357" s="1233"/>
      <c r="AM357" s="1233"/>
      <c r="AN357" s="1233"/>
      <c r="AO357" s="1233"/>
      <c r="AP357" s="1233"/>
      <c r="AQ357" s="1233"/>
      <c r="AR357" s="1233"/>
      <c r="AS357" s="1233"/>
      <c r="AT357" s="1233"/>
      <c r="AU357" s="1233"/>
      <c r="AV357" s="1233"/>
      <c r="AW357" s="1233"/>
      <c r="AX357" s="1233"/>
      <c r="AY357" s="1233"/>
      <c r="AZ357" s="1233"/>
      <c r="BA357" s="1233"/>
      <c r="BB357" s="1233"/>
      <c r="BC357" s="1233"/>
      <c r="BD357" s="1233"/>
      <c r="BE357" s="1233"/>
      <c r="BF357" s="1233"/>
      <c r="BG357" s="1233"/>
      <c r="BH357" s="1233"/>
      <c r="BI357" s="1233"/>
      <c r="BJ357" s="1233"/>
      <c r="BK357" s="1129"/>
      <c r="BL357" s="1129"/>
    </row>
    <row r="358" spans="1:64" x14ac:dyDescent="0.3">
      <c r="A358" s="1234"/>
      <c r="B358" s="1234"/>
      <c r="C358" s="1234"/>
      <c r="D358" s="1234" t="s">
        <v>976</v>
      </c>
      <c r="E358" s="1234"/>
      <c r="F358" s="1233">
        <v>508828750</v>
      </c>
      <c r="G358" s="1233">
        <v>913011811</v>
      </c>
      <c r="H358" s="1233">
        <v>699174239</v>
      </c>
      <c r="I358" s="1233">
        <v>258897921</v>
      </c>
      <c r="J358" s="1233">
        <v>903490009</v>
      </c>
      <c r="K358" s="1233">
        <v>443505324</v>
      </c>
      <c r="L358" s="1233">
        <v>236090681</v>
      </c>
      <c r="M358" s="1233">
        <v>342465629.39999998</v>
      </c>
      <c r="N358" s="1233">
        <v>35188990765.400002</v>
      </c>
      <c r="O358" s="1233">
        <v>185967132</v>
      </c>
      <c r="P358" s="1233">
        <v>349058341</v>
      </c>
      <c r="Q358" s="1233">
        <v>1604011039</v>
      </c>
      <c r="R358" s="1233">
        <v>553058650</v>
      </c>
      <c r="S358" s="1233">
        <v>200558717</v>
      </c>
      <c r="T358" s="1233">
        <v>10903804</v>
      </c>
      <c r="U358" s="1233">
        <v>1259335381</v>
      </c>
      <c r="V358" s="1233">
        <v>3129303319</v>
      </c>
      <c r="W358" s="1233">
        <v>326773905</v>
      </c>
      <c r="X358" s="1233">
        <v>192083015</v>
      </c>
      <c r="Y358" s="1233">
        <v>2448364087</v>
      </c>
      <c r="Z358" s="1233">
        <v>876507710</v>
      </c>
      <c r="AA358" s="1233">
        <v>150462109.40000001</v>
      </c>
      <c r="AB358" s="1233">
        <v>992355398</v>
      </c>
      <c r="AC358" s="1233">
        <v>170779020</v>
      </c>
      <c r="AD358" s="1233">
        <v>296527529</v>
      </c>
      <c r="AE358" s="1233">
        <v>1996442657</v>
      </c>
      <c r="AF358" s="1233">
        <v>204722757</v>
      </c>
      <c r="AG358" s="1233">
        <v>1523901162.4000001</v>
      </c>
      <c r="AH358" s="1233">
        <v>584436669</v>
      </c>
      <c r="AI358" s="1233">
        <v>229715838</v>
      </c>
      <c r="AJ358" s="1233">
        <v>1895150698</v>
      </c>
      <c r="AK358" s="1233">
        <v>989024710</v>
      </c>
      <c r="AL358" s="1233">
        <v>1574073202</v>
      </c>
      <c r="AM358" s="1233">
        <v>760076637</v>
      </c>
      <c r="AN358" s="1233">
        <v>740470386</v>
      </c>
      <c r="AO358" s="1233">
        <v>611719479</v>
      </c>
      <c r="AP358" s="1233">
        <v>625818368</v>
      </c>
      <c r="AQ358" s="1233">
        <v>613739801</v>
      </c>
      <c r="AR358" s="1233">
        <v>720128172</v>
      </c>
      <c r="AS358" s="1233">
        <v>34775350889.400002</v>
      </c>
      <c r="AT358" s="1233">
        <v>257178534</v>
      </c>
      <c r="AU358" s="1233">
        <v>355361018</v>
      </c>
      <c r="AV358" s="1233">
        <v>74646936</v>
      </c>
      <c r="AW358" s="1233">
        <v>3559532310</v>
      </c>
      <c r="AX358" s="1233">
        <v>521934042</v>
      </c>
      <c r="AY358" s="1233">
        <v>21860235787</v>
      </c>
      <c r="AZ358" s="1233">
        <v>186774118</v>
      </c>
      <c r="BA358" s="1233">
        <v>156961808</v>
      </c>
      <c r="BB358" s="1233">
        <v>411850048</v>
      </c>
      <c r="BC358" s="1233">
        <v>1316670955</v>
      </c>
      <c r="BD358" s="1233">
        <v>87530334</v>
      </c>
      <c r="BE358" s="1233">
        <v>183248947</v>
      </c>
      <c r="BF358" s="1233">
        <v>32541549116.299999</v>
      </c>
      <c r="BG358" s="1233">
        <v>901445654</v>
      </c>
      <c r="BH358" s="1233">
        <v>5661064422</v>
      </c>
      <c r="BI358" s="1233">
        <v>430002993</v>
      </c>
      <c r="BJ358" s="1233">
        <v>218760386</v>
      </c>
      <c r="BK358" s="1129"/>
      <c r="BL358" s="1129"/>
    </row>
    <row r="359" spans="1:64" x14ac:dyDescent="0.3">
      <c r="A359" s="1234"/>
      <c r="B359" s="1234"/>
      <c r="C359" s="1234"/>
      <c r="D359" s="1234" t="s">
        <v>977</v>
      </c>
      <c r="E359" s="1234"/>
      <c r="F359" s="1233">
        <v>508828750</v>
      </c>
      <c r="G359" s="1233">
        <v>913011811</v>
      </c>
      <c r="H359" s="1233">
        <v>699174239</v>
      </c>
      <c r="I359" s="1233">
        <v>258897921</v>
      </c>
      <c r="J359" s="1233">
        <v>903490009</v>
      </c>
      <c r="K359" s="1233">
        <v>443505324</v>
      </c>
      <c r="L359" s="1233">
        <v>236090681</v>
      </c>
      <c r="M359" s="1233">
        <v>342465629.39999998</v>
      </c>
      <c r="N359" s="1233">
        <v>35188990765.400002</v>
      </c>
      <c r="O359" s="1233">
        <v>185967132</v>
      </c>
      <c r="P359" s="1233">
        <v>349058341</v>
      </c>
      <c r="Q359" s="1233">
        <v>1604011039</v>
      </c>
      <c r="R359" s="1233">
        <v>553058650</v>
      </c>
      <c r="S359" s="1233">
        <v>200558717</v>
      </c>
      <c r="T359" s="1233">
        <v>10903804</v>
      </c>
      <c r="U359" s="1233">
        <v>1259335381</v>
      </c>
      <c r="V359" s="1233">
        <v>3129303319</v>
      </c>
      <c r="W359" s="1233">
        <v>326773905</v>
      </c>
      <c r="X359" s="1233">
        <v>192083015</v>
      </c>
      <c r="Y359" s="1233">
        <v>2448364087</v>
      </c>
      <c r="Z359" s="1233">
        <v>876507710</v>
      </c>
      <c r="AA359" s="1233">
        <v>150462109.40000001</v>
      </c>
      <c r="AB359" s="1233">
        <v>992355398</v>
      </c>
      <c r="AC359" s="1233">
        <v>170779020</v>
      </c>
      <c r="AD359" s="1233">
        <v>296527529</v>
      </c>
      <c r="AE359" s="1233">
        <v>1996442657</v>
      </c>
      <c r="AF359" s="1233">
        <v>204722757</v>
      </c>
      <c r="AG359" s="1233">
        <v>1523901162.4000001</v>
      </c>
      <c r="AH359" s="1233">
        <v>584436669</v>
      </c>
      <c r="AI359" s="1233">
        <v>229715838</v>
      </c>
      <c r="AJ359" s="1233">
        <v>1895150698</v>
      </c>
      <c r="AK359" s="1233">
        <v>989024710</v>
      </c>
      <c r="AL359" s="1233">
        <v>1574073202</v>
      </c>
      <c r="AM359" s="1233">
        <v>760076637</v>
      </c>
      <c r="AN359" s="1233">
        <v>740470386</v>
      </c>
      <c r="AO359" s="1233">
        <v>611719479</v>
      </c>
      <c r="AP359" s="1233">
        <v>625818368</v>
      </c>
      <c r="AQ359" s="1233">
        <v>613739801</v>
      </c>
      <c r="AR359" s="1233">
        <v>720128172</v>
      </c>
      <c r="AS359" s="1233">
        <v>34775350889.400002</v>
      </c>
      <c r="AT359" s="1233">
        <v>257178534</v>
      </c>
      <c r="AU359" s="1233">
        <v>355361018</v>
      </c>
      <c r="AV359" s="1233">
        <v>74646936</v>
      </c>
      <c r="AW359" s="1233">
        <v>3559532310</v>
      </c>
      <c r="AX359" s="1233">
        <v>521934042</v>
      </c>
      <c r="AY359" s="1233">
        <v>21860235787</v>
      </c>
      <c r="AZ359" s="1233">
        <v>186774118</v>
      </c>
      <c r="BA359" s="1233">
        <v>156961808</v>
      </c>
      <c r="BB359" s="1233">
        <v>411850048</v>
      </c>
      <c r="BC359" s="1233">
        <v>1316670955</v>
      </c>
      <c r="BD359" s="1233">
        <v>87530334</v>
      </c>
      <c r="BE359" s="1233">
        <v>183248947</v>
      </c>
      <c r="BF359" s="1233">
        <v>32541549116.299999</v>
      </c>
      <c r="BG359" s="1233">
        <v>901445654</v>
      </c>
      <c r="BH359" s="1233">
        <v>5661064422</v>
      </c>
      <c r="BI359" s="1233">
        <v>430002993</v>
      </c>
      <c r="BJ359" s="1233">
        <v>218760386</v>
      </c>
      <c r="BK359" s="1129"/>
      <c r="BL359" s="1129"/>
    </row>
    <row r="360" spans="1:64" x14ac:dyDescent="0.3">
      <c r="A360" s="1234"/>
      <c r="B360" s="1234"/>
      <c r="C360" s="1234"/>
      <c r="D360" s="1234"/>
      <c r="E360" s="1234"/>
      <c r="F360" s="1233">
        <v>0</v>
      </c>
      <c r="G360" s="1233">
        <v>0</v>
      </c>
      <c r="H360" s="1233">
        <v>0</v>
      </c>
      <c r="I360" s="1233">
        <v>0</v>
      </c>
      <c r="J360" s="1233">
        <v>0</v>
      </c>
      <c r="K360" s="1233">
        <v>0</v>
      </c>
      <c r="L360" s="1233">
        <v>0</v>
      </c>
      <c r="M360" s="1233">
        <v>0</v>
      </c>
      <c r="N360" s="1233">
        <v>0</v>
      </c>
      <c r="O360" s="1233">
        <v>0</v>
      </c>
      <c r="P360" s="1233">
        <v>0</v>
      </c>
      <c r="Q360" s="1233">
        <v>0</v>
      </c>
      <c r="R360" s="1233">
        <v>0</v>
      </c>
      <c r="S360" s="1233">
        <v>0</v>
      </c>
      <c r="T360" s="1233">
        <v>0</v>
      </c>
      <c r="U360" s="1233">
        <v>0</v>
      </c>
      <c r="V360" s="1233">
        <v>0</v>
      </c>
      <c r="W360" s="1233">
        <v>0</v>
      </c>
      <c r="X360" s="1233">
        <v>0</v>
      </c>
      <c r="Y360" s="1233">
        <v>0</v>
      </c>
      <c r="Z360" s="1233">
        <v>0</v>
      </c>
      <c r="AA360" s="1233">
        <v>0</v>
      </c>
      <c r="AB360" s="1233">
        <v>0</v>
      </c>
      <c r="AC360" s="1233">
        <v>0</v>
      </c>
      <c r="AD360" s="1233">
        <v>0</v>
      </c>
      <c r="AE360" s="1233">
        <v>0</v>
      </c>
      <c r="AF360" s="1233">
        <v>0</v>
      </c>
      <c r="AG360" s="1233">
        <v>0</v>
      </c>
      <c r="AH360" s="1233">
        <v>0</v>
      </c>
      <c r="AI360" s="1233">
        <v>0</v>
      </c>
      <c r="AJ360" s="1233">
        <v>0</v>
      </c>
      <c r="AK360" s="1233">
        <v>0</v>
      </c>
      <c r="AL360" s="1233">
        <v>0</v>
      </c>
      <c r="AM360" s="1233">
        <v>0</v>
      </c>
      <c r="AN360" s="1233">
        <v>0</v>
      </c>
      <c r="AO360" s="1233">
        <v>0</v>
      </c>
      <c r="AP360" s="1233">
        <v>0</v>
      </c>
      <c r="AQ360" s="1233">
        <v>0</v>
      </c>
      <c r="AR360" s="1233">
        <v>0</v>
      </c>
      <c r="AS360" s="1233">
        <v>0</v>
      </c>
      <c r="AT360" s="1233">
        <v>0</v>
      </c>
      <c r="AU360" s="1233">
        <v>0</v>
      </c>
      <c r="AV360" s="1233">
        <v>0</v>
      </c>
      <c r="AW360" s="1233">
        <v>0</v>
      </c>
      <c r="AX360" s="1233">
        <v>0</v>
      </c>
      <c r="AY360" s="1233">
        <v>0</v>
      </c>
      <c r="AZ360" s="1233">
        <v>0</v>
      </c>
      <c r="BA360" s="1233">
        <v>0</v>
      </c>
      <c r="BB360" s="1233">
        <v>0</v>
      </c>
      <c r="BC360" s="1233">
        <v>0</v>
      </c>
      <c r="BD360" s="1233">
        <v>0</v>
      </c>
      <c r="BE360" s="1233">
        <v>0</v>
      </c>
      <c r="BF360" s="1233">
        <v>0</v>
      </c>
      <c r="BG360" s="1233">
        <v>0</v>
      </c>
      <c r="BH360" s="1233">
        <v>0</v>
      </c>
      <c r="BI360" s="1233">
        <v>0</v>
      </c>
      <c r="BJ360" s="1233">
        <v>0</v>
      </c>
      <c r="BK360" s="1129"/>
      <c r="BL360" s="1129"/>
    </row>
    <row r="361" spans="1:64" x14ac:dyDescent="0.3">
      <c r="A361" s="1152"/>
      <c r="B361" s="1220"/>
      <c r="C361" s="1152"/>
      <c r="D361" s="1152"/>
      <c r="E361" s="1152"/>
      <c r="F361" s="1152"/>
      <c r="G361" s="1152"/>
      <c r="H361" s="1152"/>
      <c r="I361" s="1152"/>
      <c r="J361" s="1152"/>
      <c r="K361" s="1152"/>
      <c r="L361" s="1152"/>
      <c r="M361" s="1152"/>
      <c r="N361" s="1152"/>
      <c r="O361" s="1152"/>
      <c r="P361" s="1152"/>
      <c r="Q361" s="1152"/>
      <c r="R361" s="1152"/>
      <c r="S361" s="1152"/>
      <c r="T361" s="1152"/>
      <c r="U361" s="1152"/>
      <c r="V361" s="1152"/>
      <c r="W361" s="1152"/>
      <c r="X361" s="1152"/>
      <c r="Y361" s="1152"/>
      <c r="Z361" s="1152"/>
      <c r="AA361" s="1152"/>
      <c r="AB361" s="1152"/>
      <c r="AC361" s="1152"/>
      <c r="AD361" s="1152"/>
      <c r="AE361" s="1152"/>
      <c r="AF361" s="1152"/>
      <c r="AG361" s="1152"/>
      <c r="AH361" s="1152"/>
      <c r="AI361" s="1152"/>
      <c r="AJ361" s="1152"/>
      <c r="AK361" s="1152"/>
      <c r="AL361" s="1152"/>
      <c r="AM361" s="1152"/>
      <c r="AN361" s="1152"/>
      <c r="AO361" s="1152"/>
      <c r="AP361" s="1152"/>
      <c r="AQ361" s="1152"/>
      <c r="AR361" s="1152"/>
      <c r="AS361" s="1152"/>
      <c r="AT361" s="1152"/>
      <c r="AU361" s="1152"/>
      <c r="AV361" s="1152"/>
      <c r="AW361" s="1152"/>
      <c r="AX361" s="1152"/>
      <c r="AY361" s="1152"/>
      <c r="AZ361" s="1152"/>
      <c r="BA361" s="1152"/>
      <c r="BB361" s="1152"/>
      <c r="BC361" s="1152"/>
      <c r="BD361" s="1152"/>
      <c r="BE361" s="1152"/>
      <c r="BF361" s="1152"/>
      <c r="BG361" s="1152"/>
      <c r="BH361" s="1152"/>
      <c r="BI361" s="1152"/>
      <c r="BJ361" s="1152"/>
      <c r="BK361" s="1108"/>
      <c r="BL361" s="1108"/>
    </row>
    <row r="362" spans="1:64" x14ac:dyDescent="0.3">
      <c r="A362" s="1152"/>
      <c r="B362" s="1220"/>
      <c r="C362" s="1152"/>
      <c r="D362" s="1152"/>
      <c r="E362" s="1152"/>
      <c r="F362" s="1152"/>
      <c r="G362" s="1152"/>
      <c r="H362" s="1152"/>
      <c r="I362" s="1152"/>
      <c r="J362" s="1152"/>
      <c r="K362" s="1152"/>
      <c r="L362" s="1152"/>
      <c r="M362" s="1152"/>
      <c r="N362" s="1152"/>
      <c r="O362" s="1152"/>
      <c r="P362" s="1152"/>
      <c r="Q362" s="1152"/>
      <c r="R362" s="1152"/>
      <c r="S362" s="1152"/>
      <c r="T362" s="1152"/>
      <c r="U362" s="1152"/>
      <c r="V362" s="1152"/>
      <c r="W362" s="1152"/>
      <c r="X362" s="1152"/>
      <c r="Y362" s="1152"/>
      <c r="Z362" s="1152"/>
      <c r="AA362" s="1152"/>
      <c r="AB362" s="1152"/>
      <c r="AC362" s="1152"/>
      <c r="AD362" s="1152"/>
      <c r="AE362" s="1152"/>
      <c r="AF362" s="1152"/>
      <c r="AG362" s="1152"/>
      <c r="AH362" s="1152"/>
      <c r="AI362" s="1152"/>
      <c r="AJ362" s="1152"/>
      <c r="AK362" s="1152"/>
      <c r="AL362" s="1152"/>
      <c r="AM362" s="1152"/>
      <c r="AN362" s="1152"/>
      <c r="AO362" s="1152"/>
      <c r="AP362" s="1152"/>
      <c r="AQ362" s="1152"/>
      <c r="AR362" s="1152"/>
      <c r="AS362" s="1152"/>
      <c r="AT362" s="1152"/>
      <c r="AU362" s="1152"/>
      <c r="AV362" s="1152"/>
      <c r="AW362" s="1152"/>
      <c r="AX362" s="1152"/>
      <c r="AY362" s="1152"/>
      <c r="AZ362" s="1152"/>
      <c r="BA362" s="1152"/>
      <c r="BB362" s="1152"/>
      <c r="BC362" s="1152"/>
      <c r="BD362" s="1152"/>
      <c r="BE362" s="1152"/>
      <c r="BF362" s="1152"/>
      <c r="BG362" s="1152"/>
      <c r="BH362" s="1152"/>
      <c r="BI362" s="1152"/>
      <c r="BJ362" s="1152"/>
      <c r="BK362" s="1108"/>
      <c r="BL362" s="1108"/>
    </row>
    <row r="363" spans="1:64" x14ac:dyDescent="0.3">
      <c r="A363" s="1154">
        <v>336</v>
      </c>
      <c r="B363" s="1222"/>
      <c r="C363" s="1153">
        <v>336</v>
      </c>
      <c r="D363" s="1203" t="s">
        <v>382</v>
      </c>
      <c r="E363" s="1203"/>
      <c r="F363" s="1170">
        <v>266749</v>
      </c>
      <c r="G363" s="1171">
        <v>3991840</v>
      </c>
      <c r="H363" s="1171">
        <v>3329025</v>
      </c>
      <c r="I363" s="1171">
        <v>1230527</v>
      </c>
      <c r="J363" s="1171">
        <v>6342546</v>
      </c>
      <c r="K363" s="1171">
        <v>239057</v>
      </c>
      <c r="L363" s="1172">
        <v>1245958</v>
      </c>
      <c r="M363" s="1173">
        <v>1696229</v>
      </c>
      <c r="N363" s="1173">
        <v>2121612</v>
      </c>
      <c r="O363" s="1174">
        <v>1469678</v>
      </c>
      <c r="P363" s="1174">
        <v>604488</v>
      </c>
      <c r="Q363" s="1174">
        <v>3558950</v>
      </c>
      <c r="R363" s="1174">
        <v>4452096</v>
      </c>
      <c r="S363" s="1174">
        <v>577523</v>
      </c>
      <c r="T363" s="1174">
        <v>0</v>
      </c>
      <c r="U363" s="1174">
        <v>0</v>
      </c>
      <c r="V363" s="1174">
        <v>20036945</v>
      </c>
      <c r="W363" s="1174">
        <v>1206148</v>
      </c>
      <c r="X363" s="1174">
        <v>0</v>
      </c>
      <c r="Y363" s="1174">
        <v>4817295</v>
      </c>
      <c r="Z363" s="1174">
        <v>6102460</v>
      </c>
      <c r="AA363" s="1174">
        <v>671167</v>
      </c>
      <c r="AB363" s="1174">
        <v>2953438</v>
      </c>
      <c r="AC363" s="1174">
        <v>693207</v>
      </c>
      <c r="AD363" s="1173">
        <v>0</v>
      </c>
      <c r="AE363" s="1173">
        <v>8142302</v>
      </c>
      <c r="AF363" s="1173">
        <v>1034220</v>
      </c>
      <c r="AG363" s="1173">
        <v>8324350</v>
      </c>
      <c r="AH363" s="1173">
        <v>3330326</v>
      </c>
      <c r="AI363" s="1173">
        <v>852952</v>
      </c>
      <c r="AJ363" s="1173">
        <v>11542308</v>
      </c>
      <c r="AK363" s="1173">
        <v>5959184</v>
      </c>
      <c r="AL363" s="1173">
        <v>6813129</v>
      </c>
      <c r="AM363" s="1173">
        <v>0</v>
      </c>
      <c r="AN363" s="1173">
        <v>3746581</v>
      </c>
      <c r="AO363" s="1173">
        <v>5106303</v>
      </c>
      <c r="AP363" s="1173">
        <v>2180951</v>
      </c>
      <c r="AQ363" s="1173">
        <v>3196151</v>
      </c>
      <c r="AR363" s="1173">
        <v>4623211</v>
      </c>
      <c r="AS363" s="1173">
        <v>644938</v>
      </c>
      <c r="AT363" s="1173">
        <v>0</v>
      </c>
      <c r="AU363" s="1173">
        <v>1700276</v>
      </c>
      <c r="AV363" s="1173">
        <v>0</v>
      </c>
      <c r="AW363" s="1173">
        <v>25087960</v>
      </c>
      <c r="AX363" s="1173">
        <v>0</v>
      </c>
      <c r="AY363" s="1173">
        <v>82675693</v>
      </c>
      <c r="AZ363" s="1173">
        <v>369050</v>
      </c>
      <c r="BA363" s="1173">
        <v>973959</v>
      </c>
      <c r="BB363" s="1173">
        <v>2167694</v>
      </c>
      <c r="BC363" s="1173">
        <v>12934752</v>
      </c>
      <c r="BD363" s="1173">
        <v>315301</v>
      </c>
      <c r="BE363" s="1173">
        <v>971036</v>
      </c>
      <c r="BF363" s="1173">
        <v>3384738</v>
      </c>
      <c r="BG363" s="1173">
        <v>4159323</v>
      </c>
      <c r="BH363" s="1173">
        <v>0</v>
      </c>
      <c r="BI363" s="1173">
        <v>2019755</v>
      </c>
      <c r="BJ363" s="1173">
        <v>403310</v>
      </c>
      <c r="BK363" s="1118"/>
      <c r="BL363" s="1118"/>
    </row>
    <row r="364" spans="1:64" x14ac:dyDescent="0.3">
      <c r="A364" s="1154">
        <v>537</v>
      </c>
      <c r="B364" s="1222"/>
      <c r="C364" s="1153">
        <v>537</v>
      </c>
      <c r="D364" s="1203"/>
      <c r="E364" s="1203"/>
      <c r="F364" s="1170"/>
      <c r="G364" s="1171"/>
      <c r="H364" s="1171"/>
      <c r="I364" s="1171"/>
      <c r="J364" s="1171"/>
      <c r="K364" s="1171"/>
      <c r="L364" s="1172"/>
      <c r="M364" s="1173"/>
      <c r="N364" s="1173"/>
      <c r="O364" s="1174"/>
      <c r="P364" s="1174"/>
      <c r="Q364" s="1174"/>
      <c r="R364" s="1174"/>
      <c r="S364" s="1174"/>
      <c r="T364" s="1174"/>
      <c r="U364" s="1174"/>
      <c r="V364" s="1174"/>
      <c r="W364" s="1174"/>
      <c r="X364" s="1174"/>
      <c r="Y364" s="1174"/>
      <c r="Z364" s="1174"/>
      <c r="AA364" s="1174"/>
      <c r="AB364" s="1174"/>
      <c r="AC364" s="1174"/>
      <c r="AD364" s="1173"/>
      <c r="AE364" s="1173"/>
      <c r="AF364" s="1173"/>
      <c r="AG364" s="1173"/>
      <c r="AH364" s="1173"/>
      <c r="AI364" s="1173"/>
      <c r="AJ364" s="1173"/>
      <c r="AK364" s="1173"/>
      <c r="AL364" s="1173"/>
      <c r="AM364" s="1173"/>
      <c r="AN364" s="1173"/>
      <c r="AO364" s="1173"/>
      <c r="AP364" s="1173"/>
      <c r="AQ364" s="1173"/>
      <c r="AR364" s="1173"/>
      <c r="AS364" s="1173"/>
      <c r="AT364" s="1173"/>
      <c r="AU364" s="1173"/>
      <c r="AV364" s="1173"/>
      <c r="AW364" s="1173"/>
      <c r="AX364" s="1173"/>
      <c r="AY364" s="1173"/>
      <c r="AZ364" s="1173"/>
      <c r="BA364" s="1173"/>
      <c r="BB364" s="1173"/>
      <c r="BC364" s="1173"/>
      <c r="BD364" s="1173"/>
      <c r="BE364" s="1173"/>
      <c r="BF364" s="1173"/>
      <c r="BG364" s="1173"/>
      <c r="BH364" s="1173"/>
      <c r="BI364" s="1173"/>
      <c r="BJ364" s="1173"/>
      <c r="BK364" s="1118"/>
      <c r="BL364" s="1118"/>
    </row>
    <row r="365" spans="1:64" x14ac:dyDescent="0.3">
      <c r="A365" s="1154">
        <v>538</v>
      </c>
      <c r="B365" s="1222"/>
      <c r="C365" s="1153">
        <v>538</v>
      </c>
      <c r="D365" s="1203"/>
      <c r="E365" s="1203"/>
      <c r="F365" s="1170"/>
      <c r="G365" s="1171"/>
      <c r="H365" s="1171"/>
      <c r="I365" s="1171"/>
      <c r="J365" s="1171"/>
      <c r="K365" s="1171"/>
      <c r="L365" s="1172"/>
      <c r="M365" s="1173"/>
      <c r="N365" s="1173"/>
      <c r="O365" s="1174"/>
      <c r="P365" s="1174"/>
      <c r="Q365" s="1174"/>
      <c r="R365" s="1174"/>
      <c r="S365" s="1174"/>
      <c r="T365" s="1174"/>
      <c r="U365" s="1174"/>
      <c r="V365" s="1174"/>
      <c r="W365" s="1174"/>
      <c r="X365" s="1174"/>
      <c r="Y365" s="1174"/>
      <c r="Z365" s="1174"/>
      <c r="AA365" s="1174"/>
      <c r="AB365" s="1174"/>
      <c r="AC365" s="1174"/>
      <c r="AD365" s="1173"/>
      <c r="AE365" s="1173"/>
      <c r="AF365" s="1173"/>
      <c r="AG365" s="1173"/>
      <c r="AH365" s="1173"/>
      <c r="AI365" s="1173"/>
      <c r="AJ365" s="1173"/>
      <c r="AK365" s="1173"/>
      <c r="AL365" s="1173"/>
      <c r="AM365" s="1173"/>
      <c r="AN365" s="1173"/>
      <c r="AO365" s="1173"/>
      <c r="AP365" s="1173"/>
      <c r="AQ365" s="1173"/>
      <c r="AR365" s="1173"/>
      <c r="AS365" s="1173"/>
      <c r="AT365" s="1173"/>
      <c r="AU365" s="1173"/>
      <c r="AV365" s="1173"/>
      <c r="AW365" s="1173"/>
      <c r="AX365" s="1173"/>
      <c r="AY365" s="1173"/>
      <c r="AZ365" s="1173"/>
      <c r="BA365" s="1173"/>
      <c r="BB365" s="1173"/>
      <c r="BC365" s="1173"/>
      <c r="BD365" s="1173"/>
      <c r="BE365" s="1173"/>
      <c r="BF365" s="1173"/>
      <c r="BG365" s="1173"/>
      <c r="BH365" s="1173"/>
      <c r="BI365" s="1173"/>
      <c r="BJ365" s="1173"/>
      <c r="BK365" s="1118"/>
      <c r="BL365" s="1118"/>
    </row>
    <row r="366" spans="1:64" x14ac:dyDescent="0.3">
      <c r="A366" s="1154">
        <v>577</v>
      </c>
      <c r="B366" s="1222">
        <v>577</v>
      </c>
      <c r="C366" s="1195">
        <v>577</v>
      </c>
      <c r="D366" s="1195" t="s">
        <v>383</v>
      </c>
      <c r="E366" s="1195"/>
      <c r="F366" s="1187">
        <v>0</v>
      </c>
      <c r="G366" s="1188">
        <v>0</v>
      </c>
      <c r="H366" s="1188">
        <v>0</v>
      </c>
      <c r="I366" s="1188">
        <v>0</v>
      </c>
      <c r="J366" s="1188">
        <v>0</v>
      </c>
      <c r="K366" s="1188">
        <v>0</v>
      </c>
      <c r="L366" s="1189">
        <v>0</v>
      </c>
      <c r="M366" s="1190">
        <v>0</v>
      </c>
      <c r="N366" s="1190">
        <v>0</v>
      </c>
      <c r="O366" s="1191">
        <v>0</v>
      </c>
      <c r="P366" s="1191">
        <v>0</v>
      </c>
      <c r="Q366" s="1191">
        <v>0</v>
      </c>
      <c r="R366" s="1191">
        <v>0</v>
      </c>
      <c r="S366" s="1191">
        <v>0</v>
      </c>
      <c r="T366" s="1191">
        <v>1</v>
      </c>
      <c r="U366" s="1191">
        <v>0</v>
      </c>
      <c r="V366" s="1191">
        <v>0</v>
      </c>
      <c r="W366" s="1191">
        <v>0</v>
      </c>
      <c r="X366" s="1191">
        <v>0</v>
      </c>
      <c r="Y366" s="1191">
        <v>0</v>
      </c>
      <c r="Z366" s="1191">
        <v>0</v>
      </c>
      <c r="AA366" s="1191">
        <v>0</v>
      </c>
      <c r="AB366" s="1191">
        <v>0</v>
      </c>
      <c r="AC366" s="1191">
        <v>0</v>
      </c>
      <c r="AD366" s="1190">
        <v>0</v>
      </c>
      <c r="AE366" s="1190">
        <v>0</v>
      </c>
      <c r="AF366" s="1190">
        <v>0</v>
      </c>
      <c r="AG366" s="1190">
        <v>0</v>
      </c>
      <c r="AH366" s="1190">
        <v>0</v>
      </c>
      <c r="AI366" s="1190">
        <v>0</v>
      </c>
      <c r="AJ366" s="1190">
        <v>0</v>
      </c>
      <c r="AK366" s="1190">
        <v>0</v>
      </c>
      <c r="AL366" s="1190">
        <v>0</v>
      </c>
      <c r="AM366" s="1190">
        <v>0</v>
      </c>
      <c r="AN366" s="1190">
        <v>0</v>
      </c>
      <c r="AO366" s="1190">
        <v>0</v>
      </c>
      <c r="AP366" s="1190">
        <v>0</v>
      </c>
      <c r="AQ366" s="1190">
        <v>0</v>
      </c>
      <c r="AR366" s="1190">
        <v>0</v>
      </c>
      <c r="AS366" s="1190">
        <v>0</v>
      </c>
      <c r="AT366" s="1190">
        <v>0</v>
      </c>
      <c r="AU366" s="1190">
        <v>0</v>
      </c>
      <c r="AV366" s="1190">
        <v>0</v>
      </c>
      <c r="AW366" s="1190">
        <v>0</v>
      </c>
      <c r="AX366" s="1190">
        <v>0</v>
      </c>
      <c r="AY366" s="1190">
        <v>0</v>
      </c>
      <c r="AZ366" s="1190">
        <v>0</v>
      </c>
      <c r="BA366" s="1190">
        <v>0</v>
      </c>
      <c r="BB366" s="1190">
        <v>0</v>
      </c>
      <c r="BC366" s="1190">
        <v>0</v>
      </c>
      <c r="BD366" s="1190">
        <v>0</v>
      </c>
      <c r="BE366" s="1190">
        <v>0</v>
      </c>
      <c r="BF366" s="1190">
        <v>0</v>
      </c>
      <c r="BG366" s="1190">
        <v>0</v>
      </c>
      <c r="BH366" s="1190">
        <v>0</v>
      </c>
      <c r="BI366" s="1190">
        <v>0</v>
      </c>
      <c r="BJ366" s="1190">
        <v>0</v>
      </c>
      <c r="BK366" s="1118"/>
      <c r="BL366" s="1118"/>
    </row>
    <row r="367" spans="1:64" x14ac:dyDescent="0.3">
      <c r="A367" s="1175">
        <v>554</v>
      </c>
      <c r="B367" s="1222"/>
      <c r="C367" s="1183">
        <v>554</v>
      </c>
      <c r="D367" s="1235" t="s">
        <v>355</v>
      </c>
      <c r="E367" s="1186"/>
      <c r="F367" s="1187">
        <v>8157175</v>
      </c>
      <c r="G367" s="1188">
        <v>9425900</v>
      </c>
      <c r="H367" s="1188">
        <v>13421072</v>
      </c>
      <c r="I367" s="1188">
        <v>4918807</v>
      </c>
      <c r="J367" s="1188">
        <v>10122450</v>
      </c>
      <c r="K367" s="1188">
        <v>5944500</v>
      </c>
      <c r="L367" s="1189">
        <v>3153033</v>
      </c>
      <c r="M367" s="1190">
        <v>4407047</v>
      </c>
      <c r="N367" s="1190">
        <v>9466284</v>
      </c>
      <c r="O367" s="1191">
        <v>2154754</v>
      </c>
      <c r="P367" s="1191">
        <v>6814166</v>
      </c>
      <c r="Q367" s="1191">
        <v>8956595</v>
      </c>
      <c r="R367" s="1191">
        <v>4104641</v>
      </c>
      <c r="S367" s="1191">
        <v>2709074</v>
      </c>
      <c r="T367" s="1191">
        <v>21906</v>
      </c>
      <c r="U367" s="1191">
        <v>19740843</v>
      </c>
      <c r="V367" s="1191">
        <v>28333267</v>
      </c>
      <c r="W367" s="1191">
        <v>3293669</v>
      </c>
      <c r="X367" s="1191">
        <v>4486786</v>
      </c>
      <c r="Y367" s="1191">
        <v>32025069</v>
      </c>
      <c r="Z367" s="1191">
        <v>4835749</v>
      </c>
      <c r="AA367" s="1191">
        <v>1965306</v>
      </c>
      <c r="AB367" s="1191">
        <v>12190901</v>
      </c>
      <c r="AC367" s="1191">
        <v>1938392</v>
      </c>
      <c r="AD367" s="1190">
        <v>0</v>
      </c>
      <c r="AE367" s="1190">
        <v>34255653</v>
      </c>
      <c r="AF367" s="1190">
        <v>2758744</v>
      </c>
      <c r="AG367" s="1190">
        <v>15188781</v>
      </c>
      <c r="AH367" s="1190">
        <v>11435285</v>
      </c>
      <c r="AI367" s="1190">
        <v>3021263</v>
      </c>
      <c r="AJ367" s="1190">
        <v>34977682</v>
      </c>
      <c r="AK367" s="1190">
        <v>15128873</v>
      </c>
      <c r="AL367" s="1190">
        <v>25317617</v>
      </c>
      <c r="AM367" s="1190">
        <v>13813604</v>
      </c>
      <c r="AN367" s="1190">
        <v>11985611</v>
      </c>
      <c r="AO367" s="1190">
        <v>11599188</v>
      </c>
      <c r="AP367" s="1190">
        <v>9348316</v>
      </c>
      <c r="AQ367" s="1190">
        <v>6467125</v>
      </c>
      <c r="AR367" s="1190">
        <v>11073712</v>
      </c>
      <c r="AS367" s="1190">
        <v>6719083</v>
      </c>
      <c r="AT367" s="1190">
        <v>11276191</v>
      </c>
      <c r="AU367" s="1190">
        <v>3755521</v>
      </c>
      <c r="AV367" s="1190">
        <v>1057263</v>
      </c>
      <c r="AW367" s="1190">
        <v>0</v>
      </c>
      <c r="AX367" s="1190">
        <v>9185097</v>
      </c>
      <c r="AY367" s="1190">
        <v>117930985</v>
      </c>
      <c r="AZ367" s="1190">
        <v>3516281</v>
      </c>
      <c r="BA367" s="1190">
        <v>2612958</v>
      </c>
      <c r="BB367" s="1190">
        <v>4170000</v>
      </c>
      <c r="BC367" s="1190">
        <v>26104817</v>
      </c>
      <c r="BD367" s="1190">
        <v>1887077</v>
      </c>
      <c r="BE367" s="1190">
        <v>4115065</v>
      </c>
      <c r="BF367" s="1190">
        <v>11775709</v>
      </c>
      <c r="BG367" s="1190">
        <v>14315987</v>
      </c>
      <c r="BH367" s="1190">
        <v>60088730</v>
      </c>
      <c r="BI367" s="1190">
        <v>7283503</v>
      </c>
      <c r="BJ367" s="1190">
        <v>2953806</v>
      </c>
      <c r="BK367" s="1118"/>
      <c r="BL367" s="1118"/>
    </row>
    <row r="368" spans="1:64" x14ac:dyDescent="0.3">
      <c r="A368" s="1175">
        <v>555</v>
      </c>
      <c r="B368" s="1222">
        <v>555</v>
      </c>
      <c r="C368" s="1183">
        <v>555</v>
      </c>
      <c r="D368" s="1235" t="s">
        <v>356</v>
      </c>
      <c r="E368" s="1186"/>
      <c r="F368" s="1187">
        <v>3124507</v>
      </c>
      <c r="G368" s="1188">
        <v>4482238</v>
      </c>
      <c r="H368" s="1188">
        <v>5518675</v>
      </c>
      <c r="I368" s="1188">
        <v>1161122</v>
      </c>
      <c r="J368" s="1188">
        <v>2271258</v>
      </c>
      <c r="K368" s="1188">
        <v>2921302</v>
      </c>
      <c r="L368" s="1189">
        <v>781305</v>
      </c>
      <c r="M368" s="1190">
        <v>1990946</v>
      </c>
      <c r="N368" s="1190">
        <v>2201206</v>
      </c>
      <c r="O368" s="1191">
        <v>441096</v>
      </c>
      <c r="P368" s="1191">
        <v>2992664</v>
      </c>
      <c r="Q368" s="1191">
        <v>2558582</v>
      </c>
      <c r="R368" s="1191">
        <v>1678669</v>
      </c>
      <c r="S368" s="1191">
        <v>933804</v>
      </c>
      <c r="T368" s="1191">
        <v>0</v>
      </c>
      <c r="U368" s="1191">
        <v>13729446</v>
      </c>
      <c r="V368" s="1191">
        <v>10948950</v>
      </c>
      <c r="W368" s="1191">
        <v>1310601</v>
      </c>
      <c r="X368" s="1191">
        <v>1904831</v>
      </c>
      <c r="Y368" s="1191">
        <v>12523805</v>
      </c>
      <c r="Z368" s="1191">
        <v>1404728</v>
      </c>
      <c r="AA368" s="1191">
        <v>430195</v>
      </c>
      <c r="AB368" s="1191">
        <v>3734147</v>
      </c>
      <c r="AC368" s="1191">
        <v>1366136</v>
      </c>
      <c r="AD368" s="1190">
        <v>0</v>
      </c>
      <c r="AE368" s="1190">
        <v>10950433</v>
      </c>
      <c r="AF368" s="1190">
        <v>1060601</v>
      </c>
      <c r="AG368" s="1190">
        <v>5943521</v>
      </c>
      <c r="AH368" s="1190">
        <v>5106163</v>
      </c>
      <c r="AI368" s="1190">
        <v>1106730</v>
      </c>
      <c r="AJ368" s="1190">
        <v>16653453</v>
      </c>
      <c r="AK368" s="1190">
        <v>5253751</v>
      </c>
      <c r="AL368" s="1190">
        <v>11718709</v>
      </c>
      <c r="AM368" s="1190">
        <v>4318472</v>
      </c>
      <c r="AN368" s="1190">
        <v>6162553</v>
      </c>
      <c r="AO368" s="1190">
        <v>4534539</v>
      </c>
      <c r="AP368" s="1190">
        <v>5808176</v>
      </c>
      <c r="AQ368" s="1190">
        <v>2895467</v>
      </c>
      <c r="AR368" s="1190">
        <v>2441526</v>
      </c>
      <c r="AS368" s="1190">
        <v>3336662</v>
      </c>
      <c r="AT368" s="1190">
        <v>6009961</v>
      </c>
      <c r="AU368" s="1190">
        <v>812987</v>
      </c>
      <c r="AV368" s="1190">
        <v>539102</v>
      </c>
      <c r="AW368" s="1190">
        <v>0</v>
      </c>
      <c r="AX368" s="1190">
        <v>4265234</v>
      </c>
      <c r="AY368" s="1190">
        <v>49131824</v>
      </c>
      <c r="AZ368" s="1190">
        <v>1670998</v>
      </c>
      <c r="BA368" s="1190">
        <v>806254</v>
      </c>
      <c r="BB368" s="1190">
        <v>1584052</v>
      </c>
      <c r="BC368" s="1190">
        <v>9082743</v>
      </c>
      <c r="BD368" s="1190">
        <v>643593</v>
      </c>
      <c r="BE368" s="1190">
        <v>1993948</v>
      </c>
      <c r="BF368" s="1190">
        <v>2851478</v>
      </c>
      <c r="BG368" s="1190">
        <v>7239258</v>
      </c>
      <c r="BH368" s="1190">
        <v>42880709</v>
      </c>
      <c r="BI368" s="1190">
        <v>4902323</v>
      </c>
      <c r="BJ368" s="1190">
        <v>787879</v>
      </c>
      <c r="BK368" s="1118"/>
      <c r="BL368" s="1118"/>
    </row>
    <row r="369" spans="1:64" x14ac:dyDescent="0.3">
      <c r="A369" s="1175">
        <v>556</v>
      </c>
      <c r="B369" s="1222">
        <v>556</v>
      </c>
      <c r="C369" s="1183">
        <v>556</v>
      </c>
      <c r="D369" s="1235" t="s">
        <v>357</v>
      </c>
      <c r="E369" s="1186"/>
      <c r="F369" s="1187">
        <v>34491347</v>
      </c>
      <c r="G369" s="1188">
        <v>64828938</v>
      </c>
      <c r="H369" s="1188">
        <v>59829139</v>
      </c>
      <c r="I369" s="1188">
        <v>21329428</v>
      </c>
      <c r="J369" s="1188">
        <v>70337902</v>
      </c>
      <c r="K369" s="1188">
        <v>31349873</v>
      </c>
      <c r="L369" s="1189">
        <v>19191877</v>
      </c>
      <c r="M369" s="1190">
        <v>25366652</v>
      </c>
      <c r="N369" s="1190">
        <v>52993883</v>
      </c>
      <c r="O369" s="1191">
        <v>16665273</v>
      </c>
      <c r="P369" s="1191">
        <v>29345692</v>
      </c>
      <c r="Q369" s="1191">
        <v>81841221</v>
      </c>
      <c r="R369" s="1191">
        <v>35896386</v>
      </c>
      <c r="S369" s="1191">
        <v>12015509</v>
      </c>
      <c r="T369" s="1191">
        <v>1718062</v>
      </c>
      <c r="U369" s="1191">
        <v>100600729</v>
      </c>
      <c r="V369" s="1191">
        <v>169962862</v>
      </c>
      <c r="W369" s="1191">
        <v>19989785</v>
      </c>
      <c r="X369" s="1191">
        <v>15964541</v>
      </c>
      <c r="Y369" s="1191">
        <v>169637768</v>
      </c>
      <c r="Z369" s="1191">
        <v>48842052</v>
      </c>
      <c r="AA369" s="1191">
        <v>12324274</v>
      </c>
      <c r="AB369" s="1191">
        <v>62995887</v>
      </c>
      <c r="AC369" s="1191">
        <v>13905679</v>
      </c>
      <c r="AD369" s="1190">
        <v>0</v>
      </c>
      <c r="AE369" s="1190">
        <v>162487410</v>
      </c>
      <c r="AF369" s="1190">
        <v>17400601</v>
      </c>
      <c r="AG369" s="1190">
        <v>107953366</v>
      </c>
      <c r="AH369" s="1190">
        <v>52259396</v>
      </c>
      <c r="AI369" s="1190">
        <v>19953505</v>
      </c>
      <c r="AJ369" s="1190">
        <v>160410935</v>
      </c>
      <c r="AK369" s="1190">
        <v>80916189</v>
      </c>
      <c r="AL369" s="1190">
        <v>124896933</v>
      </c>
      <c r="AM369" s="1190">
        <v>56645394</v>
      </c>
      <c r="AN369" s="1190">
        <v>57858210</v>
      </c>
      <c r="AO369" s="1190">
        <v>44293202</v>
      </c>
      <c r="AP369" s="1190">
        <v>57662991</v>
      </c>
      <c r="AQ369" s="1190">
        <v>41721169</v>
      </c>
      <c r="AR369" s="1190">
        <v>53487587</v>
      </c>
      <c r="AS369" s="1190">
        <v>18622533</v>
      </c>
      <c r="AT369" s="1190">
        <v>16326882</v>
      </c>
      <c r="AU369" s="1190">
        <v>22766789</v>
      </c>
      <c r="AV369" s="1190">
        <v>7687980</v>
      </c>
      <c r="AW369" s="1190">
        <v>0</v>
      </c>
      <c r="AX369" s="1190">
        <v>46547107</v>
      </c>
      <c r="AY369" s="1190">
        <v>1002743254</v>
      </c>
      <c r="AZ369" s="1190">
        <v>17277404</v>
      </c>
      <c r="BA369" s="1190">
        <v>13071371</v>
      </c>
      <c r="BB369" s="1190">
        <v>31907473</v>
      </c>
      <c r="BC369" s="1190">
        <v>131063410</v>
      </c>
      <c r="BD369" s="1190">
        <v>7877558</v>
      </c>
      <c r="BE369" s="1190">
        <v>16995213</v>
      </c>
      <c r="BF369" s="1190">
        <v>64720163</v>
      </c>
      <c r="BG369" s="1190">
        <v>72018368</v>
      </c>
      <c r="BH369" s="1190">
        <v>344748211</v>
      </c>
      <c r="BI369" s="1190">
        <v>37918759</v>
      </c>
      <c r="BJ369" s="1190">
        <v>17824950</v>
      </c>
      <c r="BK369" s="1118"/>
      <c r="BL369" s="1118"/>
    </row>
    <row r="370" spans="1:64" x14ac:dyDescent="0.3">
      <c r="A370" s="1175">
        <v>557</v>
      </c>
      <c r="B370" s="1222">
        <v>557</v>
      </c>
      <c r="C370" s="1183">
        <v>557</v>
      </c>
      <c r="D370" s="1235" t="s">
        <v>358</v>
      </c>
      <c r="E370" s="1186"/>
      <c r="F370" s="1187">
        <v>32432553</v>
      </c>
      <c r="G370" s="1188">
        <v>60323766</v>
      </c>
      <c r="H370" s="1188">
        <v>58363019</v>
      </c>
      <c r="I370" s="1188">
        <v>19562142</v>
      </c>
      <c r="J370" s="1188">
        <v>65562099</v>
      </c>
      <c r="K370" s="1188">
        <v>28943572</v>
      </c>
      <c r="L370" s="1189">
        <v>17152456</v>
      </c>
      <c r="M370" s="1190">
        <v>25192581</v>
      </c>
      <c r="N370" s="1190">
        <v>41404632</v>
      </c>
      <c r="O370" s="1191">
        <v>15623937</v>
      </c>
      <c r="P370" s="1191">
        <v>25753332</v>
      </c>
      <c r="Q370" s="1191">
        <v>75034489</v>
      </c>
      <c r="R370" s="1191">
        <v>33180284</v>
      </c>
      <c r="S370" s="1191">
        <v>10567124</v>
      </c>
      <c r="T370" s="1191">
        <v>1718062</v>
      </c>
      <c r="U370" s="1191">
        <v>94035514</v>
      </c>
      <c r="V370" s="1191">
        <v>153475935</v>
      </c>
      <c r="W370" s="1191">
        <v>18102226</v>
      </c>
      <c r="X370" s="1191">
        <v>14502845</v>
      </c>
      <c r="Y370" s="1191">
        <v>161225382</v>
      </c>
      <c r="Z370" s="1191">
        <v>45031301</v>
      </c>
      <c r="AA370" s="1191">
        <v>11991061</v>
      </c>
      <c r="AB370" s="1191">
        <v>60778674</v>
      </c>
      <c r="AC370" s="1191">
        <v>13203922</v>
      </c>
      <c r="AD370" s="1190">
        <v>0</v>
      </c>
      <c r="AE370" s="1190">
        <v>154037312</v>
      </c>
      <c r="AF370" s="1190">
        <v>16579866</v>
      </c>
      <c r="AG370" s="1190">
        <v>99787491</v>
      </c>
      <c r="AH370" s="1190">
        <v>47689064</v>
      </c>
      <c r="AI370" s="1190">
        <v>17985867</v>
      </c>
      <c r="AJ370" s="1190">
        <v>152870189</v>
      </c>
      <c r="AK370" s="1190">
        <v>75594213</v>
      </c>
      <c r="AL370" s="1190">
        <v>124622757</v>
      </c>
      <c r="AM370" s="1190">
        <v>53031122</v>
      </c>
      <c r="AN370" s="1190">
        <v>56235974</v>
      </c>
      <c r="AO370" s="1190">
        <v>39898205</v>
      </c>
      <c r="AP370" s="1190">
        <v>53838234</v>
      </c>
      <c r="AQ370" s="1190">
        <v>37810640</v>
      </c>
      <c r="AR370" s="1190">
        <v>49614373</v>
      </c>
      <c r="AS370" s="1190">
        <v>17118368</v>
      </c>
      <c r="AT370" s="1190">
        <v>15002975</v>
      </c>
      <c r="AU370" s="1190">
        <v>22116442</v>
      </c>
      <c r="AV370" s="1190">
        <v>6887011</v>
      </c>
      <c r="AW370" s="1190">
        <v>0</v>
      </c>
      <c r="AX370" s="1190">
        <v>43483993</v>
      </c>
      <c r="AY370" s="1190">
        <v>946734762</v>
      </c>
      <c r="AZ370" s="1190">
        <v>16216736</v>
      </c>
      <c r="BA370" s="1190">
        <v>12085834</v>
      </c>
      <c r="BB370" s="1190">
        <v>29315196</v>
      </c>
      <c r="BC370" s="1190">
        <v>122965036</v>
      </c>
      <c r="BD370" s="1190">
        <v>7365363</v>
      </c>
      <c r="BE370" s="1190">
        <v>15471477</v>
      </c>
      <c r="BF370" s="1190">
        <v>59895374</v>
      </c>
      <c r="BG370" s="1190">
        <v>66590697</v>
      </c>
      <c r="BH370" s="1190">
        <v>321963776</v>
      </c>
      <c r="BI370" s="1190">
        <v>34356147</v>
      </c>
      <c r="BJ370" s="1190">
        <v>15707131</v>
      </c>
      <c r="BK370" s="1118"/>
      <c r="BL370" s="1118"/>
    </row>
    <row r="371" spans="1:64" ht="43.2" x14ac:dyDescent="0.3">
      <c r="A371" s="1154">
        <v>606</v>
      </c>
      <c r="B371" s="1222">
        <v>606</v>
      </c>
      <c r="C371" s="1211">
        <v>606</v>
      </c>
      <c r="D371" s="1210" t="s">
        <v>432</v>
      </c>
      <c r="E371" s="1210"/>
      <c r="F371" s="1163">
        <v>1</v>
      </c>
      <c r="G371" s="1164">
        <v>1</v>
      </c>
      <c r="H371" s="1164">
        <v>1</v>
      </c>
      <c r="I371" s="1164">
        <v>1</v>
      </c>
      <c r="J371" s="1164">
        <v>1</v>
      </c>
      <c r="K371" s="1164">
        <v>1</v>
      </c>
      <c r="L371" s="1165">
        <v>1</v>
      </c>
      <c r="M371" s="1166">
        <v>1</v>
      </c>
      <c r="N371" s="1166">
        <v>1</v>
      </c>
      <c r="O371" s="1167">
        <v>1</v>
      </c>
      <c r="P371" s="1167">
        <v>1</v>
      </c>
      <c r="Q371" s="1167">
        <v>1</v>
      </c>
      <c r="R371" s="1167">
        <v>1</v>
      </c>
      <c r="S371" s="1167">
        <v>1</v>
      </c>
      <c r="T371" s="1167">
        <v>1</v>
      </c>
      <c r="U371" s="1167">
        <v>1</v>
      </c>
      <c r="V371" s="1167">
        <v>1</v>
      </c>
      <c r="W371" s="1167">
        <v>1</v>
      </c>
      <c r="X371" s="1167">
        <v>1</v>
      </c>
      <c r="Y371" s="1167">
        <v>1</v>
      </c>
      <c r="Z371" s="1167">
        <v>1</v>
      </c>
      <c r="AA371" s="1167">
        <v>1</v>
      </c>
      <c r="AB371" s="1167">
        <v>1</v>
      </c>
      <c r="AC371" s="1167">
        <v>1</v>
      </c>
      <c r="AD371" s="1166">
        <v>0</v>
      </c>
      <c r="AE371" s="1166">
        <v>1</v>
      </c>
      <c r="AF371" s="1166">
        <v>1</v>
      </c>
      <c r="AG371" s="1166">
        <v>1</v>
      </c>
      <c r="AH371" s="1166">
        <v>1</v>
      </c>
      <c r="AI371" s="1166">
        <v>1</v>
      </c>
      <c r="AJ371" s="1166">
        <v>1</v>
      </c>
      <c r="AK371" s="1166">
        <v>1</v>
      </c>
      <c r="AL371" s="1166">
        <v>1</v>
      </c>
      <c r="AM371" s="1166">
        <v>1</v>
      </c>
      <c r="AN371" s="1166">
        <v>1</v>
      </c>
      <c r="AO371" s="1166">
        <v>1</v>
      </c>
      <c r="AP371" s="1166">
        <v>1</v>
      </c>
      <c r="AQ371" s="1166">
        <v>1</v>
      </c>
      <c r="AR371" s="1166">
        <v>1</v>
      </c>
      <c r="AS371" s="1166">
        <v>1</v>
      </c>
      <c r="AT371" s="1166">
        <v>1</v>
      </c>
      <c r="AU371" s="1166">
        <v>1</v>
      </c>
      <c r="AV371" s="1166">
        <v>1</v>
      </c>
      <c r="AW371" s="1166">
        <v>0</v>
      </c>
      <c r="AX371" s="1166">
        <v>1</v>
      </c>
      <c r="AY371" s="1166">
        <v>1</v>
      </c>
      <c r="AZ371" s="1166">
        <v>1</v>
      </c>
      <c r="BA371" s="1166">
        <v>1</v>
      </c>
      <c r="BB371" s="1166">
        <v>1</v>
      </c>
      <c r="BC371" s="1166">
        <v>1</v>
      </c>
      <c r="BD371" s="1166">
        <v>1</v>
      </c>
      <c r="BE371" s="1166">
        <v>1</v>
      </c>
      <c r="BF371" s="1166">
        <v>1</v>
      </c>
      <c r="BG371" s="1166">
        <v>1</v>
      </c>
      <c r="BH371" s="1166">
        <v>1</v>
      </c>
      <c r="BI371" s="1166">
        <v>1</v>
      </c>
      <c r="BJ371" s="1166">
        <v>1</v>
      </c>
      <c r="BK371" s="1120"/>
      <c r="BL371" s="1120"/>
    </row>
    <row r="372" spans="1:64" x14ac:dyDescent="0.3">
      <c r="A372" s="1154">
        <v>620</v>
      </c>
      <c r="B372" s="1222"/>
      <c r="C372" s="1208">
        <v>620</v>
      </c>
      <c r="D372" s="1209"/>
      <c r="E372" s="1209"/>
      <c r="F372" s="1163"/>
      <c r="G372" s="1164"/>
      <c r="H372" s="1164"/>
      <c r="I372" s="1164"/>
      <c r="J372" s="1164"/>
      <c r="K372" s="1164"/>
      <c r="L372" s="1165"/>
      <c r="M372" s="1166"/>
      <c r="N372" s="1166"/>
      <c r="O372" s="1167"/>
      <c r="P372" s="1167"/>
      <c r="Q372" s="1167"/>
      <c r="R372" s="1167"/>
      <c r="S372" s="1167"/>
      <c r="T372" s="1167"/>
      <c r="U372" s="1167"/>
      <c r="V372" s="1167"/>
      <c r="W372" s="1167"/>
      <c r="X372" s="1167"/>
      <c r="Y372" s="1167"/>
      <c r="Z372" s="1167"/>
      <c r="AA372" s="1167"/>
      <c r="AB372" s="1167"/>
      <c r="AC372" s="1167"/>
      <c r="AD372" s="1166"/>
      <c r="AE372" s="1166"/>
      <c r="AF372" s="1166"/>
      <c r="AG372" s="1166"/>
      <c r="AH372" s="1166"/>
      <c r="AI372" s="1166"/>
      <c r="AJ372" s="1166"/>
      <c r="AK372" s="1166"/>
      <c r="AL372" s="1166"/>
      <c r="AM372" s="1166"/>
      <c r="AN372" s="1166"/>
      <c r="AO372" s="1166"/>
      <c r="AP372" s="1166"/>
      <c r="AQ372" s="1166"/>
      <c r="AR372" s="1166"/>
      <c r="AS372" s="1166"/>
      <c r="AT372" s="1166"/>
      <c r="AU372" s="1166"/>
      <c r="AV372" s="1166"/>
      <c r="AW372" s="1166"/>
      <c r="AX372" s="1166"/>
      <c r="AY372" s="1166"/>
      <c r="AZ372" s="1166"/>
      <c r="BA372" s="1166"/>
      <c r="BB372" s="1166"/>
      <c r="BC372" s="1166"/>
      <c r="BD372" s="1166"/>
      <c r="BE372" s="1166"/>
      <c r="BF372" s="1166"/>
      <c r="BG372" s="1166"/>
      <c r="BH372" s="1166"/>
      <c r="BI372" s="1166"/>
      <c r="BJ372" s="1166"/>
      <c r="BK372" s="1122"/>
      <c r="BL372" s="1122"/>
    </row>
    <row r="373" spans="1:64" x14ac:dyDescent="0.3">
      <c r="A373" s="1152">
        <v>662</v>
      </c>
      <c r="B373" s="1222">
        <v>662</v>
      </c>
      <c r="C373" s="1152">
        <v>662</v>
      </c>
      <c r="D373" s="1152" t="s">
        <v>573</v>
      </c>
      <c r="E373" s="1152"/>
      <c r="F373" s="1163">
        <v>0</v>
      </c>
      <c r="G373" s="1164">
        <v>169915</v>
      </c>
      <c r="H373" s="1164">
        <v>100071</v>
      </c>
      <c r="I373" s="1164">
        <v>161300</v>
      </c>
      <c r="J373" s="1164">
        <v>100389</v>
      </c>
      <c r="K373" s="1164">
        <v>132381</v>
      </c>
      <c r="L373" s="1165">
        <v>75273</v>
      </c>
      <c r="M373" s="1166">
        <v>0</v>
      </c>
      <c r="N373" s="1166">
        <v>371120</v>
      </c>
      <c r="O373" s="1167">
        <v>0</v>
      </c>
      <c r="P373" s="1167">
        <v>123340</v>
      </c>
      <c r="Q373" s="1167">
        <v>260390</v>
      </c>
      <c r="R373" s="1167">
        <v>191617</v>
      </c>
      <c r="S373" s="1167">
        <v>0</v>
      </c>
      <c r="T373" s="1167">
        <v>0</v>
      </c>
      <c r="U373" s="1167">
        <v>934913</v>
      </c>
      <c r="V373" s="1167">
        <v>410664</v>
      </c>
      <c r="W373" s="1167">
        <v>160289</v>
      </c>
      <c r="X373" s="1167">
        <v>129894</v>
      </c>
      <c r="Y373" s="1167">
        <v>756736</v>
      </c>
      <c r="Z373" s="1167">
        <v>75136</v>
      </c>
      <c r="AA373" s="1167">
        <v>0</v>
      </c>
      <c r="AB373" s="1167">
        <v>0</v>
      </c>
      <c r="AC373" s="1167">
        <v>0</v>
      </c>
      <c r="AD373" s="1166">
        <v>0</v>
      </c>
      <c r="AE373" s="1166">
        <v>548401</v>
      </c>
      <c r="AF373" s="1166">
        <v>34514</v>
      </c>
      <c r="AG373" s="1166">
        <v>0</v>
      </c>
      <c r="AH373" s="1166">
        <v>134608</v>
      </c>
      <c r="AI373" s="1166">
        <v>33269</v>
      </c>
      <c r="AJ373" s="1166">
        <v>0</v>
      </c>
      <c r="AK373" s="1166">
        <v>87862</v>
      </c>
      <c r="AL373" s="1166">
        <v>360890</v>
      </c>
      <c r="AM373" s="1166">
        <v>103770</v>
      </c>
      <c r="AN373" s="1166">
        <v>0</v>
      </c>
      <c r="AO373" s="1166">
        <v>456619</v>
      </c>
      <c r="AP373" s="1166">
        <v>311885</v>
      </c>
      <c r="AQ373" s="1166">
        <v>283156</v>
      </c>
      <c r="AR373" s="1166">
        <v>0</v>
      </c>
      <c r="AS373" s="1166">
        <v>30453</v>
      </c>
      <c r="AT373" s="1166">
        <v>0</v>
      </c>
      <c r="AU373" s="1166">
        <v>152187</v>
      </c>
      <c r="AV373" s="1166">
        <v>29717</v>
      </c>
      <c r="AW373" s="1166">
        <v>0</v>
      </c>
      <c r="AX373" s="1166">
        <v>242557</v>
      </c>
      <c r="AY373" s="1166">
        <v>18187201</v>
      </c>
      <c r="AZ373" s="1166">
        <v>128474</v>
      </c>
      <c r="BA373" s="1166">
        <v>0</v>
      </c>
      <c r="BB373" s="1166">
        <v>30907</v>
      </c>
      <c r="BC373" s="1166">
        <v>1140442</v>
      </c>
      <c r="BD373" s="1166">
        <v>43630</v>
      </c>
      <c r="BE373" s="1166">
        <v>0</v>
      </c>
      <c r="BF373" s="1166">
        <v>74326</v>
      </c>
      <c r="BG373" s="1166">
        <v>87065</v>
      </c>
      <c r="BH373" s="1166">
        <v>1966774</v>
      </c>
      <c r="BI373" s="1166">
        <v>209023</v>
      </c>
      <c r="BJ373" s="1166">
        <v>52272</v>
      </c>
      <c r="BK373" s="1120"/>
      <c r="BL373" s="1120"/>
    </row>
    <row r="374" spans="1:64" x14ac:dyDescent="0.3">
      <c r="A374" s="1152">
        <v>663</v>
      </c>
      <c r="B374" s="1222">
        <v>663</v>
      </c>
      <c r="C374" s="1152">
        <v>663</v>
      </c>
      <c r="D374" s="1152" t="s">
        <v>574</v>
      </c>
      <c r="E374" s="1152"/>
      <c r="F374" s="1163">
        <v>193606</v>
      </c>
      <c r="G374" s="1164">
        <v>378685</v>
      </c>
      <c r="H374" s="1164">
        <v>394972</v>
      </c>
      <c r="I374" s="1164">
        <v>116031</v>
      </c>
      <c r="J374" s="1164">
        <v>454458</v>
      </c>
      <c r="K374" s="1164">
        <v>134198</v>
      </c>
      <c r="L374" s="1165">
        <v>87115</v>
      </c>
      <c r="M374" s="1166">
        <v>0</v>
      </c>
      <c r="N374" s="1166">
        <v>233750</v>
      </c>
      <c r="O374" s="1167">
        <v>97158</v>
      </c>
      <c r="P374" s="1167">
        <v>201032</v>
      </c>
      <c r="Q374" s="1167">
        <v>498759</v>
      </c>
      <c r="R374" s="1167">
        <v>205823</v>
      </c>
      <c r="S374" s="1167">
        <v>64317</v>
      </c>
      <c r="T374" s="1167">
        <v>0</v>
      </c>
      <c r="U374" s="1167">
        <v>582022</v>
      </c>
      <c r="V374" s="1167">
        <v>560880</v>
      </c>
      <c r="W374" s="1167">
        <v>102569</v>
      </c>
      <c r="X374" s="1167">
        <v>60772</v>
      </c>
      <c r="Y374" s="1167">
        <v>1024056</v>
      </c>
      <c r="Z374" s="1167">
        <v>0</v>
      </c>
      <c r="AA374" s="1167">
        <v>0</v>
      </c>
      <c r="AB374" s="1167">
        <v>0</v>
      </c>
      <c r="AC374" s="1167">
        <v>295013</v>
      </c>
      <c r="AD374" s="1166">
        <v>0</v>
      </c>
      <c r="AE374" s="1166">
        <v>908038</v>
      </c>
      <c r="AF374" s="1166">
        <v>68455</v>
      </c>
      <c r="AG374" s="1166">
        <v>633699</v>
      </c>
      <c r="AH374" s="1166">
        <v>290519</v>
      </c>
      <c r="AI374" s="1166">
        <v>112136</v>
      </c>
      <c r="AJ374" s="1166">
        <v>928920</v>
      </c>
      <c r="AK374" s="1166">
        <v>457808</v>
      </c>
      <c r="AL374" s="1166">
        <v>715951</v>
      </c>
      <c r="AM374" s="1166">
        <v>0</v>
      </c>
      <c r="AN374" s="1166">
        <v>355028</v>
      </c>
      <c r="AO374" s="1166">
        <v>553062</v>
      </c>
      <c r="AP374" s="1166">
        <v>324471</v>
      </c>
      <c r="AQ374" s="1166">
        <v>226064</v>
      </c>
      <c r="AR374" s="1166">
        <v>300238</v>
      </c>
      <c r="AS374" s="1166">
        <v>0</v>
      </c>
      <c r="AT374" s="1166">
        <v>317745</v>
      </c>
      <c r="AU374" s="1166">
        <v>105153</v>
      </c>
      <c r="AV374" s="1166">
        <v>234928</v>
      </c>
      <c r="AW374" s="1166">
        <v>0</v>
      </c>
      <c r="AX374" s="1166">
        <v>228839</v>
      </c>
      <c r="AY374" s="1166">
        <v>3829817</v>
      </c>
      <c r="AZ374" s="1166">
        <v>178794</v>
      </c>
      <c r="BA374" s="1166">
        <v>274820</v>
      </c>
      <c r="BB374" s="1166">
        <v>133881</v>
      </c>
      <c r="BC374" s="1166">
        <v>737783</v>
      </c>
      <c r="BD374" s="1166">
        <v>32095</v>
      </c>
      <c r="BE374" s="1166">
        <v>0</v>
      </c>
      <c r="BF374" s="1166">
        <v>354998</v>
      </c>
      <c r="BG374" s="1166">
        <v>439155</v>
      </c>
      <c r="BH374" s="1166">
        <v>1749399</v>
      </c>
      <c r="BI374" s="1166">
        <v>274690</v>
      </c>
      <c r="BJ374" s="1166">
        <v>76580</v>
      </c>
      <c r="BK374" s="1120"/>
      <c r="BL374" s="1120"/>
    </row>
    <row r="375" spans="1:64" x14ac:dyDescent="0.3">
      <c r="A375" s="1236">
        <v>998</v>
      </c>
      <c r="B375" s="1237">
        <v>998</v>
      </c>
      <c r="C375" s="1238">
        <v>998</v>
      </c>
      <c r="D375" s="1239" t="s">
        <v>287</v>
      </c>
      <c r="E375" s="1239"/>
      <c r="F375" s="1240">
        <v>52</v>
      </c>
      <c r="G375" s="1241">
        <v>52</v>
      </c>
      <c r="H375" s="1241">
        <v>52</v>
      </c>
      <c r="I375" s="1241">
        <v>52</v>
      </c>
      <c r="J375" s="1241">
        <v>52</v>
      </c>
      <c r="K375" s="1241">
        <v>52</v>
      </c>
      <c r="L375" s="1242">
        <v>52</v>
      </c>
      <c r="M375" s="1243">
        <v>52</v>
      </c>
      <c r="N375" s="1243">
        <v>52</v>
      </c>
      <c r="O375" s="1244">
        <v>52</v>
      </c>
      <c r="P375" s="1244">
        <v>52</v>
      </c>
      <c r="Q375" s="1244">
        <v>52</v>
      </c>
      <c r="R375" s="1244">
        <v>52</v>
      </c>
      <c r="S375" s="1244">
        <v>52</v>
      </c>
      <c r="T375" s="1244">
        <v>52</v>
      </c>
      <c r="U375" s="1244">
        <v>52</v>
      </c>
      <c r="V375" s="1244">
        <v>52</v>
      </c>
      <c r="W375" s="1244">
        <v>52</v>
      </c>
      <c r="X375" s="1244">
        <v>52</v>
      </c>
      <c r="Y375" s="1244">
        <v>52</v>
      </c>
      <c r="Z375" s="1244">
        <v>52</v>
      </c>
      <c r="AA375" s="1244">
        <v>52</v>
      </c>
      <c r="AB375" s="1244">
        <v>52</v>
      </c>
      <c r="AC375" s="1244">
        <v>52</v>
      </c>
      <c r="AD375" s="1243">
        <v>52</v>
      </c>
      <c r="AE375" s="1243">
        <v>52</v>
      </c>
      <c r="AF375" s="1243">
        <v>0</v>
      </c>
      <c r="AG375" s="1243">
        <v>52</v>
      </c>
      <c r="AH375" s="1243">
        <v>52</v>
      </c>
      <c r="AI375" s="1243">
        <v>52</v>
      </c>
      <c r="AJ375" s="1243">
        <v>52</v>
      </c>
      <c r="AK375" s="1243">
        <v>52</v>
      </c>
      <c r="AL375" s="1243">
        <v>52</v>
      </c>
      <c r="AM375" s="1243">
        <v>52</v>
      </c>
      <c r="AN375" s="1243">
        <v>52</v>
      </c>
      <c r="AO375" s="1243">
        <v>52</v>
      </c>
      <c r="AP375" s="1243">
        <v>52</v>
      </c>
      <c r="AQ375" s="1243">
        <v>52</v>
      </c>
      <c r="AR375" s="1243">
        <v>52</v>
      </c>
      <c r="AS375" s="1243">
        <v>52</v>
      </c>
      <c r="AT375" s="1243">
        <v>52</v>
      </c>
      <c r="AU375" s="1243">
        <v>52</v>
      </c>
      <c r="AV375" s="1243">
        <v>52</v>
      </c>
      <c r="AW375" s="1243">
        <v>52</v>
      </c>
      <c r="AX375" s="1243">
        <v>52</v>
      </c>
      <c r="AY375" s="1243">
        <v>52</v>
      </c>
      <c r="AZ375" s="1243">
        <v>52</v>
      </c>
      <c r="BA375" s="1243">
        <v>52</v>
      </c>
      <c r="BB375" s="1243">
        <v>52</v>
      </c>
      <c r="BC375" s="1243">
        <v>52</v>
      </c>
      <c r="BD375" s="1243">
        <v>52</v>
      </c>
      <c r="BE375" s="1243">
        <v>52</v>
      </c>
      <c r="BF375" s="1243">
        <v>52</v>
      </c>
      <c r="BG375" s="1243">
        <v>52</v>
      </c>
      <c r="BH375" s="1243">
        <v>52</v>
      </c>
      <c r="BI375" s="1243">
        <v>52</v>
      </c>
      <c r="BJ375" s="1243">
        <v>52</v>
      </c>
      <c r="BK375" s="1120"/>
      <c r="BL375" s="1120"/>
    </row>
    <row r="376" spans="1:64" x14ac:dyDescent="0.3">
      <c r="A376" s="1236">
        <v>999</v>
      </c>
      <c r="B376" s="1237">
        <v>999</v>
      </c>
      <c r="C376" s="1238">
        <v>999</v>
      </c>
      <c r="D376" s="1239" t="s">
        <v>288</v>
      </c>
      <c r="E376" s="1239"/>
      <c r="F376" s="1240">
        <v>52821</v>
      </c>
      <c r="G376" s="1241">
        <v>52823</v>
      </c>
      <c r="H376" s="1241">
        <v>52824</v>
      </c>
      <c r="I376" s="1241">
        <v>52825</v>
      </c>
      <c r="J376" s="1241">
        <v>52826</v>
      </c>
      <c r="K376" s="1241">
        <v>52827</v>
      </c>
      <c r="L376" s="1242">
        <v>52828</v>
      </c>
      <c r="M376" s="1243">
        <v>52829</v>
      </c>
      <c r="N376" s="1243">
        <v>52830</v>
      </c>
      <c r="O376" s="1244">
        <v>52831</v>
      </c>
      <c r="P376" s="1244">
        <v>52832</v>
      </c>
      <c r="Q376" s="1244">
        <v>52833</v>
      </c>
      <c r="R376" s="1244">
        <v>52834</v>
      </c>
      <c r="S376" s="1244">
        <v>52835</v>
      </c>
      <c r="T376" s="1244">
        <v>524017</v>
      </c>
      <c r="U376" s="1244">
        <v>52994</v>
      </c>
      <c r="V376" s="1244">
        <v>52836</v>
      </c>
      <c r="W376" s="1244">
        <v>52837</v>
      </c>
      <c r="X376" s="1244">
        <v>52838</v>
      </c>
      <c r="Y376" s="1244">
        <v>52839</v>
      </c>
      <c r="Z376" s="1244">
        <v>52840</v>
      </c>
      <c r="AA376" s="1244">
        <v>52841</v>
      </c>
      <c r="AB376" s="1244">
        <v>52842</v>
      </c>
      <c r="AC376" s="1244">
        <v>52843</v>
      </c>
      <c r="AD376" s="1243">
        <v>52844</v>
      </c>
      <c r="AE376" s="1243">
        <v>52845</v>
      </c>
      <c r="AF376" s="1243">
        <v>0</v>
      </c>
      <c r="AG376" s="1243">
        <v>52847</v>
      </c>
      <c r="AH376" s="1243">
        <v>52848</v>
      </c>
      <c r="AI376" s="1243">
        <v>52849</v>
      </c>
      <c r="AJ376" s="1243">
        <v>52850</v>
      </c>
      <c r="AK376" s="1243">
        <v>52851</v>
      </c>
      <c r="AL376" s="1243">
        <v>52995</v>
      </c>
      <c r="AM376" s="1243">
        <v>52852</v>
      </c>
      <c r="AN376" s="1243">
        <v>52853</v>
      </c>
      <c r="AO376" s="1243">
        <v>52854</v>
      </c>
      <c r="AP376" s="1243">
        <v>52856</v>
      </c>
      <c r="AQ376" s="1243">
        <v>52857</v>
      </c>
      <c r="AR376" s="1243">
        <v>52858</v>
      </c>
      <c r="AS376" s="1243">
        <v>52859</v>
      </c>
      <c r="AT376" s="1243">
        <v>52860</v>
      </c>
      <c r="AU376" s="1243">
        <v>52861</v>
      </c>
      <c r="AV376" s="1243">
        <v>52862</v>
      </c>
      <c r="AW376" s="1243">
        <v>52863</v>
      </c>
      <c r="AX376" s="1243">
        <v>52864</v>
      </c>
      <c r="AY376" s="1243">
        <v>52865</v>
      </c>
      <c r="AZ376" s="1243">
        <v>52866</v>
      </c>
      <c r="BA376" s="1243">
        <v>52867</v>
      </c>
      <c r="BB376" s="1243">
        <v>52868</v>
      </c>
      <c r="BC376" s="1243">
        <v>52869</v>
      </c>
      <c r="BD376" s="1243">
        <v>52870</v>
      </c>
      <c r="BE376" s="1243">
        <v>52871</v>
      </c>
      <c r="BF376" s="1243">
        <v>52872</v>
      </c>
      <c r="BG376" s="1243">
        <v>52873</v>
      </c>
      <c r="BH376" s="1243">
        <v>52996</v>
      </c>
      <c r="BI376" s="1243">
        <v>52874</v>
      </c>
      <c r="BJ376" s="1243">
        <v>52875</v>
      </c>
      <c r="BK376" s="1115"/>
      <c r="BL376" s="1115"/>
    </row>
    <row r="377" spans="1:64" x14ac:dyDescent="0.3">
      <c r="A377" s="1152">
        <v>906</v>
      </c>
      <c r="B377" s="1152"/>
      <c r="C377" s="1152" t="s">
        <v>1423</v>
      </c>
      <c r="D377" s="1152" t="s">
        <v>624</v>
      </c>
      <c r="E377" s="1152"/>
      <c r="F377" s="1163">
        <v>1</v>
      </c>
      <c r="G377" s="1164">
        <v>1</v>
      </c>
      <c r="H377" s="1164">
        <v>1</v>
      </c>
      <c r="I377" s="1164">
        <v>1</v>
      </c>
      <c r="J377" s="1164">
        <v>1</v>
      </c>
      <c r="K377" s="1164">
        <v>1</v>
      </c>
      <c r="L377" s="1165">
        <v>1</v>
      </c>
      <c r="M377" s="1166">
        <v>1</v>
      </c>
      <c r="N377" s="1166">
        <v>1</v>
      </c>
      <c r="O377" s="1167">
        <v>1</v>
      </c>
      <c r="P377" s="1167">
        <v>1</v>
      </c>
      <c r="Q377" s="1167">
        <v>1</v>
      </c>
      <c r="R377" s="1167">
        <v>1</v>
      </c>
      <c r="S377" s="1167">
        <v>1</v>
      </c>
      <c r="T377" s="1167">
        <v>1</v>
      </c>
      <c r="U377" s="1167">
        <v>1</v>
      </c>
      <c r="V377" s="1167">
        <v>1</v>
      </c>
      <c r="W377" s="1167">
        <v>1</v>
      </c>
      <c r="X377" s="1167">
        <v>1</v>
      </c>
      <c r="Y377" s="1167">
        <v>1</v>
      </c>
      <c r="Z377" s="1167">
        <v>1</v>
      </c>
      <c r="AA377" s="1167">
        <v>1</v>
      </c>
      <c r="AB377" s="1167">
        <v>1</v>
      </c>
      <c r="AC377" s="1167">
        <v>1</v>
      </c>
      <c r="AD377" s="1166">
        <v>1</v>
      </c>
      <c r="AE377" s="1166">
        <v>1</v>
      </c>
      <c r="AF377" s="1166">
        <v>1</v>
      </c>
      <c r="AG377" s="1166">
        <v>1</v>
      </c>
      <c r="AH377" s="1166">
        <v>1</v>
      </c>
      <c r="AI377" s="1166">
        <v>1</v>
      </c>
      <c r="AJ377" s="1166">
        <v>1</v>
      </c>
      <c r="AK377" s="1166">
        <v>1</v>
      </c>
      <c r="AL377" s="1166">
        <v>1</v>
      </c>
      <c r="AM377" s="1166">
        <v>1</v>
      </c>
      <c r="AN377" s="1166">
        <v>1</v>
      </c>
      <c r="AO377" s="1166">
        <v>1</v>
      </c>
      <c r="AP377" s="1166">
        <v>1</v>
      </c>
      <c r="AQ377" s="1166">
        <v>1</v>
      </c>
      <c r="AR377" s="1166">
        <v>1</v>
      </c>
      <c r="AS377" s="1166">
        <v>1</v>
      </c>
      <c r="AT377" s="1166">
        <v>1</v>
      </c>
      <c r="AU377" s="1166">
        <v>1</v>
      </c>
      <c r="AV377" s="1166">
        <v>1</v>
      </c>
      <c r="AW377" s="1166">
        <v>1</v>
      </c>
      <c r="AX377" s="1166">
        <v>1</v>
      </c>
      <c r="AY377" s="1166">
        <v>1</v>
      </c>
      <c r="AZ377" s="1166">
        <v>1</v>
      </c>
      <c r="BA377" s="1166">
        <v>1</v>
      </c>
      <c r="BB377" s="1166">
        <v>1</v>
      </c>
      <c r="BC377" s="1166">
        <v>1</v>
      </c>
      <c r="BD377" s="1166">
        <v>1</v>
      </c>
      <c r="BE377" s="1166">
        <v>1</v>
      </c>
      <c r="BF377" s="1166">
        <v>1</v>
      </c>
      <c r="BG377" s="1166">
        <v>1</v>
      </c>
      <c r="BH377" s="1166">
        <v>1</v>
      </c>
      <c r="BI377" s="1166">
        <v>1</v>
      </c>
      <c r="BJ377" s="1166">
        <v>1</v>
      </c>
      <c r="BK377" s="1120"/>
      <c r="BL377" s="1120"/>
    </row>
    <row r="378" spans="1:64" x14ac:dyDescent="0.3">
      <c r="A378" s="1152">
        <v>907</v>
      </c>
      <c r="B378" s="1152"/>
      <c r="C378" s="1152" t="s">
        <v>1423</v>
      </c>
      <c r="D378" s="1152" t="s">
        <v>625</v>
      </c>
      <c r="E378" s="1152"/>
      <c r="F378" s="1163">
        <v>2</v>
      </c>
      <c r="G378" s="1164">
        <v>2</v>
      </c>
      <c r="H378" s="1164">
        <v>2</v>
      </c>
      <c r="I378" s="1164">
        <v>2</v>
      </c>
      <c r="J378" s="1164">
        <v>2</v>
      </c>
      <c r="K378" s="1164">
        <v>2</v>
      </c>
      <c r="L378" s="1165">
        <v>2</v>
      </c>
      <c r="M378" s="1166">
        <v>2</v>
      </c>
      <c r="N378" s="1166">
        <v>2</v>
      </c>
      <c r="O378" s="1167">
        <v>2</v>
      </c>
      <c r="P378" s="1167">
        <v>2</v>
      </c>
      <c r="Q378" s="1167">
        <v>2</v>
      </c>
      <c r="R378" s="1167">
        <v>2</v>
      </c>
      <c r="S378" s="1167">
        <v>2</v>
      </c>
      <c r="T378" s="1167">
        <v>2</v>
      </c>
      <c r="U378" s="1167">
        <v>2</v>
      </c>
      <c r="V378" s="1167">
        <v>2</v>
      </c>
      <c r="W378" s="1167">
        <v>2</v>
      </c>
      <c r="X378" s="1167">
        <v>2</v>
      </c>
      <c r="Y378" s="1167">
        <v>2</v>
      </c>
      <c r="Z378" s="1167">
        <v>2</v>
      </c>
      <c r="AA378" s="1167">
        <v>2</v>
      </c>
      <c r="AB378" s="1167">
        <v>2</v>
      </c>
      <c r="AC378" s="1167">
        <v>2</v>
      </c>
      <c r="AD378" s="1166">
        <v>2</v>
      </c>
      <c r="AE378" s="1166">
        <v>2</v>
      </c>
      <c r="AF378" s="1166">
        <v>2</v>
      </c>
      <c r="AG378" s="1166">
        <v>2</v>
      </c>
      <c r="AH378" s="1166">
        <v>2</v>
      </c>
      <c r="AI378" s="1166">
        <v>2</v>
      </c>
      <c r="AJ378" s="1166">
        <v>2</v>
      </c>
      <c r="AK378" s="1166">
        <v>2</v>
      </c>
      <c r="AL378" s="1166">
        <v>2</v>
      </c>
      <c r="AM378" s="1166">
        <v>2</v>
      </c>
      <c r="AN378" s="1166">
        <v>2</v>
      </c>
      <c r="AO378" s="1166">
        <v>2</v>
      </c>
      <c r="AP378" s="1166">
        <v>2</v>
      </c>
      <c r="AQ378" s="1166">
        <v>2</v>
      </c>
      <c r="AR378" s="1166">
        <v>2</v>
      </c>
      <c r="AS378" s="1166">
        <v>2</v>
      </c>
      <c r="AT378" s="1166">
        <v>2</v>
      </c>
      <c r="AU378" s="1166">
        <v>2</v>
      </c>
      <c r="AV378" s="1166">
        <v>2</v>
      </c>
      <c r="AW378" s="1166">
        <v>2</v>
      </c>
      <c r="AX378" s="1166">
        <v>2</v>
      </c>
      <c r="AY378" s="1166">
        <v>2</v>
      </c>
      <c r="AZ378" s="1166">
        <v>2</v>
      </c>
      <c r="BA378" s="1166">
        <v>2</v>
      </c>
      <c r="BB378" s="1166">
        <v>2</v>
      </c>
      <c r="BC378" s="1166">
        <v>2</v>
      </c>
      <c r="BD378" s="1166">
        <v>2</v>
      </c>
      <c r="BE378" s="1166">
        <v>2</v>
      </c>
      <c r="BF378" s="1166">
        <v>2</v>
      </c>
      <c r="BG378" s="1166">
        <v>2</v>
      </c>
      <c r="BH378" s="1166">
        <v>2</v>
      </c>
      <c r="BI378" s="1166">
        <v>2</v>
      </c>
      <c r="BJ378" s="1166">
        <v>2</v>
      </c>
      <c r="BK378" s="1120"/>
      <c r="BL378" s="1120"/>
    </row>
    <row r="379" spans="1:64" x14ac:dyDescent="0.3">
      <c r="A379" s="1152">
        <v>951</v>
      </c>
      <c r="B379" s="1152"/>
      <c r="C379" s="1152" t="s">
        <v>1423</v>
      </c>
      <c r="D379" s="1152" t="s">
        <v>626</v>
      </c>
      <c r="E379" s="1152"/>
      <c r="F379" s="1163">
        <v>2</v>
      </c>
      <c r="G379" s="1164">
        <v>2</v>
      </c>
      <c r="H379" s="1164">
        <v>2</v>
      </c>
      <c r="I379" s="1164">
        <v>2</v>
      </c>
      <c r="J379" s="1164">
        <v>2</v>
      </c>
      <c r="K379" s="1164">
        <v>2</v>
      </c>
      <c r="L379" s="1165">
        <v>2</v>
      </c>
      <c r="M379" s="1166">
        <v>2</v>
      </c>
      <c r="N379" s="1166">
        <v>2</v>
      </c>
      <c r="O379" s="1167">
        <v>2</v>
      </c>
      <c r="P379" s="1167">
        <v>2</v>
      </c>
      <c r="Q379" s="1167">
        <v>2</v>
      </c>
      <c r="R379" s="1167">
        <v>2</v>
      </c>
      <c r="S379" s="1167">
        <v>2</v>
      </c>
      <c r="T379" s="1167">
        <v>2</v>
      </c>
      <c r="U379" s="1167">
        <v>2</v>
      </c>
      <c r="V379" s="1167">
        <v>2</v>
      </c>
      <c r="W379" s="1167">
        <v>2</v>
      </c>
      <c r="X379" s="1167">
        <v>2</v>
      </c>
      <c r="Y379" s="1167">
        <v>2</v>
      </c>
      <c r="Z379" s="1167">
        <v>2</v>
      </c>
      <c r="AA379" s="1167">
        <v>2</v>
      </c>
      <c r="AB379" s="1167">
        <v>2</v>
      </c>
      <c r="AC379" s="1167">
        <v>2</v>
      </c>
      <c r="AD379" s="1166">
        <v>2</v>
      </c>
      <c r="AE379" s="1166">
        <v>2</v>
      </c>
      <c r="AF379" s="1166">
        <v>2</v>
      </c>
      <c r="AG379" s="1166">
        <v>2</v>
      </c>
      <c r="AH379" s="1166">
        <v>2</v>
      </c>
      <c r="AI379" s="1166">
        <v>2</v>
      </c>
      <c r="AJ379" s="1166">
        <v>2</v>
      </c>
      <c r="AK379" s="1166">
        <v>2</v>
      </c>
      <c r="AL379" s="1166">
        <v>2</v>
      </c>
      <c r="AM379" s="1166">
        <v>2</v>
      </c>
      <c r="AN379" s="1166">
        <v>2</v>
      </c>
      <c r="AO379" s="1166">
        <v>2</v>
      </c>
      <c r="AP379" s="1166">
        <v>2</v>
      </c>
      <c r="AQ379" s="1166">
        <v>2</v>
      </c>
      <c r="AR379" s="1166">
        <v>2</v>
      </c>
      <c r="AS379" s="1166">
        <v>2</v>
      </c>
      <c r="AT379" s="1166">
        <v>2</v>
      </c>
      <c r="AU379" s="1166">
        <v>2</v>
      </c>
      <c r="AV379" s="1166">
        <v>2</v>
      </c>
      <c r="AW379" s="1166">
        <v>2</v>
      </c>
      <c r="AX379" s="1166">
        <v>2</v>
      </c>
      <c r="AY379" s="1166">
        <v>2</v>
      </c>
      <c r="AZ379" s="1166">
        <v>2</v>
      </c>
      <c r="BA379" s="1166">
        <v>2</v>
      </c>
      <c r="BB379" s="1166">
        <v>2</v>
      </c>
      <c r="BC379" s="1166">
        <v>2</v>
      </c>
      <c r="BD379" s="1166">
        <v>2</v>
      </c>
      <c r="BE379" s="1166">
        <v>2</v>
      </c>
      <c r="BF379" s="1166">
        <v>2</v>
      </c>
      <c r="BG379" s="1166">
        <v>2</v>
      </c>
      <c r="BH379" s="1166">
        <v>2</v>
      </c>
      <c r="BI379" s="1166">
        <v>2</v>
      </c>
      <c r="BJ379" s="1166">
        <v>2</v>
      </c>
      <c r="BK379" s="1120"/>
      <c r="BL379" s="1120"/>
    </row>
    <row r="380" spans="1:64" x14ac:dyDescent="0.3">
      <c r="A380" s="1152">
        <v>953</v>
      </c>
      <c r="B380" s="1152"/>
      <c r="C380" s="1152" t="s">
        <v>1423</v>
      </c>
      <c r="D380" s="1152" t="s">
        <v>627</v>
      </c>
      <c r="E380" s="1152"/>
      <c r="F380" s="1163">
        <v>2</v>
      </c>
      <c r="G380" s="1164">
        <v>2</v>
      </c>
      <c r="H380" s="1164">
        <v>2</v>
      </c>
      <c r="I380" s="1164">
        <v>2</v>
      </c>
      <c r="J380" s="1164">
        <v>2</v>
      </c>
      <c r="K380" s="1164">
        <v>2</v>
      </c>
      <c r="L380" s="1165">
        <v>2</v>
      </c>
      <c r="M380" s="1166">
        <v>2</v>
      </c>
      <c r="N380" s="1166">
        <v>2</v>
      </c>
      <c r="O380" s="1167">
        <v>2</v>
      </c>
      <c r="P380" s="1167">
        <v>2</v>
      </c>
      <c r="Q380" s="1167">
        <v>2</v>
      </c>
      <c r="R380" s="1167">
        <v>2</v>
      </c>
      <c r="S380" s="1167">
        <v>2</v>
      </c>
      <c r="T380" s="1167">
        <v>2</v>
      </c>
      <c r="U380" s="1167">
        <v>2</v>
      </c>
      <c r="V380" s="1167">
        <v>2</v>
      </c>
      <c r="W380" s="1167">
        <v>2</v>
      </c>
      <c r="X380" s="1167">
        <v>2</v>
      </c>
      <c r="Y380" s="1167">
        <v>2</v>
      </c>
      <c r="Z380" s="1167">
        <v>2</v>
      </c>
      <c r="AA380" s="1167">
        <v>2</v>
      </c>
      <c r="AB380" s="1167">
        <v>2</v>
      </c>
      <c r="AC380" s="1167">
        <v>2</v>
      </c>
      <c r="AD380" s="1166">
        <v>2</v>
      </c>
      <c r="AE380" s="1166">
        <v>2</v>
      </c>
      <c r="AF380" s="1166">
        <v>2</v>
      </c>
      <c r="AG380" s="1166">
        <v>2</v>
      </c>
      <c r="AH380" s="1166">
        <v>2</v>
      </c>
      <c r="AI380" s="1166">
        <v>2</v>
      </c>
      <c r="AJ380" s="1166">
        <v>2</v>
      </c>
      <c r="AK380" s="1166">
        <v>2</v>
      </c>
      <c r="AL380" s="1166">
        <v>2</v>
      </c>
      <c r="AM380" s="1166">
        <v>2</v>
      </c>
      <c r="AN380" s="1166">
        <v>2</v>
      </c>
      <c r="AO380" s="1166">
        <v>2</v>
      </c>
      <c r="AP380" s="1166">
        <v>2</v>
      </c>
      <c r="AQ380" s="1166">
        <v>2</v>
      </c>
      <c r="AR380" s="1166">
        <v>2</v>
      </c>
      <c r="AS380" s="1166">
        <v>2</v>
      </c>
      <c r="AT380" s="1166">
        <v>2</v>
      </c>
      <c r="AU380" s="1166">
        <v>2</v>
      </c>
      <c r="AV380" s="1166">
        <v>2</v>
      </c>
      <c r="AW380" s="1166">
        <v>2</v>
      </c>
      <c r="AX380" s="1166">
        <v>2</v>
      </c>
      <c r="AY380" s="1166">
        <v>2</v>
      </c>
      <c r="AZ380" s="1166">
        <v>2</v>
      </c>
      <c r="BA380" s="1166">
        <v>2</v>
      </c>
      <c r="BB380" s="1166">
        <v>2</v>
      </c>
      <c r="BC380" s="1166">
        <v>2</v>
      </c>
      <c r="BD380" s="1166">
        <v>2</v>
      </c>
      <c r="BE380" s="1166">
        <v>2</v>
      </c>
      <c r="BF380" s="1166">
        <v>2</v>
      </c>
      <c r="BG380" s="1166">
        <v>2</v>
      </c>
      <c r="BH380" s="1166">
        <v>2</v>
      </c>
      <c r="BI380" s="1166">
        <v>2</v>
      </c>
      <c r="BJ380" s="1166">
        <v>2</v>
      </c>
      <c r="BK380" s="1120"/>
      <c r="BL380" s="1120"/>
    </row>
    <row r="381" spans="1:64" x14ac:dyDescent="0.3">
      <c r="A381" s="1152">
        <v>955</v>
      </c>
      <c r="B381" s="1152"/>
      <c r="C381" s="1152" t="s">
        <v>1423</v>
      </c>
      <c r="D381" s="1152" t="s">
        <v>637</v>
      </c>
      <c r="E381" s="1152"/>
      <c r="F381" s="1163">
        <v>1</v>
      </c>
      <c r="G381" s="1164">
        <v>0</v>
      </c>
      <c r="H381" s="1164">
        <v>0</v>
      </c>
      <c r="I381" s="1164">
        <v>1</v>
      </c>
      <c r="J381" s="1164">
        <v>1</v>
      </c>
      <c r="K381" s="1164">
        <v>0</v>
      </c>
      <c r="L381" s="1165">
        <v>0</v>
      </c>
      <c r="M381" s="1166">
        <v>0</v>
      </c>
      <c r="N381" s="1166">
        <v>0</v>
      </c>
      <c r="O381" s="1167">
        <v>0</v>
      </c>
      <c r="P381" s="1167">
        <v>0</v>
      </c>
      <c r="Q381" s="1167">
        <v>0</v>
      </c>
      <c r="R381" s="1167">
        <v>0</v>
      </c>
      <c r="S381" s="1167">
        <v>0</v>
      </c>
      <c r="T381" s="1167">
        <v>0</v>
      </c>
      <c r="U381" s="1167">
        <v>1</v>
      </c>
      <c r="V381" s="1167">
        <v>0</v>
      </c>
      <c r="W381" s="1167">
        <v>1</v>
      </c>
      <c r="X381" s="1167">
        <v>3</v>
      </c>
      <c r="Y381" s="1167">
        <v>0</v>
      </c>
      <c r="Z381" s="1167">
        <v>0</v>
      </c>
      <c r="AA381" s="1167">
        <v>0</v>
      </c>
      <c r="AB381" s="1167">
        <v>0</v>
      </c>
      <c r="AC381" s="1167">
        <v>0</v>
      </c>
      <c r="AD381" s="1166">
        <v>0</v>
      </c>
      <c r="AE381" s="1166">
        <v>0</v>
      </c>
      <c r="AF381" s="1166">
        <v>0</v>
      </c>
      <c r="AG381" s="1166">
        <v>1</v>
      </c>
      <c r="AH381" s="1166">
        <v>0</v>
      </c>
      <c r="AI381" s="1166">
        <v>0</v>
      </c>
      <c r="AJ381" s="1166">
        <v>0</v>
      </c>
      <c r="AK381" s="1166">
        <v>0</v>
      </c>
      <c r="AL381" s="1166">
        <v>1</v>
      </c>
      <c r="AM381" s="1166">
        <v>0</v>
      </c>
      <c r="AN381" s="1166">
        <v>0</v>
      </c>
      <c r="AO381" s="1166">
        <v>3</v>
      </c>
      <c r="AP381" s="1166">
        <v>0</v>
      </c>
      <c r="AQ381" s="1166">
        <v>0</v>
      </c>
      <c r="AR381" s="1166">
        <v>0</v>
      </c>
      <c r="AS381" s="1166">
        <v>0</v>
      </c>
      <c r="AT381" s="1166">
        <v>0</v>
      </c>
      <c r="AU381" s="1166">
        <v>0</v>
      </c>
      <c r="AV381" s="1166">
        <v>0</v>
      </c>
      <c r="AW381" s="1166">
        <v>0</v>
      </c>
      <c r="AX381" s="1166">
        <v>2</v>
      </c>
      <c r="AY381" s="1166">
        <v>0</v>
      </c>
      <c r="AZ381" s="1166">
        <v>0</v>
      </c>
      <c r="BA381" s="1166">
        <v>5</v>
      </c>
      <c r="BB381" s="1166">
        <v>1</v>
      </c>
      <c r="BC381" s="1166">
        <v>0</v>
      </c>
      <c r="BD381" s="1166">
        <v>0</v>
      </c>
      <c r="BE381" s="1166">
        <v>1</v>
      </c>
      <c r="BF381" s="1166">
        <v>0</v>
      </c>
      <c r="BG381" s="1166">
        <v>0</v>
      </c>
      <c r="BH381" s="1166">
        <v>2</v>
      </c>
      <c r="BI381" s="1166">
        <v>1</v>
      </c>
      <c r="BJ381" s="1166">
        <v>0</v>
      </c>
      <c r="BK381" s="1120"/>
      <c r="BL381" s="1120"/>
    </row>
    <row r="382" spans="1:64" x14ac:dyDescent="0.3">
      <c r="A382" s="1152">
        <v>957</v>
      </c>
      <c r="B382" s="1152"/>
      <c r="C382" s="1152" t="s">
        <v>1423</v>
      </c>
      <c r="D382" s="1152" t="s">
        <v>638</v>
      </c>
      <c r="E382" s="1152"/>
      <c r="F382" s="1163">
        <v>0</v>
      </c>
      <c r="G382" s="1164">
        <v>0</v>
      </c>
      <c r="H382" s="1164">
        <v>1</v>
      </c>
      <c r="I382" s="1164">
        <v>0</v>
      </c>
      <c r="J382" s="1164">
        <v>0</v>
      </c>
      <c r="K382" s="1164">
        <v>0</v>
      </c>
      <c r="L382" s="1165">
        <v>0</v>
      </c>
      <c r="M382" s="1166">
        <v>0</v>
      </c>
      <c r="N382" s="1166">
        <v>0</v>
      </c>
      <c r="O382" s="1167">
        <v>0</v>
      </c>
      <c r="P382" s="1167">
        <v>0</v>
      </c>
      <c r="Q382" s="1167">
        <v>0</v>
      </c>
      <c r="R382" s="1167">
        <v>0</v>
      </c>
      <c r="S382" s="1167">
        <v>0</v>
      </c>
      <c r="T382" s="1167">
        <v>0</v>
      </c>
      <c r="U382" s="1167">
        <v>0</v>
      </c>
      <c r="V382" s="1167">
        <v>0</v>
      </c>
      <c r="W382" s="1167">
        <v>0</v>
      </c>
      <c r="X382" s="1167">
        <v>0</v>
      </c>
      <c r="Y382" s="1167">
        <v>0</v>
      </c>
      <c r="Z382" s="1167">
        <v>0</v>
      </c>
      <c r="AA382" s="1167">
        <v>0</v>
      </c>
      <c r="AB382" s="1167">
        <v>0</v>
      </c>
      <c r="AC382" s="1167">
        <v>0</v>
      </c>
      <c r="AD382" s="1166">
        <v>0</v>
      </c>
      <c r="AE382" s="1166">
        <v>0</v>
      </c>
      <c r="AF382" s="1166">
        <v>0</v>
      </c>
      <c r="AG382" s="1166">
        <v>0</v>
      </c>
      <c r="AH382" s="1166">
        <v>0</v>
      </c>
      <c r="AI382" s="1166">
        <v>0</v>
      </c>
      <c r="AJ382" s="1166">
        <v>0</v>
      </c>
      <c r="AK382" s="1166">
        <v>0</v>
      </c>
      <c r="AL382" s="1166">
        <v>0</v>
      </c>
      <c r="AM382" s="1166">
        <v>0</v>
      </c>
      <c r="AN382" s="1166">
        <v>0</v>
      </c>
      <c r="AO382" s="1166">
        <v>0</v>
      </c>
      <c r="AP382" s="1166">
        <v>0</v>
      </c>
      <c r="AQ382" s="1166">
        <v>0</v>
      </c>
      <c r="AR382" s="1166">
        <v>0</v>
      </c>
      <c r="AS382" s="1166">
        <v>0</v>
      </c>
      <c r="AT382" s="1166">
        <v>1</v>
      </c>
      <c r="AU382" s="1166">
        <v>0</v>
      </c>
      <c r="AV382" s="1166">
        <v>0</v>
      </c>
      <c r="AW382" s="1166">
        <v>0</v>
      </c>
      <c r="AX382" s="1166">
        <v>1</v>
      </c>
      <c r="AY382" s="1166">
        <v>0</v>
      </c>
      <c r="AZ382" s="1166">
        <v>1</v>
      </c>
      <c r="BA382" s="1166">
        <v>0</v>
      </c>
      <c r="BB382" s="1166">
        <v>0</v>
      </c>
      <c r="BC382" s="1166">
        <v>4</v>
      </c>
      <c r="BD382" s="1166">
        <v>0</v>
      </c>
      <c r="BE382" s="1166">
        <v>0</v>
      </c>
      <c r="BF382" s="1166">
        <v>0</v>
      </c>
      <c r="BG382" s="1166">
        <v>0</v>
      </c>
      <c r="BH382" s="1166">
        <v>1</v>
      </c>
      <c r="BI382" s="1166">
        <v>0</v>
      </c>
      <c r="BJ382" s="1166">
        <v>0</v>
      </c>
      <c r="BK382" s="1120"/>
      <c r="BL382" s="1120"/>
    </row>
    <row r="383" spans="1:64" x14ac:dyDescent="0.3">
      <c r="A383" s="1152">
        <v>959</v>
      </c>
      <c r="B383" s="1152"/>
      <c r="C383" s="1152" t="s">
        <v>1423</v>
      </c>
      <c r="D383" s="1152" t="s">
        <v>628</v>
      </c>
      <c r="E383" s="1152"/>
      <c r="F383" s="1163">
        <v>2</v>
      </c>
      <c r="G383" s="1164">
        <v>2</v>
      </c>
      <c r="H383" s="1164">
        <v>2</v>
      </c>
      <c r="I383" s="1164">
        <v>2</v>
      </c>
      <c r="J383" s="1164">
        <v>2</v>
      </c>
      <c r="K383" s="1164">
        <v>2</v>
      </c>
      <c r="L383" s="1165">
        <v>2</v>
      </c>
      <c r="M383" s="1166">
        <v>2</v>
      </c>
      <c r="N383" s="1166">
        <v>2</v>
      </c>
      <c r="O383" s="1167">
        <v>3</v>
      </c>
      <c r="P383" s="1167">
        <v>2</v>
      </c>
      <c r="Q383" s="1167">
        <v>3</v>
      </c>
      <c r="R383" s="1167">
        <v>2</v>
      </c>
      <c r="S383" s="1167">
        <v>3</v>
      </c>
      <c r="T383" s="1167">
        <v>2</v>
      </c>
      <c r="U383" s="1167">
        <v>2</v>
      </c>
      <c r="V383" s="1167">
        <v>3</v>
      </c>
      <c r="W383" s="1167">
        <v>2</v>
      </c>
      <c r="X383" s="1167">
        <v>2</v>
      </c>
      <c r="Y383" s="1167">
        <v>2</v>
      </c>
      <c r="Z383" s="1167">
        <v>2</v>
      </c>
      <c r="AA383" s="1167">
        <v>2</v>
      </c>
      <c r="AB383" s="1167">
        <v>3</v>
      </c>
      <c r="AC383" s="1167">
        <v>2</v>
      </c>
      <c r="AD383" s="1166">
        <v>2</v>
      </c>
      <c r="AE383" s="1166">
        <v>3</v>
      </c>
      <c r="AF383" s="1166">
        <v>2</v>
      </c>
      <c r="AG383" s="1166">
        <v>3</v>
      </c>
      <c r="AH383" s="1166">
        <v>2</v>
      </c>
      <c r="AI383" s="1166">
        <v>2</v>
      </c>
      <c r="AJ383" s="1166">
        <v>2</v>
      </c>
      <c r="AK383" s="1166">
        <v>2</v>
      </c>
      <c r="AL383" s="1166">
        <v>2</v>
      </c>
      <c r="AM383" s="1166">
        <v>2</v>
      </c>
      <c r="AN383" s="1166">
        <v>2</v>
      </c>
      <c r="AO383" s="1166">
        <v>2</v>
      </c>
      <c r="AP383" s="1166">
        <v>2</v>
      </c>
      <c r="AQ383" s="1166">
        <v>3</v>
      </c>
      <c r="AR383" s="1166">
        <v>2</v>
      </c>
      <c r="AS383" s="1166">
        <v>2</v>
      </c>
      <c r="AT383" s="1166">
        <v>2</v>
      </c>
      <c r="AU383" s="1166">
        <v>2</v>
      </c>
      <c r="AV383" s="1166">
        <v>2</v>
      </c>
      <c r="AW383" s="1166">
        <v>2</v>
      </c>
      <c r="AX383" s="1166">
        <v>3</v>
      </c>
      <c r="AY383" s="1166">
        <v>3</v>
      </c>
      <c r="AZ383" s="1166">
        <v>2</v>
      </c>
      <c r="BA383" s="1166">
        <v>2</v>
      </c>
      <c r="BB383" s="1166">
        <v>2</v>
      </c>
      <c r="BC383" s="1166">
        <v>2</v>
      </c>
      <c r="BD383" s="1166">
        <v>2</v>
      </c>
      <c r="BE383" s="1166">
        <v>2</v>
      </c>
      <c r="BF383" s="1166">
        <v>3</v>
      </c>
      <c r="BG383" s="1166">
        <v>2</v>
      </c>
      <c r="BH383" s="1166">
        <v>3</v>
      </c>
      <c r="BI383" s="1166">
        <v>2</v>
      </c>
      <c r="BJ383" s="1166">
        <v>2</v>
      </c>
      <c r="BK383" s="1120"/>
      <c r="BL383" s="1120"/>
    </row>
    <row r="384" spans="1:64" x14ac:dyDescent="0.3">
      <c r="A384" s="1152">
        <v>961</v>
      </c>
      <c r="B384" s="1152"/>
      <c r="C384" s="1152" t="s">
        <v>1423</v>
      </c>
      <c r="D384" s="1152" t="s">
        <v>629</v>
      </c>
      <c r="E384" s="1152"/>
      <c r="F384" s="1163">
        <v>2</v>
      </c>
      <c r="G384" s="1164">
        <v>2</v>
      </c>
      <c r="H384" s="1164">
        <v>2</v>
      </c>
      <c r="I384" s="1164">
        <v>2</v>
      </c>
      <c r="J384" s="1164">
        <v>2</v>
      </c>
      <c r="K384" s="1164">
        <v>2</v>
      </c>
      <c r="L384" s="1165">
        <v>2</v>
      </c>
      <c r="M384" s="1166">
        <v>2</v>
      </c>
      <c r="N384" s="1166">
        <v>2</v>
      </c>
      <c r="O384" s="1167">
        <v>3</v>
      </c>
      <c r="P384" s="1167">
        <v>2</v>
      </c>
      <c r="Q384" s="1167">
        <v>3</v>
      </c>
      <c r="R384" s="1167">
        <v>2</v>
      </c>
      <c r="S384" s="1167">
        <v>3</v>
      </c>
      <c r="T384" s="1167">
        <v>2</v>
      </c>
      <c r="U384" s="1167">
        <v>2</v>
      </c>
      <c r="V384" s="1167">
        <v>3</v>
      </c>
      <c r="W384" s="1167">
        <v>2</v>
      </c>
      <c r="X384" s="1167">
        <v>2</v>
      </c>
      <c r="Y384" s="1167">
        <v>2</v>
      </c>
      <c r="Z384" s="1167">
        <v>2</v>
      </c>
      <c r="AA384" s="1167">
        <v>3</v>
      </c>
      <c r="AB384" s="1167">
        <v>2</v>
      </c>
      <c r="AC384" s="1167">
        <v>2</v>
      </c>
      <c r="AD384" s="1166">
        <v>2</v>
      </c>
      <c r="AE384" s="1166">
        <v>3</v>
      </c>
      <c r="AF384" s="1166">
        <v>2</v>
      </c>
      <c r="AG384" s="1166">
        <v>3</v>
      </c>
      <c r="AH384" s="1166">
        <v>2</v>
      </c>
      <c r="AI384" s="1166">
        <v>2</v>
      </c>
      <c r="AJ384" s="1166">
        <v>2</v>
      </c>
      <c r="AK384" s="1166">
        <v>2</v>
      </c>
      <c r="AL384" s="1166">
        <v>2</v>
      </c>
      <c r="AM384" s="1166">
        <v>2</v>
      </c>
      <c r="AN384" s="1166">
        <v>2</v>
      </c>
      <c r="AO384" s="1166">
        <v>2</v>
      </c>
      <c r="AP384" s="1166">
        <v>2</v>
      </c>
      <c r="AQ384" s="1166">
        <v>3</v>
      </c>
      <c r="AR384" s="1166">
        <v>2</v>
      </c>
      <c r="AS384" s="1166">
        <v>2</v>
      </c>
      <c r="AT384" s="1166">
        <v>2</v>
      </c>
      <c r="AU384" s="1166">
        <v>2</v>
      </c>
      <c r="AV384" s="1166">
        <v>3</v>
      </c>
      <c r="AW384" s="1166">
        <v>2</v>
      </c>
      <c r="AX384" s="1166">
        <v>3</v>
      </c>
      <c r="AY384" s="1166">
        <v>3</v>
      </c>
      <c r="AZ384" s="1166">
        <v>2</v>
      </c>
      <c r="BA384" s="1166">
        <v>2</v>
      </c>
      <c r="BB384" s="1166">
        <v>2</v>
      </c>
      <c r="BC384" s="1166">
        <v>2</v>
      </c>
      <c r="BD384" s="1166">
        <v>2</v>
      </c>
      <c r="BE384" s="1166">
        <v>2</v>
      </c>
      <c r="BF384" s="1166">
        <v>3</v>
      </c>
      <c r="BG384" s="1166">
        <v>2</v>
      </c>
      <c r="BH384" s="1166">
        <v>3</v>
      </c>
      <c r="BI384" s="1166">
        <v>2</v>
      </c>
      <c r="BJ384" s="1166">
        <v>2</v>
      </c>
      <c r="BK384" s="1120"/>
      <c r="BL384" s="1120"/>
    </row>
    <row r="385" spans="1:80" x14ac:dyDescent="0.3">
      <c r="A385" s="1152">
        <v>963</v>
      </c>
      <c r="B385" s="1152"/>
      <c r="C385" s="1152" t="s">
        <v>1423</v>
      </c>
      <c r="D385" s="1152" t="s">
        <v>630</v>
      </c>
      <c r="E385" s="1152"/>
      <c r="F385" s="1163">
        <v>3</v>
      </c>
      <c r="G385" s="1164">
        <v>3</v>
      </c>
      <c r="H385" s="1164">
        <v>3</v>
      </c>
      <c r="I385" s="1164">
        <v>3</v>
      </c>
      <c r="J385" s="1164">
        <v>3</v>
      </c>
      <c r="K385" s="1164">
        <v>1</v>
      </c>
      <c r="L385" s="1165">
        <v>3</v>
      </c>
      <c r="M385" s="1166">
        <v>3</v>
      </c>
      <c r="N385" s="1166">
        <v>3</v>
      </c>
      <c r="O385" s="1167">
        <v>3</v>
      </c>
      <c r="P385" s="1167">
        <v>3</v>
      </c>
      <c r="Q385" s="1167">
        <v>3</v>
      </c>
      <c r="R385" s="1167">
        <v>3</v>
      </c>
      <c r="S385" s="1167">
        <v>3</v>
      </c>
      <c r="T385" s="1167">
        <v>3</v>
      </c>
      <c r="U385" s="1167">
        <v>3</v>
      </c>
      <c r="V385" s="1167">
        <v>3</v>
      </c>
      <c r="W385" s="1167">
        <v>3</v>
      </c>
      <c r="X385" s="1167">
        <v>3</v>
      </c>
      <c r="Y385" s="1167">
        <v>3</v>
      </c>
      <c r="Z385" s="1167">
        <v>3</v>
      </c>
      <c r="AA385" s="1167">
        <v>3</v>
      </c>
      <c r="AB385" s="1167">
        <v>3</v>
      </c>
      <c r="AC385" s="1167">
        <v>3</v>
      </c>
      <c r="AD385" s="1166">
        <v>3</v>
      </c>
      <c r="AE385" s="1166">
        <v>3</v>
      </c>
      <c r="AF385" s="1166">
        <v>3</v>
      </c>
      <c r="AG385" s="1166">
        <v>3</v>
      </c>
      <c r="AH385" s="1166">
        <v>3</v>
      </c>
      <c r="AI385" s="1166">
        <v>3</v>
      </c>
      <c r="AJ385" s="1166">
        <v>3</v>
      </c>
      <c r="AK385" s="1166">
        <v>3</v>
      </c>
      <c r="AL385" s="1166">
        <v>3</v>
      </c>
      <c r="AM385" s="1166">
        <v>3</v>
      </c>
      <c r="AN385" s="1166">
        <v>3</v>
      </c>
      <c r="AO385" s="1166">
        <v>3</v>
      </c>
      <c r="AP385" s="1166">
        <v>3</v>
      </c>
      <c r="AQ385" s="1166">
        <v>3</v>
      </c>
      <c r="AR385" s="1166">
        <v>3</v>
      </c>
      <c r="AS385" s="1166">
        <v>3</v>
      </c>
      <c r="AT385" s="1166">
        <v>3</v>
      </c>
      <c r="AU385" s="1166">
        <v>3</v>
      </c>
      <c r="AV385" s="1166">
        <v>3</v>
      </c>
      <c r="AW385" s="1166">
        <v>3</v>
      </c>
      <c r="AX385" s="1166">
        <v>3</v>
      </c>
      <c r="AY385" s="1166">
        <v>3</v>
      </c>
      <c r="AZ385" s="1166">
        <v>3</v>
      </c>
      <c r="BA385" s="1166">
        <v>3</v>
      </c>
      <c r="BB385" s="1166">
        <v>3</v>
      </c>
      <c r="BC385" s="1166">
        <v>3</v>
      </c>
      <c r="BD385" s="1166">
        <v>3</v>
      </c>
      <c r="BE385" s="1166">
        <v>3</v>
      </c>
      <c r="BF385" s="1166">
        <v>3</v>
      </c>
      <c r="BG385" s="1166">
        <v>3</v>
      </c>
      <c r="BH385" s="1166">
        <v>3</v>
      </c>
      <c r="BI385" s="1166">
        <v>3</v>
      </c>
      <c r="BJ385" s="1166">
        <v>3</v>
      </c>
      <c r="BK385" s="1120"/>
      <c r="BL385" s="1120"/>
    </row>
    <row r="386" spans="1:80" x14ac:dyDescent="0.3">
      <c r="A386" s="1152">
        <v>965</v>
      </c>
      <c r="B386" s="1152"/>
      <c r="C386" s="1152" t="s">
        <v>1423</v>
      </c>
      <c r="D386" s="1152" t="s">
        <v>631</v>
      </c>
      <c r="E386" s="1152"/>
      <c r="F386" s="1163">
        <v>1</v>
      </c>
      <c r="G386" s="1164">
        <v>1</v>
      </c>
      <c r="H386" s="1164">
        <v>1</v>
      </c>
      <c r="I386" s="1164">
        <v>1</v>
      </c>
      <c r="J386" s="1164">
        <v>1</v>
      </c>
      <c r="K386" s="1164">
        <v>1</v>
      </c>
      <c r="L386" s="1165">
        <v>1</v>
      </c>
      <c r="M386" s="1166">
        <v>1</v>
      </c>
      <c r="N386" s="1166">
        <v>1</v>
      </c>
      <c r="O386" s="1167">
        <v>1</v>
      </c>
      <c r="P386" s="1167">
        <v>1</v>
      </c>
      <c r="Q386" s="1167">
        <v>1</v>
      </c>
      <c r="R386" s="1167">
        <v>1</v>
      </c>
      <c r="S386" s="1167">
        <v>1</v>
      </c>
      <c r="T386" s="1167">
        <v>1</v>
      </c>
      <c r="U386" s="1167">
        <v>1</v>
      </c>
      <c r="V386" s="1167">
        <v>1</v>
      </c>
      <c r="W386" s="1167">
        <v>1</v>
      </c>
      <c r="X386" s="1167">
        <v>1</v>
      </c>
      <c r="Y386" s="1167">
        <v>1</v>
      </c>
      <c r="Z386" s="1167">
        <v>1</v>
      </c>
      <c r="AA386" s="1167">
        <v>1</v>
      </c>
      <c r="AB386" s="1167">
        <v>1</v>
      </c>
      <c r="AC386" s="1167">
        <v>1</v>
      </c>
      <c r="AD386" s="1166">
        <v>1</v>
      </c>
      <c r="AE386" s="1166">
        <v>1</v>
      </c>
      <c r="AF386" s="1166">
        <v>1</v>
      </c>
      <c r="AG386" s="1166">
        <v>1</v>
      </c>
      <c r="AH386" s="1166">
        <v>1</v>
      </c>
      <c r="AI386" s="1166">
        <v>1</v>
      </c>
      <c r="AJ386" s="1166">
        <v>1</v>
      </c>
      <c r="AK386" s="1166">
        <v>1</v>
      </c>
      <c r="AL386" s="1166">
        <v>1</v>
      </c>
      <c r="AM386" s="1166">
        <v>1</v>
      </c>
      <c r="AN386" s="1166">
        <v>1</v>
      </c>
      <c r="AO386" s="1166">
        <v>1</v>
      </c>
      <c r="AP386" s="1166">
        <v>1</v>
      </c>
      <c r="AQ386" s="1166">
        <v>1</v>
      </c>
      <c r="AR386" s="1166">
        <v>1</v>
      </c>
      <c r="AS386" s="1166">
        <v>1</v>
      </c>
      <c r="AT386" s="1166">
        <v>1</v>
      </c>
      <c r="AU386" s="1166">
        <v>1</v>
      </c>
      <c r="AV386" s="1166">
        <v>1</v>
      </c>
      <c r="AW386" s="1166">
        <v>1</v>
      </c>
      <c r="AX386" s="1166">
        <v>1</v>
      </c>
      <c r="AY386" s="1166">
        <v>1</v>
      </c>
      <c r="AZ386" s="1166">
        <v>1</v>
      </c>
      <c r="BA386" s="1166">
        <v>1</v>
      </c>
      <c r="BB386" s="1166">
        <v>1</v>
      </c>
      <c r="BC386" s="1166">
        <v>1</v>
      </c>
      <c r="BD386" s="1166">
        <v>1</v>
      </c>
      <c r="BE386" s="1166">
        <v>1</v>
      </c>
      <c r="BF386" s="1166">
        <v>1</v>
      </c>
      <c r="BG386" s="1166">
        <v>1</v>
      </c>
      <c r="BH386" s="1166">
        <v>1</v>
      </c>
      <c r="BI386" s="1166">
        <v>1</v>
      </c>
      <c r="BJ386" s="1166">
        <v>1</v>
      </c>
      <c r="BK386" s="1120"/>
      <c r="BL386" s="1120"/>
    </row>
    <row r="387" spans="1:80" x14ac:dyDescent="0.3">
      <c r="A387" s="1152">
        <v>603</v>
      </c>
      <c r="B387" s="1152"/>
      <c r="C387" s="1152" t="s">
        <v>1424</v>
      </c>
      <c r="D387" s="1152" t="s">
        <v>636</v>
      </c>
      <c r="E387" s="1152"/>
      <c r="F387" s="1163">
        <v>0</v>
      </c>
      <c r="G387" s="1164">
        <v>0</v>
      </c>
      <c r="H387" s="1164">
        <v>2</v>
      </c>
      <c r="I387" s="1164">
        <v>0</v>
      </c>
      <c r="J387" s="1164">
        <v>0</v>
      </c>
      <c r="K387" s="1164">
        <v>0</v>
      </c>
      <c r="L387" s="1165">
        <v>0</v>
      </c>
      <c r="M387" s="1166">
        <v>0</v>
      </c>
      <c r="N387" s="1166">
        <v>0</v>
      </c>
      <c r="O387" s="1167">
        <v>0</v>
      </c>
      <c r="P387" s="1167">
        <v>0</v>
      </c>
      <c r="Q387" s="1167">
        <v>0</v>
      </c>
      <c r="R387" s="1167">
        <v>0</v>
      </c>
      <c r="S387" s="1167">
        <v>0</v>
      </c>
      <c r="T387" s="1167">
        <v>0</v>
      </c>
      <c r="U387" s="1167">
        <v>0</v>
      </c>
      <c r="V387" s="1167">
        <v>2</v>
      </c>
      <c r="W387" s="1167">
        <v>0</v>
      </c>
      <c r="X387" s="1167">
        <v>0</v>
      </c>
      <c r="Y387" s="1167">
        <v>0</v>
      </c>
      <c r="Z387" s="1167">
        <v>0</v>
      </c>
      <c r="AA387" s="1167">
        <v>0</v>
      </c>
      <c r="AB387" s="1167">
        <v>0</v>
      </c>
      <c r="AC387" s="1167">
        <v>0</v>
      </c>
      <c r="AD387" s="1166">
        <v>0</v>
      </c>
      <c r="AE387" s="1166">
        <v>0</v>
      </c>
      <c r="AF387" s="1166">
        <v>0</v>
      </c>
      <c r="AG387" s="1166">
        <v>0</v>
      </c>
      <c r="AH387" s="1166">
        <v>0</v>
      </c>
      <c r="AI387" s="1166">
        <v>0</v>
      </c>
      <c r="AJ387" s="1166">
        <v>1</v>
      </c>
      <c r="AK387" s="1166">
        <v>0</v>
      </c>
      <c r="AL387" s="1166">
        <v>0</v>
      </c>
      <c r="AM387" s="1166">
        <v>0</v>
      </c>
      <c r="AN387" s="1166">
        <v>0</v>
      </c>
      <c r="AO387" s="1166">
        <v>7</v>
      </c>
      <c r="AP387" s="1166">
        <v>0</v>
      </c>
      <c r="AQ387" s="1166">
        <v>0</v>
      </c>
      <c r="AR387" s="1166">
        <v>0</v>
      </c>
      <c r="AS387" s="1166">
        <v>0</v>
      </c>
      <c r="AT387" s="1166">
        <v>7</v>
      </c>
      <c r="AU387" s="1166">
        <v>0</v>
      </c>
      <c r="AV387" s="1166">
        <v>0</v>
      </c>
      <c r="AW387" s="1166">
        <v>0</v>
      </c>
      <c r="AX387" s="1166">
        <v>7</v>
      </c>
      <c r="AY387" s="1166">
        <v>0</v>
      </c>
      <c r="AZ387" s="1166">
        <v>4</v>
      </c>
      <c r="BA387" s="1166">
        <v>7</v>
      </c>
      <c r="BB387" s="1166">
        <v>0</v>
      </c>
      <c r="BC387" s="1166">
        <v>7</v>
      </c>
      <c r="BD387" s="1166">
        <v>0</v>
      </c>
      <c r="BE387" s="1166">
        <v>0</v>
      </c>
      <c r="BF387" s="1166">
        <v>0</v>
      </c>
      <c r="BG387" s="1166">
        <v>0</v>
      </c>
      <c r="BH387" s="1166">
        <v>7</v>
      </c>
      <c r="BI387" s="1166">
        <v>0</v>
      </c>
      <c r="BJ387" s="1166">
        <v>0</v>
      </c>
      <c r="BK387" s="1120"/>
      <c r="BL387" s="1120"/>
    </row>
    <row r="388" spans="1:80" x14ac:dyDescent="0.3">
      <c r="A388" s="1152">
        <v>929</v>
      </c>
      <c r="B388" s="1152"/>
      <c r="C388" s="1152" t="s">
        <v>1424</v>
      </c>
      <c r="D388" s="1152" t="s">
        <v>632</v>
      </c>
      <c r="E388" s="1152"/>
      <c r="F388" s="1163">
        <v>0</v>
      </c>
      <c r="G388" s="1164">
        <v>0</v>
      </c>
      <c r="H388" s="1164">
        <v>2</v>
      </c>
      <c r="I388" s="1164">
        <v>0</v>
      </c>
      <c r="J388" s="1164">
        <v>0</v>
      </c>
      <c r="K388" s="1164">
        <v>0</v>
      </c>
      <c r="L388" s="1165">
        <v>0</v>
      </c>
      <c r="M388" s="1166">
        <v>0</v>
      </c>
      <c r="N388" s="1166">
        <v>0</v>
      </c>
      <c r="O388" s="1167">
        <v>0</v>
      </c>
      <c r="P388" s="1167">
        <v>0</v>
      </c>
      <c r="Q388" s="1167">
        <v>0</v>
      </c>
      <c r="R388" s="1167">
        <v>0</v>
      </c>
      <c r="S388" s="1167">
        <v>0</v>
      </c>
      <c r="T388" s="1167">
        <v>0</v>
      </c>
      <c r="U388" s="1167">
        <v>0</v>
      </c>
      <c r="V388" s="1167">
        <v>2</v>
      </c>
      <c r="W388" s="1167">
        <v>0</v>
      </c>
      <c r="X388" s="1167">
        <v>2</v>
      </c>
      <c r="Y388" s="1167">
        <v>0</v>
      </c>
      <c r="Z388" s="1167">
        <v>0</v>
      </c>
      <c r="AA388" s="1167">
        <v>0</v>
      </c>
      <c r="AB388" s="1167">
        <v>0</v>
      </c>
      <c r="AC388" s="1167">
        <v>0</v>
      </c>
      <c r="AD388" s="1166">
        <v>0</v>
      </c>
      <c r="AE388" s="1166">
        <v>0</v>
      </c>
      <c r="AF388" s="1166">
        <v>0</v>
      </c>
      <c r="AG388" s="1166">
        <v>0</v>
      </c>
      <c r="AH388" s="1166">
        <v>0</v>
      </c>
      <c r="AI388" s="1166">
        <v>0</v>
      </c>
      <c r="AJ388" s="1166">
        <v>0</v>
      </c>
      <c r="AK388" s="1166">
        <v>0</v>
      </c>
      <c r="AL388" s="1166">
        <v>0</v>
      </c>
      <c r="AM388" s="1166">
        <v>0</v>
      </c>
      <c r="AN388" s="1166">
        <v>0</v>
      </c>
      <c r="AO388" s="1166">
        <v>2</v>
      </c>
      <c r="AP388" s="1166">
        <v>0</v>
      </c>
      <c r="AQ388" s="1166">
        <v>0</v>
      </c>
      <c r="AR388" s="1166">
        <v>0</v>
      </c>
      <c r="AS388" s="1166">
        <v>0</v>
      </c>
      <c r="AT388" s="1166">
        <v>2</v>
      </c>
      <c r="AU388" s="1166">
        <v>0</v>
      </c>
      <c r="AV388" s="1166">
        <v>0</v>
      </c>
      <c r="AW388" s="1166">
        <v>0</v>
      </c>
      <c r="AX388" s="1166">
        <v>2</v>
      </c>
      <c r="AY388" s="1166">
        <v>0</v>
      </c>
      <c r="AZ388" s="1166">
        <v>1</v>
      </c>
      <c r="BA388" s="1166">
        <v>2</v>
      </c>
      <c r="BB388" s="1166">
        <v>0</v>
      </c>
      <c r="BC388" s="1166">
        <v>2</v>
      </c>
      <c r="BD388" s="1166">
        <v>0</v>
      </c>
      <c r="BE388" s="1166">
        <v>0</v>
      </c>
      <c r="BF388" s="1166">
        <v>0</v>
      </c>
      <c r="BG388" s="1166">
        <v>0</v>
      </c>
      <c r="BH388" s="1166">
        <v>2</v>
      </c>
      <c r="BI388" s="1166">
        <v>0</v>
      </c>
      <c r="BJ388" s="1166">
        <v>0</v>
      </c>
      <c r="BK388" s="1120"/>
      <c r="BL388" s="1120"/>
    </row>
    <row r="389" spans="1:80" x14ac:dyDescent="0.3">
      <c r="A389" s="1152">
        <v>930</v>
      </c>
      <c r="B389" s="1152"/>
      <c r="C389" s="1152" t="s">
        <v>1424</v>
      </c>
      <c r="D389" s="1152" t="s">
        <v>633</v>
      </c>
      <c r="E389" s="1152"/>
      <c r="F389" s="1163">
        <v>0</v>
      </c>
      <c r="G389" s="1164">
        <v>0</v>
      </c>
      <c r="H389" s="1164">
        <v>2</v>
      </c>
      <c r="I389" s="1164">
        <v>0</v>
      </c>
      <c r="J389" s="1164">
        <v>0</v>
      </c>
      <c r="K389" s="1164">
        <v>0</v>
      </c>
      <c r="L389" s="1165">
        <v>0</v>
      </c>
      <c r="M389" s="1166">
        <v>0</v>
      </c>
      <c r="N389" s="1166">
        <v>0</v>
      </c>
      <c r="O389" s="1167">
        <v>0</v>
      </c>
      <c r="P389" s="1167">
        <v>0</v>
      </c>
      <c r="Q389" s="1167">
        <v>0</v>
      </c>
      <c r="R389" s="1167">
        <v>0</v>
      </c>
      <c r="S389" s="1167">
        <v>0</v>
      </c>
      <c r="T389" s="1167">
        <v>0</v>
      </c>
      <c r="U389" s="1167">
        <v>0</v>
      </c>
      <c r="V389" s="1167">
        <v>2</v>
      </c>
      <c r="W389" s="1167">
        <v>0</v>
      </c>
      <c r="X389" s="1167">
        <v>2</v>
      </c>
      <c r="Y389" s="1167">
        <v>0</v>
      </c>
      <c r="Z389" s="1167">
        <v>0</v>
      </c>
      <c r="AA389" s="1167">
        <v>0</v>
      </c>
      <c r="AB389" s="1167">
        <v>0</v>
      </c>
      <c r="AC389" s="1167">
        <v>0</v>
      </c>
      <c r="AD389" s="1166">
        <v>0</v>
      </c>
      <c r="AE389" s="1166">
        <v>0</v>
      </c>
      <c r="AF389" s="1166">
        <v>0</v>
      </c>
      <c r="AG389" s="1166">
        <v>0</v>
      </c>
      <c r="AH389" s="1166">
        <v>0</v>
      </c>
      <c r="AI389" s="1166">
        <v>0</v>
      </c>
      <c r="AJ389" s="1166">
        <v>0</v>
      </c>
      <c r="AK389" s="1166">
        <v>0</v>
      </c>
      <c r="AL389" s="1166">
        <v>0</v>
      </c>
      <c r="AM389" s="1166">
        <v>0</v>
      </c>
      <c r="AN389" s="1166">
        <v>0</v>
      </c>
      <c r="AO389" s="1166">
        <v>2</v>
      </c>
      <c r="AP389" s="1166">
        <v>0</v>
      </c>
      <c r="AQ389" s="1166">
        <v>0</v>
      </c>
      <c r="AR389" s="1166">
        <v>0</v>
      </c>
      <c r="AS389" s="1166">
        <v>0</v>
      </c>
      <c r="AT389" s="1166">
        <v>2</v>
      </c>
      <c r="AU389" s="1166">
        <v>0</v>
      </c>
      <c r="AV389" s="1166">
        <v>0</v>
      </c>
      <c r="AW389" s="1166">
        <v>0</v>
      </c>
      <c r="AX389" s="1166">
        <v>2</v>
      </c>
      <c r="AY389" s="1166">
        <v>0</v>
      </c>
      <c r="AZ389" s="1166">
        <v>2</v>
      </c>
      <c r="BA389" s="1166">
        <v>2</v>
      </c>
      <c r="BB389" s="1166">
        <v>0</v>
      </c>
      <c r="BC389" s="1166">
        <v>2</v>
      </c>
      <c r="BD389" s="1166">
        <v>0</v>
      </c>
      <c r="BE389" s="1166">
        <v>0</v>
      </c>
      <c r="BF389" s="1166">
        <v>0</v>
      </c>
      <c r="BG389" s="1166">
        <v>0</v>
      </c>
      <c r="BH389" s="1166">
        <v>2</v>
      </c>
      <c r="BI389" s="1166">
        <v>0</v>
      </c>
      <c r="BJ389" s="1166">
        <v>0</v>
      </c>
      <c r="BK389" s="1120"/>
      <c r="BL389" s="1120"/>
    </row>
    <row r="390" spans="1:80" x14ac:dyDescent="0.3">
      <c r="A390" s="1152">
        <v>931</v>
      </c>
      <c r="B390" s="1152"/>
      <c r="C390" s="1152" t="s">
        <v>1424</v>
      </c>
      <c r="D390" s="1152" t="s">
        <v>634</v>
      </c>
      <c r="E390" s="1152"/>
      <c r="F390" s="1163">
        <v>0</v>
      </c>
      <c r="G390" s="1164">
        <v>0</v>
      </c>
      <c r="H390" s="1164">
        <v>2</v>
      </c>
      <c r="I390" s="1164">
        <v>0</v>
      </c>
      <c r="J390" s="1164">
        <v>0</v>
      </c>
      <c r="K390" s="1164">
        <v>0</v>
      </c>
      <c r="L390" s="1165">
        <v>0</v>
      </c>
      <c r="M390" s="1166">
        <v>0</v>
      </c>
      <c r="N390" s="1166">
        <v>0</v>
      </c>
      <c r="O390" s="1167">
        <v>0</v>
      </c>
      <c r="P390" s="1167">
        <v>0</v>
      </c>
      <c r="Q390" s="1167">
        <v>0</v>
      </c>
      <c r="R390" s="1167">
        <v>0</v>
      </c>
      <c r="S390" s="1167">
        <v>0</v>
      </c>
      <c r="T390" s="1167">
        <v>0</v>
      </c>
      <c r="U390" s="1167">
        <v>0</v>
      </c>
      <c r="V390" s="1167">
        <v>2</v>
      </c>
      <c r="W390" s="1167">
        <v>0</v>
      </c>
      <c r="X390" s="1167">
        <v>1</v>
      </c>
      <c r="Y390" s="1167">
        <v>0</v>
      </c>
      <c r="Z390" s="1167">
        <v>0</v>
      </c>
      <c r="AA390" s="1167">
        <v>0</v>
      </c>
      <c r="AB390" s="1167">
        <v>0</v>
      </c>
      <c r="AC390" s="1167">
        <v>0</v>
      </c>
      <c r="AD390" s="1166">
        <v>0</v>
      </c>
      <c r="AE390" s="1166">
        <v>0</v>
      </c>
      <c r="AF390" s="1166">
        <v>0</v>
      </c>
      <c r="AG390" s="1166">
        <v>0</v>
      </c>
      <c r="AH390" s="1166">
        <v>0</v>
      </c>
      <c r="AI390" s="1166">
        <v>0</v>
      </c>
      <c r="AJ390" s="1166">
        <v>1</v>
      </c>
      <c r="AK390" s="1166">
        <v>0</v>
      </c>
      <c r="AL390" s="1166">
        <v>0</v>
      </c>
      <c r="AM390" s="1166">
        <v>0</v>
      </c>
      <c r="AN390" s="1166">
        <v>0</v>
      </c>
      <c r="AO390" s="1166">
        <v>1</v>
      </c>
      <c r="AP390" s="1166">
        <v>0</v>
      </c>
      <c r="AQ390" s="1166">
        <v>0</v>
      </c>
      <c r="AR390" s="1166">
        <v>0</v>
      </c>
      <c r="AS390" s="1166">
        <v>0</v>
      </c>
      <c r="AT390" s="1166">
        <v>1</v>
      </c>
      <c r="AU390" s="1166">
        <v>0</v>
      </c>
      <c r="AV390" s="1166">
        <v>0</v>
      </c>
      <c r="AW390" s="1166">
        <v>0</v>
      </c>
      <c r="AX390" s="1166">
        <v>1</v>
      </c>
      <c r="AY390" s="1166">
        <v>0</v>
      </c>
      <c r="AZ390" s="1166">
        <v>1</v>
      </c>
      <c r="BA390" s="1166">
        <v>1</v>
      </c>
      <c r="BB390" s="1166">
        <v>0</v>
      </c>
      <c r="BC390" s="1166">
        <v>1</v>
      </c>
      <c r="BD390" s="1166">
        <v>0</v>
      </c>
      <c r="BE390" s="1166">
        <v>0</v>
      </c>
      <c r="BF390" s="1166">
        <v>0</v>
      </c>
      <c r="BG390" s="1166">
        <v>0</v>
      </c>
      <c r="BH390" s="1166">
        <v>1</v>
      </c>
      <c r="BI390" s="1166">
        <v>0</v>
      </c>
      <c r="BJ390" s="1166">
        <v>0</v>
      </c>
      <c r="BK390" s="1120"/>
      <c r="BL390" s="1120"/>
    </row>
    <row r="391" spans="1:80" x14ac:dyDescent="0.3">
      <c r="A391" s="1152">
        <v>932</v>
      </c>
      <c r="B391" s="1152"/>
      <c r="C391" s="1152" t="s">
        <v>1424</v>
      </c>
      <c r="D391" s="1152" t="s">
        <v>635</v>
      </c>
      <c r="E391" s="1152"/>
      <c r="F391" s="1163">
        <v>0</v>
      </c>
      <c r="G391" s="1164">
        <v>0</v>
      </c>
      <c r="H391" s="1164">
        <v>2</v>
      </c>
      <c r="I391" s="1164">
        <v>0</v>
      </c>
      <c r="J391" s="1164">
        <v>0</v>
      </c>
      <c r="K391" s="1164">
        <v>0</v>
      </c>
      <c r="L391" s="1165">
        <v>0</v>
      </c>
      <c r="M391" s="1166">
        <v>0</v>
      </c>
      <c r="N391" s="1166">
        <v>0</v>
      </c>
      <c r="O391" s="1167">
        <v>0</v>
      </c>
      <c r="P391" s="1167">
        <v>0</v>
      </c>
      <c r="Q391" s="1167">
        <v>0</v>
      </c>
      <c r="R391" s="1167">
        <v>0</v>
      </c>
      <c r="S391" s="1167">
        <v>0</v>
      </c>
      <c r="T391" s="1167">
        <v>0</v>
      </c>
      <c r="U391" s="1167">
        <v>0</v>
      </c>
      <c r="V391" s="1167">
        <v>2</v>
      </c>
      <c r="W391" s="1167">
        <v>0</v>
      </c>
      <c r="X391" s="1167">
        <v>2</v>
      </c>
      <c r="Y391" s="1167">
        <v>0</v>
      </c>
      <c r="Z391" s="1167">
        <v>0</v>
      </c>
      <c r="AA391" s="1167">
        <v>0</v>
      </c>
      <c r="AB391" s="1167">
        <v>0</v>
      </c>
      <c r="AC391" s="1167">
        <v>0</v>
      </c>
      <c r="AD391" s="1166">
        <v>0</v>
      </c>
      <c r="AE391" s="1166">
        <v>0</v>
      </c>
      <c r="AF391" s="1166">
        <v>0</v>
      </c>
      <c r="AG391" s="1166">
        <v>0</v>
      </c>
      <c r="AH391" s="1166">
        <v>0</v>
      </c>
      <c r="AI391" s="1166">
        <v>0</v>
      </c>
      <c r="AJ391" s="1166">
        <v>0</v>
      </c>
      <c r="AK391" s="1166">
        <v>0</v>
      </c>
      <c r="AL391" s="1166">
        <v>0</v>
      </c>
      <c r="AM391" s="1166">
        <v>0</v>
      </c>
      <c r="AN391" s="1166">
        <v>0</v>
      </c>
      <c r="AO391" s="1166">
        <v>2</v>
      </c>
      <c r="AP391" s="1166">
        <v>0</v>
      </c>
      <c r="AQ391" s="1166">
        <v>0</v>
      </c>
      <c r="AR391" s="1166">
        <v>0</v>
      </c>
      <c r="AS391" s="1166">
        <v>0</v>
      </c>
      <c r="AT391" s="1166">
        <v>2</v>
      </c>
      <c r="AU391" s="1166">
        <v>0</v>
      </c>
      <c r="AV391" s="1166">
        <v>0</v>
      </c>
      <c r="AW391" s="1166">
        <v>0</v>
      </c>
      <c r="AX391" s="1166">
        <v>2</v>
      </c>
      <c r="AY391" s="1166">
        <v>0</v>
      </c>
      <c r="AZ391" s="1166">
        <v>2</v>
      </c>
      <c r="BA391" s="1166">
        <v>2</v>
      </c>
      <c r="BB391" s="1166">
        <v>0</v>
      </c>
      <c r="BC391" s="1166">
        <v>2</v>
      </c>
      <c r="BD391" s="1166">
        <v>0</v>
      </c>
      <c r="BE391" s="1166">
        <v>0</v>
      </c>
      <c r="BF391" s="1166">
        <v>0</v>
      </c>
      <c r="BG391" s="1166">
        <v>0</v>
      </c>
      <c r="BH391" s="1166">
        <v>2</v>
      </c>
      <c r="BI391" s="1166">
        <v>0</v>
      </c>
      <c r="BJ391" s="1166">
        <v>0</v>
      </c>
      <c r="BK391" s="1120"/>
      <c r="BL391" s="1120"/>
    </row>
    <row r="392" spans="1:80" x14ac:dyDescent="0.3">
      <c r="A392" s="1245"/>
      <c r="B392" s="1245"/>
      <c r="C392" s="1245"/>
      <c r="D392" s="1245"/>
      <c r="E392" s="1245"/>
      <c r="F392" s="1236">
        <v>78718827</v>
      </c>
      <c r="G392" s="1236">
        <v>143654173</v>
      </c>
      <c r="H392" s="1236">
        <v>141008876</v>
      </c>
      <c r="I392" s="1236">
        <v>48532251</v>
      </c>
      <c r="J392" s="1236">
        <v>155243997</v>
      </c>
      <c r="K392" s="1236">
        <v>69717776</v>
      </c>
      <c r="L392" s="1236">
        <v>41739913</v>
      </c>
      <c r="M392" s="1236">
        <v>58706352</v>
      </c>
      <c r="N392" s="1236">
        <v>108845385</v>
      </c>
      <c r="O392" s="1236">
        <v>36504797</v>
      </c>
      <c r="P392" s="1236">
        <v>65887614</v>
      </c>
      <c r="Q392" s="1236">
        <v>172761889</v>
      </c>
      <c r="R392" s="1236">
        <v>79762418</v>
      </c>
      <c r="S392" s="1236">
        <v>26920256</v>
      </c>
      <c r="T392" s="1236">
        <v>3982116</v>
      </c>
      <c r="U392" s="1236">
        <v>229676530</v>
      </c>
      <c r="V392" s="1236">
        <v>383782419</v>
      </c>
      <c r="W392" s="1236">
        <v>44218193</v>
      </c>
      <c r="X392" s="1236">
        <v>37102585</v>
      </c>
      <c r="Y392" s="1236">
        <v>382063018</v>
      </c>
      <c r="Z392" s="1236">
        <v>106344334</v>
      </c>
      <c r="AA392" s="1236">
        <v>27434913</v>
      </c>
      <c r="AB392" s="1236">
        <v>142705958</v>
      </c>
      <c r="AC392" s="1236">
        <v>31455260</v>
      </c>
      <c r="AD392" s="1236">
        <v>52911</v>
      </c>
      <c r="AE392" s="1236">
        <v>371382464</v>
      </c>
      <c r="AF392" s="1236">
        <v>38937017</v>
      </c>
      <c r="AG392" s="1236">
        <v>237884126</v>
      </c>
      <c r="AH392" s="1236">
        <v>120298277</v>
      </c>
      <c r="AI392" s="1236">
        <v>43118639</v>
      </c>
      <c r="AJ392" s="1236">
        <v>377436407</v>
      </c>
      <c r="AK392" s="1236">
        <v>183450799</v>
      </c>
      <c r="AL392" s="1236">
        <v>294499050</v>
      </c>
      <c r="AM392" s="1236">
        <v>127965282</v>
      </c>
      <c r="AN392" s="1236">
        <v>136396878</v>
      </c>
      <c r="AO392" s="1236">
        <v>106494057</v>
      </c>
      <c r="AP392" s="1236">
        <v>129527948</v>
      </c>
      <c r="AQ392" s="1236">
        <v>92652699</v>
      </c>
      <c r="AR392" s="1236">
        <v>121593573</v>
      </c>
      <c r="AS392" s="1236">
        <v>46524964</v>
      </c>
      <c r="AT392" s="1236">
        <v>48986697</v>
      </c>
      <c r="AU392" s="1236">
        <v>51462284</v>
      </c>
      <c r="AV392" s="1236">
        <v>16488932</v>
      </c>
      <c r="AW392" s="1236">
        <v>25140890</v>
      </c>
      <c r="AX392" s="1236">
        <v>104005778</v>
      </c>
      <c r="AY392" s="1236">
        <v>2221286471</v>
      </c>
      <c r="AZ392" s="1236">
        <v>39410682</v>
      </c>
      <c r="BA392" s="1236">
        <v>29878150</v>
      </c>
      <c r="BB392" s="1236">
        <v>69362140</v>
      </c>
      <c r="BC392" s="1236">
        <v>304081938</v>
      </c>
      <c r="BD392" s="1236">
        <v>18217555</v>
      </c>
      <c r="BE392" s="1236">
        <v>39599679</v>
      </c>
      <c r="BF392" s="1236">
        <v>143109728</v>
      </c>
      <c r="BG392" s="1236">
        <v>164902794</v>
      </c>
      <c r="BH392" s="1236">
        <v>773450682</v>
      </c>
      <c r="BI392" s="1236">
        <v>87017143</v>
      </c>
      <c r="BJ392" s="1236">
        <v>37858871</v>
      </c>
      <c r="BK392" s="1130"/>
      <c r="BL392" s="1130"/>
    </row>
    <row r="393" spans="1:80" x14ac:dyDescent="0.3">
      <c r="A393" s="1152"/>
      <c r="B393" s="1154"/>
      <c r="C393" s="1152"/>
      <c r="D393" s="1154"/>
      <c r="E393" s="1154"/>
      <c r="F393" s="1154"/>
      <c r="G393" s="1152"/>
      <c r="H393" s="1152"/>
      <c r="I393" s="1152"/>
      <c r="J393" s="1152"/>
      <c r="K393" s="1152"/>
      <c r="L393" s="1152"/>
      <c r="M393" s="1154"/>
      <c r="N393" s="1154"/>
      <c r="O393" s="1154"/>
      <c r="P393" s="1152"/>
      <c r="Q393" s="1152"/>
      <c r="R393" s="1152"/>
      <c r="S393" s="1152"/>
      <c r="T393" s="1152"/>
      <c r="U393" s="1152"/>
      <c r="V393" s="1152"/>
      <c r="W393" s="1152"/>
      <c r="X393" s="1152"/>
      <c r="Y393" s="1152"/>
      <c r="Z393" s="1152"/>
      <c r="AA393" s="1152"/>
      <c r="AB393" s="1152"/>
      <c r="AC393" s="1152"/>
      <c r="AD393" s="1152"/>
      <c r="AE393" s="1152"/>
      <c r="AF393" s="1152"/>
      <c r="AG393" s="1152"/>
      <c r="AH393" s="1152"/>
      <c r="AI393" s="1152"/>
      <c r="AJ393" s="1152"/>
      <c r="AK393" s="1152"/>
      <c r="AL393" s="1152"/>
      <c r="AM393" s="1152"/>
      <c r="AN393" s="1152"/>
      <c r="AO393" s="1152"/>
      <c r="AP393" s="1152"/>
      <c r="AQ393" s="1152"/>
      <c r="AR393" s="1152"/>
      <c r="AS393" s="1152"/>
      <c r="AT393" s="1152"/>
      <c r="AU393" s="1152"/>
      <c r="AV393" s="1152"/>
      <c r="AW393" s="1152"/>
      <c r="AX393" s="1152"/>
      <c r="AY393" s="1152"/>
      <c r="AZ393" s="1152"/>
      <c r="BA393" s="1152"/>
      <c r="BB393" s="1152"/>
      <c r="BC393" s="1152"/>
      <c r="BD393" s="1152"/>
      <c r="BE393" s="1152"/>
      <c r="BF393" s="1152"/>
      <c r="BG393" s="1152"/>
      <c r="BH393" s="1152"/>
      <c r="BI393" s="1152"/>
      <c r="BJ393" s="1152"/>
      <c r="BK393" s="1108"/>
      <c r="BL393" s="1108"/>
    </row>
    <row r="394" spans="1:80" x14ac:dyDescent="0.3">
      <c r="A394" s="1245"/>
      <c r="B394" s="1245"/>
      <c r="C394" s="1245"/>
      <c r="D394" s="1245" t="s">
        <v>1426</v>
      </c>
      <c r="E394" s="1245"/>
      <c r="F394" s="1246">
        <v>430109923</v>
      </c>
      <c r="G394" s="1246">
        <v>769357638</v>
      </c>
      <c r="H394" s="1246">
        <v>558165363</v>
      </c>
      <c r="I394" s="1246">
        <v>210365670</v>
      </c>
      <c r="J394" s="1246">
        <v>748246012</v>
      </c>
      <c r="K394" s="1246">
        <v>373787548</v>
      </c>
      <c r="L394" s="1246">
        <v>194350768</v>
      </c>
      <c r="M394" s="1246">
        <v>283759277.39999998</v>
      </c>
      <c r="N394" s="1246">
        <v>35080145380.400002</v>
      </c>
      <c r="O394" s="1246">
        <v>149462335</v>
      </c>
      <c r="P394" s="1246">
        <v>283170727</v>
      </c>
      <c r="Q394" s="1246">
        <v>1431249150</v>
      </c>
      <c r="R394" s="1246">
        <v>473296232</v>
      </c>
      <c r="S394" s="1246">
        <v>173638461</v>
      </c>
      <c r="T394" s="1246">
        <v>6921688</v>
      </c>
      <c r="U394" s="1246">
        <v>1029658851</v>
      </c>
      <c r="V394" s="1246">
        <v>2745520900</v>
      </c>
      <c r="W394" s="1246">
        <v>282555712</v>
      </c>
      <c r="X394" s="1246">
        <v>154980430</v>
      </c>
      <c r="Y394" s="1246">
        <v>2066301069</v>
      </c>
      <c r="Z394" s="1246">
        <v>770163376</v>
      </c>
      <c r="AA394" s="1246">
        <v>123027196.40000001</v>
      </c>
      <c r="AB394" s="1246">
        <v>849649440</v>
      </c>
      <c r="AC394" s="1246">
        <v>139323760</v>
      </c>
      <c r="AD394" s="1246">
        <v>296474618</v>
      </c>
      <c r="AE394" s="1246">
        <v>1625060193</v>
      </c>
      <c r="AF394" s="1246">
        <v>165785740</v>
      </c>
      <c r="AG394" s="1246">
        <v>1286017036.4000001</v>
      </c>
      <c r="AH394" s="1246">
        <v>464138392</v>
      </c>
      <c r="AI394" s="1246">
        <v>186597199</v>
      </c>
      <c r="AJ394" s="1246">
        <v>1517714291</v>
      </c>
      <c r="AK394" s="1246">
        <v>805573911</v>
      </c>
      <c r="AL394" s="1246">
        <v>1279574152</v>
      </c>
      <c r="AM394" s="1246">
        <v>632111355</v>
      </c>
      <c r="AN394" s="1246">
        <v>604073508</v>
      </c>
      <c r="AO394" s="1246">
        <v>505225422</v>
      </c>
      <c r="AP394" s="1246">
        <v>496290420</v>
      </c>
      <c r="AQ394" s="1246">
        <v>521087102</v>
      </c>
      <c r="AR394" s="1246">
        <v>598534599</v>
      </c>
      <c r="AS394" s="1246">
        <v>34728825925.400002</v>
      </c>
      <c r="AT394" s="1246">
        <v>208191837</v>
      </c>
      <c r="AU394" s="1246">
        <v>303898734</v>
      </c>
      <c r="AV394" s="1246">
        <v>58158004</v>
      </c>
      <c r="AW394" s="1246">
        <v>3534391420</v>
      </c>
      <c r="AX394" s="1246">
        <v>417928264</v>
      </c>
      <c r="AY394" s="1246">
        <v>19638949316</v>
      </c>
      <c r="AZ394" s="1246">
        <v>147363436</v>
      </c>
      <c r="BA394" s="1246">
        <v>127083658</v>
      </c>
      <c r="BB394" s="1246">
        <v>342487908</v>
      </c>
      <c r="BC394" s="1246">
        <v>1012589017</v>
      </c>
      <c r="BD394" s="1246">
        <v>69312779</v>
      </c>
      <c r="BE394" s="1246">
        <v>143649268</v>
      </c>
      <c r="BF394" s="1246">
        <v>32398439388.299999</v>
      </c>
      <c r="BG394" s="1246">
        <v>736542860</v>
      </c>
      <c r="BH394" s="1246">
        <v>4887613740</v>
      </c>
      <c r="BI394" s="1246">
        <v>342985850</v>
      </c>
      <c r="BJ394" s="1246">
        <v>180901515</v>
      </c>
      <c r="BK394" s="1129"/>
      <c r="BL394" s="1129"/>
    </row>
    <row r="395" spans="1:80" x14ac:dyDescent="0.3">
      <c r="A395" s="1152"/>
      <c r="B395" s="1154"/>
      <c r="C395" s="1152"/>
      <c r="D395" s="1152"/>
      <c r="E395" s="1152"/>
      <c r="F395" s="1152"/>
      <c r="G395" s="1152"/>
      <c r="H395" s="1152"/>
      <c r="I395" s="1152"/>
      <c r="J395" s="1152"/>
      <c r="K395" s="1152"/>
      <c r="L395" s="1152"/>
      <c r="M395" s="1152"/>
      <c r="N395" s="1152"/>
      <c r="O395" s="1152"/>
      <c r="P395" s="1152"/>
      <c r="Q395" s="1152"/>
      <c r="R395" s="1152"/>
      <c r="S395" s="1152"/>
      <c r="T395" s="1152"/>
      <c r="U395" s="1152"/>
      <c r="V395" s="1152"/>
      <c r="W395" s="1152"/>
      <c r="X395" s="1152"/>
      <c r="Y395" s="1152"/>
      <c r="Z395" s="1152"/>
      <c r="AA395" s="1152"/>
      <c r="AB395" s="1152"/>
      <c r="AC395" s="1152"/>
      <c r="AD395" s="1152"/>
      <c r="AE395" s="1152"/>
      <c r="AF395" s="1152"/>
      <c r="AG395" s="1152"/>
      <c r="AH395" s="1152"/>
      <c r="AI395" s="1152"/>
      <c r="AJ395" s="1152"/>
      <c r="AK395" s="1152"/>
      <c r="AL395" s="1152"/>
      <c r="AM395" s="1152"/>
      <c r="AN395" s="1152"/>
      <c r="AO395" s="1152"/>
      <c r="AP395" s="1152"/>
      <c r="AQ395" s="1152"/>
      <c r="AR395" s="1152"/>
      <c r="AS395" s="1152"/>
      <c r="AT395" s="1152"/>
      <c r="AU395" s="1152"/>
      <c r="AV395" s="1152"/>
      <c r="AW395" s="1152"/>
      <c r="AX395" s="1152"/>
      <c r="AY395" s="1152"/>
      <c r="AZ395" s="1152"/>
      <c r="BA395" s="1152"/>
      <c r="BB395" s="1152"/>
      <c r="BC395" s="1152"/>
      <c r="BD395" s="1152"/>
      <c r="BE395" s="1152"/>
      <c r="BF395" s="1152"/>
      <c r="BG395" s="1152"/>
      <c r="BH395" s="1152"/>
      <c r="BI395" s="1152"/>
      <c r="BJ395" s="1152"/>
      <c r="BK395" s="1108"/>
      <c r="BL395" s="1108"/>
    </row>
    <row r="396" spans="1:80" x14ac:dyDescent="0.3">
      <c r="A396" s="1152"/>
      <c r="B396" s="1154"/>
      <c r="C396" s="1152"/>
      <c r="D396" s="1152"/>
      <c r="E396" s="1152"/>
      <c r="F396" s="1152"/>
      <c r="G396" s="1152"/>
      <c r="H396" s="1152"/>
      <c r="I396" s="1152"/>
      <c r="J396" s="1152"/>
      <c r="K396" s="1152"/>
      <c r="L396" s="1152"/>
      <c r="M396" s="1152"/>
      <c r="N396" s="1152"/>
      <c r="O396" s="1152"/>
      <c r="P396" s="1152"/>
      <c r="Q396" s="1152"/>
      <c r="R396" s="1152"/>
      <c r="S396" s="1152"/>
      <c r="T396" s="1152"/>
      <c r="U396" s="1152"/>
      <c r="V396" s="1152"/>
      <c r="W396" s="1152"/>
      <c r="X396" s="1152"/>
      <c r="Y396" s="1152"/>
      <c r="Z396" s="1152"/>
      <c r="AA396" s="1152"/>
      <c r="AB396" s="1152"/>
      <c r="AC396" s="1152"/>
      <c r="AD396" s="1152"/>
      <c r="AE396" s="1152"/>
      <c r="AF396" s="1152"/>
      <c r="AG396" s="1152"/>
      <c r="AH396" s="1152"/>
      <c r="AI396" s="1152"/>
      <c r="AJ396" s="1152"/>
      <c r="AK396" s="1152"/>
      <c r="AL396" s="1152"/>
      <c r="AM396" s="1152"/>
      <c r="AN396" s="1152"/>
      <c r="AO396" s="1152"/>
      <c r="AP396" s="1152"/>
      <c r="AQ396" s="1152"/>
      <c r="AR396" s="1152"/>
      <c r="AS396" s="1152"/>
      <c r="AT396" s="1152"/>
      <c r="AU396" s="1152"/>
      <c r="AV396" s="1152"/>
      <c r="AW396" s="1152"/>
      <c r="AX396" s="1152"/>
      <c r="AY396" s="1152"/>
      <c r="AZ396" s="1152"/>
      <c r="BA396" s="1152"/>
      <c r="BB396" s="1152"/>
      <c r="BC396" s="1152"/>
      <c r="BD396" s="1152"/>
      <c r="BE396" s="1152"/>
      <c r="BF396" s="1152"/>
      <c r="BG396" s="1152"/>
      <c r="BH396" s="1152"/>
      <c r="BI396" s="1152"/>
      <c r="BJ396" s="1152"/>
      <c r="BK396" s="1108"/>
      <c r="BL396" s="1108"/>
      <c r="BM396" s="400"/>
      <c r="BN396" s="400"/>
      <c r="BO396" s="400"/>
      <c r="BP396" s="400"/>
      <c r="BQ396" s="400"/>
      <c r="BR396" s="400"/>
      <c r="BS396" s="400"/>
      <c r="BT396" s="400"/>
      <c r="BU396" s="400"/>
      <c r="BV396" s="400"/>
      <c r="BW396" s="400"/>
      <c r="BX396" s="400"/>
      <c r="BY396" s="400"/>
      <c r="BZ396" s="400"/>
      <c r="CA396" s="400"/>
      <c r="CB396" s="400"/>
    </row>
    <row r="397" spans="1:80" x14ac:dyDescent="0.3">
      <c r="A397" s="1152"/>
      <c r="B397" s="1154"/>
      <c r="C397" s="1152"/>
      <c r="D397" s="1152"/>
      <c r="E397" s="1152"/>
      <c r="F397" s="1152"/>
      <c r="G397" s="1152"/>
      <c r="H397" s="1152"/>
      <c r="I397" s="1152"/>
      <c r="J397" s="1152"/>
      <c r="K397" s="1152"/>
      <c r="L397" s="1152"/>
      <c r="M397" s="1152"/>
      <c r="N397" s="1152"/>
      <c r="O397" s="1152"/>
      <c r="P397" s="1152"/>
      <c r="Q397" s="1152"/>
      <c r="R397" s="1152"/>
      <c r="S397" s="1152"/>
      <c r="T397" s="1152"/>
      <c r="U397" s="1152"/>
      <c r="V397" s="1152"/>
      <c r="W397" s="1152"/>
      <c r="X397" s="1152"/>
      <c r="Y397" s="1152"/>
      <c r="Z397" s="1152"/>
      <c r="AA397" s="1152"/>
      <c r="AB397" s="1152"/>
      <c r="AC397" s="1152"/>
      <c r="AD397" s="1152"/>
      <c r="AE397" s="1152"/>
      <c r="AF397" s="1152"/>
      <c r="AG397" s="1152"/>
      <c r="AH397" s="1152"/>
      <c r="AI397" s="1152"/>
      <c r="AJ397" s="1152"/>
      <c r="AK397" s="1152"/>
      <c r="AL397" s="1152"/>
      <c r="AM397" s="1152"/>
      <c r="AN397" s="1152"/>
      <c r="AO397" s="1152"/>
      <c r="AP397" s="1152"/>
      <c r="AQ397" s="1152"/>
      <c r="AR397" s="1152"/>
      <c r="AS397" s="1152"/>
      <c r="AT397" s="1152"/>
      <c r="AU397" s="1152"/>
      <c r="AV397" s="1152"/>
      <c r="AW397" s="1152"/>
      <c r="AX397" s="1152"/>
      <c r="AY397" s="1152"/>
      <c r="AZ397" s="1152"/>
      <c r="BA397" s="1152"/>
      <c r="BB397" s="1152"/>
      <c r="BC397" s="1152"/>
      <c r="BD397" s="1152"/>
      <c r="BE397" s="1152"/>
      <c r="BF397" s="1152"/>
      <c r="BG397" s="1152"/>
      <c r="BH397" s="1152"/>
      <c r="BI397" s="1152"/>
      <c r="BJ397" s="1152"/>
      <c r="BK397" s="1108"/>
      <c r="BL397" s="1108"/>
      <c r="BM397" s="400"/>
      <c r="BN397" s="400"/>
      <c r="BO397" s="400"/>
      <c r="BP397" s="400"/>
      <c r="BQ397" s="400"/>
      <c r="BR397" s="400"/>
      <c r="BS397" s="400"/>
      <c r="BT397" s="400"/>
      <c r="BU397" s="400"/>
      <c r="BV397" s="400"/>
      <c r="BW397" s="400"/>
      <c r="BX397" s="400"/>
      <c r="BY397" s="400"/>
      <c r="BZ397" s="400"/>
      <c r="CA397" s="400"/>
      <c r="CB397" s="400"/>
    </row>
    <row r="398" spans="1:80" x14ac:dyDescent="0.3">
      <c r="A398" s="1152"/>
      <c r="B398" s="1154"/>
      <c r="C398" s="1152"/>
      <c r="D398" s="1152"/>
      <c r="E398" s="1152"/>
      <c r="F398" s="1152"/>
      <c r="G398" s="1152"/>
      <c r="H398" s="1152"/>
      <c r="I398" s="1152"/>
      <c r="J398" s="1152"/>
      <c r="K398" s="1152"/>
      <c r="L398" s="1152"/>
      <c r="M398" s="1152"/>
      <c r="N398" s="1152"/>
      <c r="O398" s="1152"/>
      <c r="P398" s="1152"/>
      <c r="Q398" s="1152"/>
      <c r="R398" s="1152"/>
      <c r="S398" s="1152"/>
      <c r="T398" s="1152"/>
      <c r="U398" s="1152"/>
      <c r="V398" s="1152"/>
      <c r="W398" s="1152"/>
      <c r="X398" s="1152"/>
      <c r="Y398" s="1152"/>
      <c r="Z398" s="1152"/>
      <c r="AA398" s="1152"/>
      <c r="AB398" s="1152"/>
      <c r="AC398" s="1152"/>
      <c r="AD398" s="1152"/>
      <c r="AE398" s="1152"/>
      <c r="AF398" s="1152"/>
      <c r="AG398" s="1152"/>
      <c r="AH398" s="1152"/>
      <c r="AI398" s="1152"/>
      <c r="AJ398" s="1152"/>
      <c r="AK398" s="1152"/>
      <c r="AL398" s="1152"/>
      <c r="AM398" s="1152"/>
      <c r="AN398" s="1152"/>
      <c r="AO398" s="1152"/>
      <c r="AP398" s="1152"/>
      <c r="AQ398" s="1152"/>
      <c r="AR398" s="1152"/>
      <c r="AS398" s="1152"/>
      <c r="AT398" s="1152"/>
      <c r="AU398" s="1152"/>
      <c r="AV398" s="1152"/>
      <c r="AW398" s="1152"/>
      <c r="AX398" s="1152"/>
      <c r="AY398" s="1152"/>
      <c r="AZ398" s="1152"/>
      <c r="BA398" s="1152"/>
      <c r="BB398" s="1152"/>
      <c r="BC398" s="1152"/>
      <c r="BD398" s="1152"/>
      <c r="BE398" s="1152"/>
      <c r="BF398" s="1152"/>
      <c r="BG398" s="1152"/>
      <c r="BH398" s="1152"/>
      <c r="BI398" s="1152"/>
      <c r="BJ398" s="1152"/>
      <c r="BK398" s="1108"/>
      <c r="BL398" s="1108"/>
      <c r="BM398" s="400"/>
      <c r="BN398" s="400"/>
      <c r="BO398" s="400"/>
      <c r="BP398" s="400"/>
      <c r="BQ398" s="400"/>
      <c r="BR398" s="400"/>
      <c r="BS398" s="400"/>
      <c r="BT398" s="400"/>
      <c r="BU398" s="400"/>
      <c r="BV398" s="400"/>
      <c r="BW398" s="400"/>
      <c r="BX398" s="400"/>
      <c r="BY398" s="400"/>
      <c r="BZ398" s="400"/>
      <c r="CA398" s="400"/>
      <c r="CB398" s="400"/>
    </row>
    <row r="399" spans="1:80" x14ac:dyDescent="0.3">
      <c r="A399" s="1152"/>
      <c r="B399" s="1154"/>
      <c r="C399" s="1152"/>
      <c r="D399" s="1152"/>
      <c r="E399" s="1152"/>
      <c r="F399" s="1152"/>
      <c r="G399" s="1152"/>
      <c r="H399" s="1152"/>
      <c r="I399" s="1152"/>
      <c r="J399" s="1152"/>
      <c r="K399" s="1152"/>
      <c r="L399" s="1152"/>
      <c r="M399" s="1152"/>
      <c r="N399" s="1152"/>
      <c r="O399" s="1152"/>
      <c r="P399" s="1152"/>
      <c r="Q399" s="1152"/>
      <c r="R399" s="1152"/>
      <c r="S399" s="1152"/>
      <c r="T399" s="1152"/>
      <c r="U399" s="1152"/>
      <c r="V399" s="1152"/>
      <c r="W399" s="1152"/>
      <c r="X399" s="1152"/>
      <c r="Y399" s="1152"/>
      <c r="Z399" s="1152"/>
      <c r="AA399" s="1152"/>
      <c r="AB399" s="1152"/>
      <c r="AC399" s="1152"/>
      <c r="AD399" s="1152"/>
      <c r="AE399" s="1152"/>
      <c r="AF399" s="1152"/>
      <c r="AG399" s="1152"/>
      <c r="AH399" s="1152"/>
      <c r="AI399" s="1152"/>
      <c r="AJ399" s="1152"/>
      <c r="AK399" s="1152"/>
      <c r="AL399" s="1152"/>
      <c r="AM399" s="1152"/>
      <c r="AN399" s="1152"/>
      <c r="AO399" s="1152"/>
      <c r="AP399" s="1152"/>
      <c r="AQ399" s="1152"/>
      <c r="AR399" s="1152"/>
      <c r="AS399" s="1152"/>
      <c r="AT399" s="1152"/>
      <c r="AU399" s="1152"/>
      <c r="AV399" s="1152"/>
      <c r="AW399" s="1152"/>
      <c r="AX399" s="1152"/>
      <c r="AY399" s="1152"/>
      <c r="AZ399" s="1152"/>
      <c r="BA399" s="1152"/>
      <c r="BB399" s="1152"/>
      <c r="BC399" s="1152"/>
      <c r="BD399" s="1152"/>
      <c r="BE399" s="1152"/>
      <c r="BF399" s="1152"/>
      <c r="BG399" s="1152"/>
      <c r="BH399" s="1152"/>
      <c r="BI399" s="1152"/>
      <c r="BJ399" s="1152"/>
      <c r="BK399" s="1108"/>
      <c r="BL399" s="1108"/>
    </row>
    <row r="400" spans="1:80" x14ac:dyDescent="0.3">
      <c r="A400" s="1152"/>
      <c r="B400" s="1154" t="s">
        <v>1524</v>
      </c>
      <c r="C400" s="1152"/>
      <c r="D400" s="1152"/>
      <c r="E400" s="1152"/>
      <c r="F400" s="1152"/>
      <c r="G400" s="1152"/>
      <c r="H400" s="1152"/>
      <c r="I400" s="1152"/>
      <c r="J400" s="1152"/>
      <c r="K400" s="1152"/>
      <c r="L400" s="1152"/>
      <c r="M400" s="1152"/>
      <c r="N400" s="1152"/>
      <c r="O400" s="1152"/>
      <c r="P400" s="1152"/>
      <c r="Q400" s="1152"/>
      <c r="R400" s="1152"/>
      <c r="S400" s="1152"/>
      <c r="T400" s="1152"/>
      <c r="U400" s="1152"/>
      <c r="V400" s="1152"/>
      <c r="W400" s="1152"/>
      <c r="X400" s="1152"/>
      <c r="Y400" s="1152"/>
      <c r="Z400" s="1152"/>
      <c r="AA400" s="1152"/>
      <c r="AB400" s="1152"/>
      <c r="AC400" s="1152"/>
      <c r="AD400" s="1152"/>
      <c r="AE400" s="1152"/>
      <c r="AF400" s="1152"/>
      <c r="AG400" s="1152"/>
      <c r="AH400" s="1152"/>
      <c r="AI400" s="1152"/>
      <c r="AJ400" s="1152"/>
      <c r="AK400" s="1152"/>
      <c r="AL400" s="1152"/>
      <c r="AM400" s="1152"/>
      <c r="AN400" s="1152"/>
      <c r="AO400" s="1152"/>
      <c r="AP400" s="1152"/>
      <c r="AQ400" s="1152"/>
      <c r="AR400" s="1152"/>
      <c r="AS400" s="1152"/>
      <c r="AT400" s="1152"/>
      <c r="AU400" s="1152"/>
      <c r="AV400" s="1152"/>
      <c r="AW400" s="1152"/>
      <c r="AX400" s="1152"/>
      <c r="AY400" s="1152"/>
      <c r="AZ400" s="1152"/>
      <c r="BA400" s="1152"/>
      <c r="BB400" s="1152"/>
      <c r="BC400" s="1152"/>
      <c r="BD400" s="1152"/>
      <c r="BE400" s="1152"/>
      <c r="BF400" s="1152"/>
      <c r="BG400" s="1152"/>
      <c r="BH400" s="1152"/>
      <c r="BI400" s="1152"/>
      <c r="BJ400" s="1152"/>
      <c r="BK400" s="1108"/>
      <c r="BL400" s="1108"/>
    </row>
    <row r="401" spans="2:2" x14ac:dyDescent="0.3">
      <c r="B401" s="1222">
        <v>947</v>
      </c>
    </row>
    <row r="402" spans="2:2" x14ac:dyDescent="0.3">
      <c r="B402" s="1222">
        <v>948</v>
      </c>
    </row>
    <row r="403" spans="2:2" x14ac:dyDescent="0.3">
      <c r="B403" s="1222">
        <v>949</v>
      </c>
    </row>
    <row r="404" spans="2:2" x14ac:dyDescent="0.3">
      <c r="B404" s="1222">
        <v>950</v>
      </c>
    </row>
    <row r="405" spans="2:2" x14ac:dyDescent="0.3">
      <c r="B405" s="1222">
        <v>952</v>
      </c>
    </row>
    <row r="406" spans="2:2" x14ac:dyDescent="0.3">
      <c r="B406" s="1222">
        <v>954</v>
      </c>
    </row>
    <row r="407" spans="2:2" x14ac:dyDescent="0.3">
      <c r="B407" s="1222">
        <v>956</v>
      </c>
    </row>
    <row r="408" spans="2:2" x14ac:dyDescent="0.3">
      <c r="B408" s="1222">
        <v>958</v>
      </c>
    </row>
    <row r="409" spans="2:2" x14ac:dyDescent="0.3">
      <c r="B409" s="1222">
        <v>960</v>
      </c>
    </row>
    <row r="410" spans="2:2" x14ac:dyDescent="0.3">
      <c r="B410" s="1222">
        <v>962</v>
      </c>
    </row>
    <row r="411" spans="2:2" x14ac:dyDescent="0.3">
      <c r="B411" s="1222">
        <v>964</v>
      </c>
    </row>
    <row r="412" spans="2:2" x14ac:dyDescent="0.3">
      <c r="B412" s="1222">
        <v>966</v>
      </c>
    </row>
    <row r="413" spans="2:2" x14ac:dyDescent="0.3">
      <c r="B413" s="1222">
        <v>968</v>
      </c>
    </row>
    <row r="414" spans="2:2" x14ac:dyDescent="0.3">
      <c r="B414" s="1220"/>
    </row>
    <row r="415" spans="2:2" x14ac:dyDescent="0.3">
      <c r="B415" s="1220"/>
    </row>
    <row r="416" spans="2:2" x14ac:dyDescent="0.3">
      <c r="B416" s="1220"/>
    </row>
    <row r="417" spans="2:2" x14ac:dyDescent="0.3">
      <c r="B417" s="1220"/>
    </row>
    <row r="418" spans="2:2" x14ac:dyDescent="0.3">
      <c r="B418" s="1220"/>
    </row>
    <row r="419" spans="2:2" x14ac:dyDescent="0.3">
      <c r="B419" s="1220"/>
    </row>
    <row r="420" spans="2:2" x14ac:dyDescent="0.3">
      <c r="B420" s="1222"/>
    </row>
    <row r="421" spans="2:2" x14ac:dyDescent="0.3">
      <c r="B421" s="1152"/>
    </row>
    <row r="422" spans="2:2" x14ac:dyDescent="0.3">
      <c r="B422" s="1152"/>
    </row>
    <row r="423" spans="2:2" x14ac:dyDescent="0.3">
      <c r="B423" s="1152"/>
    </row>
    <row r="424" spans="2:2" x14ac:dyDescent="0.3">
      <c r="B424" s="1152"/>
    </row>
    <row r="425" spans="2:2" x14ac:dyDescent="0.3">
      <c r="B425" s="1152"/>
    </row>
    <row r="426" spans="2:2" x14ac:dyDescent="0.3">
      <c r="B426" s="1152"/>
    </row>
    <row r="427" spans="2:2" x14ac:dyDescent="0.3">
      <c r="B427" s="1152"/>
    </row>
    <row r="428" spans="2:2" x14ac:dyDescent="0.3">
      <c r="B428" s="1152"/>
    </row>
    <row r="429" spans="2:2" x14ac:dyDescent="0.3">
      <c r="B429" s="1152"/>
    </row>
    <row r="430" spans="2:2" x14ac:dyDescent="0.3">
      <c r="B430" s="1152"/>
    </row>
    <row r="431" spans="2:2" x14ac:dyDescent="0.3">
      <c r="B431" s="1152"/>
    </row>
    <row r="432" spans="2:2" x14ac:dyDescent="0.3">
      <c r="B432" s="1152"/>
    </row>
    <row r="433" spans="2:2" x14ac:dyDescent="0.3">
      <c r="B433" s="1117"/>
    </row>
    <row r="436" spans="2:2" x14ac:dyDescent="0.3">
      <c r="B436" s="1131"/>
    </row>
    <row r="449" spans="1:2" x14ac:dyDescent="0.3">
      <c r="B449" s="1154"/>
    </row>
    <row r="450" spans="1:2" x14ac:dyDescent="0.3">
      <c r="B450" s="1154"/>
    </row>
    <row r="451" spans="1:2" x14ac:dyDescent="0.3">
      <c r="B451" s="1154"/>
    </row>
    <row r="452" spans="1:2" x14ac:dyDescent="0.3">
      <c r="B452" s="1154"/>
    </row>
    <row r="453" spans="1:2" x14ac:dyDescent="0.3">
      <c r="B453" s="1154"/>
    </row>
    <row r="454" spans="1:2" x14ac:dyDescent="0.3">
      <c r="B454" s="1154"/>
    </row>
    <row r="455" spans="1:2" x14ac:dyDescent="0.3">
      <c r="B455" s="1154"/>
    </row>
    <row r="456" spans="1:2" x14ac:dyDescent="0.3">
      <c r="B456" s="1154"/>
    </row>
    <row r="457" spans="1:2" x14ac:dyDescent="0.3">
      <c r="B457" s="1154"/>
    </row>
    <row r="458" spans="1:2" x14ac:dyDescent="0.3">
      <c r="B458" s="1154"/>
    </row>
    <row r="459" spans="1:2" x14ac:dyDescent="0.3">
      <c r="B459" s="1154"/>
    </row>
    <row r="460" spans="1:2" x14ac:dyDescent="0.3">
      <c r="B460" s="1224"/>
    </row>
    <row r="461" spans="1:2" x14ac:dyDescent="0.3">
      <c r="B461" s="1154"/>
    </row>
    <row r="462" spans="1:2" x14ac:dyDescent="0.3">
      <c r="B462" s="1154"/>
    </row>
    <row r="463" spans="1:2" x14ac:dyDescent="0.3">
      <c r="A463" s="1121"/>
      <c r="B463" s="1154"/>
    </row>
    <row r="464" spans="1:2" x14ac:dyDescent="0.3">
      <c r="A464" s="1121"/>
      <c r="B464" s="1154"/>
    </row>
    <row r="465" spans="1:2" x14ac:dyDescent="0.3">
      <c r="A465" s="1121"/>
      <c r="B465" s="1154"/>
    </row>
    <row r="466" spans="1:2" x14ac:dyDescent="0.3">
      <c r="A466" s="1121"/>
      <c r="B466" s="1154"/>
    </row>
    <row r="467" spans="1:2" x14ac:dyDescent="0.3">
      <c r="A467" s="1121"/>
      <c r="B467" s="1221"/>
    </row>
    <row r="468" spans="1:2" x14ac:dyDescent="0.3">
      <c r="A468" s="1121"/>
      <c r="B468" s="1221"/>
    </row>
    <row r="469" spans="1:2" x14ac:dyDescent="0.3">
      <c r="A469" s="1121"/>
      <c r="B469" s="1221"/>
    </row>
    <row r="470" spans="1:2" x14ac:dyDescent="0.3">
      <c r="A470" s="1121"/>
      <c r="B470" s="1221"/>
    </row>
    <row r="471" spans="1:2" x14ac:dyDescent="0.3">
      <c r="A471" s="1121"/>
      <c r="B471" s="1221"/>
    </row>
    <row r="472" spans="1:2" x14ac:dyDescent="0.3">
      <c r="A472" s="1121"/>
      <c r="B472" s="1221"/>
    </row>
    <row r="473" spans="1:2" x14ac:dyDescent="0.3">
      <c r="A473" s="1121"/>
      <c r="B473" s="1221"/>
    </row>
    <row r="474" spans="1:2" x14ac:dyDescent="0.3">
      <c r="A474" s="1121"/>
      <c r="B474" s="1221"/>
    </row>
    <row r="475" spans="1:2" x14ac:dyDescent="0.3">
      <c r="A475" s="1121"/>
      <c r="B475" s="1221"/>
    </row>
    <row r="476" spans="1:2" x14ac:dyDescent="0.3">
      <c r="A476" s="1121"/>
      <c r="B476" s="1221"/>
    </row>
    <row r="477" spans="1:2" x14ac:dyDescent="0.3">
      <c r="A477" s="1121"/>
      <c r="B477" s="1221"/>
    </row>
    <row r="478" spans="1:2" x14ac:dyDescent="0.3">
      <c r="A478" s="1121"/>
      <c r="B478" s="1221"/>
    </row>
    <row r="479" spans="1:2" x14ac:dyDescent="0.3">
      <c r="A479" s="1121"/>
      <c r="B479" s="1221"/>
    </row>
    <row r="480" spans="1:2" x14ac:dyDescent="0.3">
      <c r="A480" s="1121"/>
      <c r="B480" s="1221"/>
    </row>
    <row r="481" spans="2:2" x14ac:dyDescent="0.3">
      <c r="B481" s="1221"/>
    </row>
    <row r="482" spans="2:2" x14ac:dyDescent="0.3">
      <c r="B482" s="1221"/>
    </row>
    <row r="483" spans="2:2" x14ac:dyDescent="0.3">
      <c r="B483" s="1221"/>
    </row>
    <row r="484" spans="2:2" x14ac:dyDescent="0.3">
      <c r="B484" s="1221"/>
    </row>
    <row r="485" spans="2:2" x14ac:dyDescent="0.3">
      <c r="B485" s="1221"/>
    </row>
    <row r="486" spans="2:2" x14ac:dyDescent="0.3">
      <c r="B486" s="1221"/>
    </row>
    <row r="487" spans="2:2" x14ac:dyDescent="0.3">
      <c r="B487" s="1221"/>
    </row>
    <row r="488" spans="2:2" x14ac:dyDescent="0.3">
      <c r="B488" s="1221"/>
    </row>
    <row r="489" spans="2:2" x14ac:dyDescent="0.3">
      <c r="B489" s="1221"/>
    </row>
    <row r="490" spans="2:2" x14ac:dyDescent="0.3">
      <c r="B490" s="1221"/>
    </row>
    <row r="491" spans="2:2" x14ac:dyDescent="0.3">
      <c r="B491" s="1221"/>
    </row>
    <row r="492" spans="2:2" x14ac:dyDescent="0.3">
      <c r="B492" s="1221"/>
    </row>
    <row r="493" spans="2:2" x14ac:dyDescent="0.3">
      <c r="B493" s="1221"/>
    </row>
    <row r="494" spans="2:2" x14ac:dyDescent="0.3">
      <c r="B494" s="1221"/>
    </row>
    <row r="495" spans="2:2" x14ac:dyDescent="0.3">
      <c r="B495" s="1221"/>
    </row>
    <row r="496" spans="2:2" x14ac:dyDescent="0.3">
      <c r="B496" s="1221"/>
    </row>
    <row r="497" spans="2:2" x14ac:dyDescent="0.3">
      <c r="B497" s="1221"/>
    </row>
    <row r="498" spans="2:2" x14ac:dyDescent="0.3">
      <c r="B498" s="1221"/>
    </row>
    <row r="499" spans="2:2" x14ac:dyDescent="0.3">
      <c r="B499" s="1221"/>
    </row>
    <row r="500" spans="2:2" x14ac:dyDescent="0.3">
      <c r="B500" s="1221"/>
    </row>
    <row r="501" spans="2:2" x14ac:dyDescent="0.3">
      <c r="B501" s="1221"/>
    </row>
    <row r="502" spans="2:2" x14ac:dyDescent="0.3">
      <c r="B502" s="1221"/>
    </row>
    <row r="503" spans="2:2" x14ac:dyDescent="0.3">
      <c r="B503" s="1221"/>
    </row>
    <row r="504" spans="2:2" x14ac:dyDescent="0.3">
      <c r="B504" s="1221"/>
    </row>
    <row r="505" spans="2:2" x14ac:dyDescent="0.3">
      <c r="B505" s="1221"/>
    </row>
    <row r="506" spans="2:2" x14ac:dyDescent="0.3">
      <c r="B506" s="1221"/>
    </row>
    <row r="507" spans="2:2" x14ac:dyDescent="0.3">
      <c r="B507" s="1221"/>
    </row>
    <row r="508" spans="2:2" x14ac:dyDescent="0.3">
      <c r="B508" s="1221"/>
    </row>
    <row r="509" spans="2:2" x14ac:dyDescent="0.3">
      <c r="B509" s="1221"/>
    </row>
    <row r="510" spans="2:2" x14ac:dyDescent="0.3">
      <c r="B510" s="1156"/>
    </row>
    <row r="511" spans="2:2" x14ac:dyDescent="0.3">
      <c r="B511" s="1156"/>
    </row>
    <row r="512" spans="2:2" x14ac:dyDescent="0.3">
      <c r="B512" s="1221"/>
    </row>
    <row r="513" spans="2:2" x14ac:dyDescent="0.3">
      <c r="B513" s="1221"/>
    </row>
    <row r="514" spans="2:2" x14ac:dyDescent="0.3">
      <c r="B514" s="1221"/>
    </row>
    <row r="515" spans="2:2" x14ac:dyDescent="0.3">
      <c r="B515" s="1221"/>
    </row>
    <row r="516" spans="2:2" x14ac:dyDescent="0.3">
      <c r="B516" s="1221"/>
    </row>
    <row r="517" spans="2:2" x14ac:dyDescent="0.3">
      <c r="B517" s="1221"/>
    </row>
    <row r="518" spans="2:2" x14ac:dyDescent="0.3">
      <c r="B518" s="1221"/>
    </row>
    <row r="519" spans="2:2" x14ac:dyDescent="0.3">
      <c r="B519" s="1221"/>
    </row>
    <row r="520" spans="2:2" x14ac:dyDescent="0.3">
      <c r="B520" s="1221"/>
    </row>
    <row r="521" spans="2:2" x14ac:dyDescent="0.3">
      <c r="B521" s="1221"/>
    </row>
    <row r="522" spans="2:2" x14ac:dyDescent="0.3">
      <c r="B522" s="1221"/>
    </row>
    <row r="523" spans="2:2" x14ac:dyDescent="0.3">
      <c r="B523" s="1221"/>
    </row>
    <row r="524" spans="2:2" x14ac:dyDescent="0.3">
      <c r="B524" s="1221"/>
    </row>
    <row r="525" spans="2:2" x14ac:dyDescent="0.3">
      <c r="B525" s="1221"/>
    </row>
    <row r="526" spans="2:2" x14ac:dyDescent="0.3">
      <c r="B526" s="1223"/>
    </row>
    <row r="527" spans="2:2" x14ac:dyDescent="0.3">
      <c r="B527" s="1223"/>
    </row>
    <row r="528" spans="2:2" x14ac:dyDescent="0.3">
      <c r="B528" s="1156"/>
    </row>
    <row r="529" spans="2:2" x14ac:dyDescent="0.3">
      <c r="B529" s="1154"/>
    </row>
    <row r="530" spans="2:2" x14ac:dyDescent="0.3">
      <c r="B530" s="1154"/>
    </row>
    <row r="531" spans="2:2" x14ac:dyDescent="0.3">
      <c r="B531" s="1154"/>
    </row>
    <row r="532" spans="2:2" x14ac:dyDescent="0.3">
      <c r="B532" s="1154"/>
    </row>
    <row r="533" spans="2:2" x14ac:dyDescent="0.3">
      <c r="B533" s="1154"/>
    </row>
    <row r="534" spans="2:2" x14ac:dyDescent="0.3">
      <c r="B534" s="1154"/>
    </row>
    <row r="535" spans="2:2" x14ac:dyDescent="0.3">
      <c r="B535" s="1154"/>
    </row>
    <row r="536" spans="2:2" x14ac:dyDescent="0.3">
      <c r="B536" s="1154"/>
    </row>
    <row r="537" spans="2:2" x14ac:dyDescent="0.3">
      <c r="B537" s="1154"/>
    </row>
    <row r="538" spans="2:2" x14ac:dyDescent="0.3">
      <c r="B538" s="1154"/>
    </row>
    <row r="539" spans="2:2" x14ac:dyDescent="0.3">
      <c r="B539" s="1154"/>
    </row>
    <row r="540" spans="2:2" x14ac:dyDescent="0.3">
      <c r="B540" s="1154"/>
    </row>
    <row r="541" spans="2:2" x14ac:dyDescent="0.3">
      <c r="B541" s="1154"/>
    </row>
    <row r="542" spans="2:2" x14ac:dyDescent="0.3">
      <c r="B542" s="1154"/>
    </row>
    <row r="543" spans="2:2" x14ac:dyDescent="0.3">
      <c r="B543" s="1154"/>
    </row>
    <row r="544" spans="2:2" x14ac:dyDescent="0.3">
      <c r="B544" s="1154"/>
    </row>
    <row r="545" spans="2:2" x14ac:dyDescent="0.3">
      <c r="B545" s="1154"/>
    </row>
    <row r="546" spans="2:2" x14ac:dyDescent="0.3">
      <c r="B546" s="1154"/>
    </row>
    <row r="547" spans="2:2" x14ac:dyDescent="0.3">
      <c r="B547" s="1154"/>
    </row>
    <row r="566" spans="2:2" x14ac:dyDescent="0.3">
      <c r="B566" s="1123"/>
    </row>
    <row r="567" spans="2:2" x14ac:dyDescent="0.3">
      <c r="B567" s="1123"/>
    </row>
    <row r="568" spans="2:2" x14ac:dyDescent="0.3">
      <c r="B568" s="1123"/>
    </row>
    <row r="569" spans="2:2" x14ac:dyDescent="0.3">
      <c r="B569" s="1123"/>
    </row>
    <row r="570" spans="2:2" x14ac:dyDescent="0.3">
      <c r="B570" s="1123"/>
    </row>
    <row r="571" spans="2:2" x14ac:dyDescent="0.3">
      <c r="B571" s="1123"/>
    </row>
    <row r="572" spans="2:2" x14ac:dyDescent="0.3">
      <c r="B572" s="1123"/>
    </row>
    <row r="573" spans="2:2" x14ac:dyDescent="0.3">
      <c r="B573" s="1123"/>
    </row>
    <row r="574" spans="2:2" x14ac:dyDescent="0.3">
      <c r="B574" s="1123"/>
    </row>
    <row r="575" spans="2:2" x14ac:dyDescent="0.3">
      <c r="B575" s="1123"/>
    </row>
    <row r="576" spans="2:2" x14ac:dyDescent="0.3">
      <c r="B576" s="1123"/>
    </row>
    <row r="577" spans="2:2" x14ac:dyDescent="0.3">
      <c r="B577" s="1123"/>
    </row>
    <row r="578" spans="2:2" x14ac:dyDescent="0.3">
      <c r="B578" s="1123"/>
    </row>
    <row r="579" spans="2:2" x14ac:dyDescent="0.3">
      <c r="B579" s="1123"/>
    </row>
    <row r="580" spans="2:2" x14ac:dyDescent="0.3">
      <c r="B580" s="1123"/>
    </row>
    <row r="581" spans="2:2" x14ac:dyDescent="0.3">
      <c r="B581" s="1123"/>
    </row>
    <row r="582" spans="2:2" x14ac:dyDescent="0.3">
      <c r="B582" s="1123"/>
    </row>
    <row r="583" spans="2:2" x14ac:dyDescent="0.3">
      <c r="B583" s="1123"/>
    </row>
    <row r="584" spans="2:2" x14ac:dyDescent="0.3">
      <c r="B584" s="1123"/>
    </row>
    <row r="585" spans="2:2" x14ac:dyDescent="0.3">
      <c r="B585" s="1123"/>
    </row>
    <row r="586" spans="2:2" x14ac:dyDescent="0.3">
      <c r="B586" s="1123"/>
    </row>
    <row r="587" spans="2:2" x14ac:dyDescent="0.3">
      <c r="B587" s="1123"/>
    </row>
    <row r="588" spans="2:2" x14ac:dyDescent="0.3">
      <c r="B588" s="1123"/>
    </row>
    <row r="589" spans="2:2" x14ac:dyDescent="0.3">
      <c r="B589" s="1123"/>
    </row>
    <row r="590" spans="2:2" x14ac:dyDescent="0.3">
      <c r="B590" s="1123"/>
    </row>
    <row r="591" spans="2:2" x14ac:dyDescent="0.3">
      <c r="B591" s="1123"/>
    </row>
    <row r="592" spans="2:2" x14ac:dyDescent="0.3">
      <c r="B592" s="1123"/>
    </row>
    <row r="593" spans="2:2" x14ac:dyDescent="0.3">
      <c r="B593" s="1123"/>
    </row>
    <row r="594" spans="2:2" x14ac:dyDescent="0.3">
      <c r="B594" s="1123"/>
    </row>
    <row r="595" spans="2:2" x14ac:dyDescent="0.3">
      <c r="B595" s="1123"/>
    </row>
    <row r="596" spans="2:2" x14ac:dyDescent="0.3">
      <c r="B596" s="1123"/>
    </row>
    <row r="597" spans="2:2" x14ac:dyDescent="0.3">
      <c r="B597" s="1123"/>
    </row>
    <row r="598" spans="2:2" x14ac:dyDescent="0.3">
      <c r="B598" s="1132"/>
    </row>
    <row r="599" spans="2:2" x14ac:dyDescent="0.3">
      <c r="B599" s="1132"/>
    </row>
    <row r="600" spans="2:2" x14ac:dyDescent="0.3">
      <c r="B600" s="1132"/>
    </row>
    <row r="601" spans="2:2" x14ac:dyDescent="0.3">
      <c r="B601" s="1132"/>
    </row>
    <row r="602" spans="2:2" x14ac:dyDescent="0.3">
      <c r="B602" s="1132"/>
    </row>
    <row r="603" spans="2:2" x14ac:dyDescent="0.3">
      <c r="B603" s="1132"/>
    </row>
    <row r="604" spans="2:2" x14ac:dyDescent="0.3">
      <c r="B604" s="1132"/>
    </row>
    <row r="605" spans="2:2" x14ac:dyDescent="0.3">
      <c r="B605" s="1132"/>
    </row>
    <row r="606" spans="2:2" x14ac:dyDescent="0.3">
      <c r="B606" s="1132"/>
    </row>
    <row r="607" spans="2:2" x14ac:dyDescent="0.3">
      <c r="B607" s="1132"/>
    </row>
    <row r="608" spans="2:2" x14ac:dyDescent="0.3">
      <c r="B608" s="1132"/>
    </row>
    <row r="609" spans="2:2" x14ac:dyDescent="0.3">
      <c r="B609" s="1132"/>
    </row>
    <row r="610" spans="2:2" x14ac:dyDescent="0.3">
      <c r="B610" s="1132"/>
    </row>
    <row r="611" spans="2:2" x14ac:dyDescent="0.3">
      <c r="B611" s="1132"/>
    </row>
    <row r="612" spans="2:2" x14ac:dyDescent="0.3">
      <c r="B612" s="1132"/>
    </row>
    <row r="613" spans="2:2" x14ac:dyDescent="0.3">
      <c r="B613" s="1117"/>
    </row>
    <row r="614" spans="2:2" x14ac:dyDescent="0.3">
      <c r="B614" s="1117"/>
    </row>
    <row r="642" spans="2:2" x14ac:dyDescent="0.3">
      <c r="B642" s="1117"/>
    </row>
    <row r="643" spans="2:2" x14ac:dyDescent="0.3">
      <c r="B643" s="1117"/>
    </row>
    <row r="644" spans="2:2" x14ac:dyDescent="0.3">
      <c r="B644" s="1117"/>
    </row>
    <row r="645" spans="2:2" x14ac:dyDescent="0.3">
      <c r="B645" s="1117"/>
    </row>
    <row r="646" spans="2:2" x14ac:dyDescent="0.3">
      <c r="B646" s="1117"/>
    </row>
    <row r="647" spans="2:2" x14ac:dyDescent="0.3">
      <c r="B647" s="1117"/>
    </row>
    <row r="648" spans="2:2" x14ac:dyDescent="0.3">
      <c r="B648" s="1117"/>
    </row>
    <row r="649" spans="2:2" x14ac:dyDescent="0.3">
      <c r="B649" s="1117"/>
    </row>
    <row r="650" spans="2:2" x14ac:dyDescent="0.3">
      <c r="B650" s="1117"/>
    </row>
    <row r="651" spans="2:2" x14ac:dyDescent="0.3">
      <c r="B651" s="1117"/>
    </row>
    <row r="652" spans="2:2" x14ac:dyDescent="0.3">
      <c r="B652" s="1117"/>
    </row>
    <row r="653" spans="2:2" x14ac:dyDescent="0.3">
      <c r="B653" s="1117"/>
    </row>
    <row r="654" spans="2:2" x14ac:dyDescent="0.3">
      <c r="B654" s="1117"/>
    </row>
    <row r="655" spans="2:2" x14ac:dyDescent="0.3">
      <c r="B655" s="1117"/>
    </row>
    <row r="656" spans="2:2" x14ac:dyDescent="0.3">
      <c r="B656" s="1117"/>
    </row>
    <row r="657" spans="2:2" x14ac:dyDescent="0.3">
      <c r="B657" s="1117"/>
    </row>
    <row r="658" spans="2:2" x14ac:dyDescent="0.3">
      <c r="B658" s="1117"/>
    </row>
    <row r="659" spans="2:2" x14ac:dyDescent="0.3">
      <c r="B659" s="1117"/>
    </row>
    <row r="660" spans="2:2" x14ac:dyDescent="0.3">
      <c r="B660" s="1117"/>
    </row>
    <row r="661" spans="2:2" x14ac:dyDescent="0.3">
      <c r="B661" s="1117"/>
    </row>
    <row r="662" spans="2:2" x14ac:dyDescent="0.3">
      <c r="B662" s="1117"/>
    </row>
    <row r="663" spans="2:2" x14ac:dyDescent="0.3">
      <c r="B663" s="1117"/>
    </row>
    <row r="664" spans="2:2" x14ac:dyDescent="0.3">
      <c r="B664" s="1117"/>
    </row>
    <row r="665" spans="2:2" x14ac:dyDescent="0.3">
      <c r="B665" s="1117"/>
    </row>
    <row r="666" spans="2:2" x14ac:dyDescent="0.3">
      <c r="B666" s="1117"/>
    </row>
    <row r="667" spans="2:2" x14ac:dyDescent="0.3">
      <c r="B667" s="1117"/>
    </row>
    <row r="668" spans="2:2" x14ac:dyDescent="0.3">
      <c r="B668" s="1117"/>
    </row>
    <row r="669" spans="2:2" x14ac:dyDescent="0.3">
      <c r="B669" s="1117"/>
    </row>
    <row r="670" spans="2:2" x14ac:dyDescent="0.3">
      <c r="B670" s="1117"/>
    </row>
    <row r="671" spans="2:2" x14ac:dyDescent="0.3">
      <c r="B671" s="1117"/>
    </row>
    <row r="672" spans="2:2" x14ac:dyDescent="0.3">
      <c r="B672" s="1117"/>
    </row>
    <row r="673" spans="2:2" x14ac:dyDescent="0.3">
      <c r="B673" s="1117"/>
    </row>
    <row r="674" spans="2:2" x14ac:dyDescent="0.3">
      <c r="B674" s="1117"/>
    </row>
    <row r="675" spans="2:2" x14ac:dyDescent="0.3">
      <c r="B675" s="1117"/>
    </row>
    <row r="676" spans="2:2" x14ac:dyDescent="0.3">
      <c r="B676" s="1117"/>
    </row>
    <row r="677" spans="2:2" x14ac:dyDescent="0.3">
      <c r="B677" s="1117"/>
    </row>
    <row r="678" spans="2:2" x14ac:dyDescent="0.3">
      <c r="B678" s="1117"/>
    </row>
    <row r="679" spans="2:2" x14ac:dyDescent="0.3">
      <c r="B679" s="1117"/>
    </row>
    <row r="680" spans="2:2" x14ac:dyDescent="0.3">
      <c r="B680" s="1117"/>
    </row>
    <row r="681" spans="2:2" x14ac:dyDescent="0.3">
      <c r="B681" s="1117"/>
    </row>
    <row r="682" spans="2:2" x14ac:dyDescent="0.3">
      <c r="B682" s="1117"/>
    </row>
    <row r="683" spans="2:2" x14ac:dyDescent="0.3">
      <c r="B683" s="1117"/>
    </row>
    <row r="684" spans="2:2" x14ac:dyDescent="0.3">
      <c r="B684" s="1117"/>
    </row>
    <row r="685" spans="2:2" x14ac:dyDescent="0.3">
      <c r="B685" s="1117"/>
    </row>
    <row r="686" spans="2:2" x14ac:dyDescent="0.3">
      <c r="B686" s="1117"/>
    </row>
    <row r="687" spans="2:2" x14ac:dyDescent="0.3">
      <c r="B687" s="1117"/>
    </row>
    <row r="688" spans="2:2" x14ac:dyDescent="0.3">
      <c r="B688" s="1117"/>
    </row>
    <row r="689" spans="2:2" x14ac:dyDescent="0.3">
      <c r="B689" s="1117"/>
    </row>
    <row r="690" spans="2:2" x14ac:dyDescent="0.3">
      <c r="B690" s="1117"/>
    </row>
    <row r="691" spans="2:2" x14ac:dyDescent="0.3">
      <c r="B691" s="1117"/>
    </row>
    <row r="692" spans="2:2" x14ac:dyDescent="0.3">
      <c r="B692" s="1117"/>
    </row>
    <row r="693" spans="2:2" x14ac:dyDescent="0.3">
      <c r="B693" s="1117"/>
    </row>
    <row r="694" spans="2:2" x14ac:dyDescent="0.3">
      <c r="B694" s="1117"/>
    </row>
    <row r="695" spans="2:2" x14ac:dyDescent="0.3">
      <c r="B695" s="1117"/>
    </row>
    <row r="696" spans="2:2" x14ac:dyDescent="0.3">
      <c r="B696" s="1117"/>
    </row>
    <row r="697" spans="2:2" x14ac:dyDescent="0.3">
      <c r="B697" s="1117"/>
    </row>
    <row r="698" spans="2:2" x14ac:dyDescent="0.3">
      <c r="B698" s="1117"/>
    </row>
    <row r="699" spans="2:2" x14ac:dyDescent="0.3">
      <c r="B699" s="1117"/>
    </row>
    <row r="700" spans="2:2" x14ac:dyDescent="0.3">
      <c r="B700" s="1117"/>
    </row>
    <row r="701" spans="2:2" x14ac:dyDescent="0.3">
      <c r="B701" s="1117"/>
    </row>
    <row r="702" spans="2:2" x14ac:dyDescent="0.3">
      <c r="B702" s="1117"/>
    </row>
    <row r="703" spans="2:2" x14ac:dyDescent="0.3">
      <c r="B703" s="1117"/>
    </row>
    <row r="706" spans="2:2" x14ac:dyDescent="0.3">
      <c r="B706" s="1131"/>
    </row>
    <row r="707" spans="2:2" x14ac:dyDescent="0.3">
      <c r="B707" s="1131"/>
    </row>
    <row r="708" spans="2:2" x14ac:dyDescent="0.3">
      <c r="B708" s="1131"/>
    </row>
    <row r="709" spans="2:2" x14ac:dyDescent="0.3">
      <c r="B709" s="1131"/>
    </row>
    <row r="710" spans="2:2" x14ac:dyDescent="0.3">
      <c r="B710" s="1131"/>
    </row>
    <row r="711" spans="2:2" x14ac:dyDescent="0.3">
      <c r="B711" s="1131"/>
    </row>
    <row r="712" spans="2:2" x14ac:dyDescent="0.3">
      <c r="B712" s="1131"/>
    </row>
    <row r="713" spans="2:2" x14ac:dyDescent="0.3">
      <c r="B713" s="1131"/>
    </row>
    <row r="714" spans="2:2" x14ac:dyDescent="0.3">
      <c r="B714" s="1131"/>
    </row>
    <row r="715" spans="2:2" x14ac:dyDescent="0.3">
      <c r="B715" s="1131"/>
    </row>
    <row r="716" spans="2:2" x14ac:dyDescent="0.3">
      <c r="B716" s="1131"/>
    </row>
    <row r="717" spans="2:2" x14ac:dyDescent="0.3">
      <c r="B717" s="1131"/>
    </row>
    <row r="718" spans="2:2" x14ac:dyDescent="0.3">
      <c r="B718" s="1131"/>
    </row>
    <row r="719" spans="2:2" x14ac:dyDescent="0.3">
      <c r="B719" s="1131"/>
    </row>
    <row r="720" spans="2:2" x14ac:dyDescent="0.3">
      <c r="B720" s="1131"/>
    </row>
    <row r="721" spans="2:2" x14ac:dyDescent="0.3">
      <c r="B721" s="1131"/>
    </row>
    <row r="722" spans="2:2" x14ac:dyDescent="0.3">
      <c r="B722" s="1131"/>
    </row>
    <row r="723" spans="2:2" x14ac:dyDescent="0.3">
      <c r="B723" s="1131"/>
    </row>
    <row r="750" spans="2:2" x14ac:dyDescent="0.3">
      <c r="B750" s="1117"/>
    </row>
    <row r="751" spans="2:2" x14ac:dyDescent="0.3">
      <c r="B751" s="1117"/>
    </row>
    <row r="757" spans="2:2" x14ac:dyDescent="0.3">
      <c r="B757" s="1117"/>
    </row>
    <row r="758" spans="2:2" x14ac:dyDescent="0.3">
      <c r="B758" s="1117"/>
    </row>
    <row r="759" spans="2:2" x14ac:dyDescent="0.3">
      <c r="B759" s="1117"/>
    </row>
    <row r="760" spans="2:2" x14ac:dyDescent="0.3">
      <c r="B760" s="1117"/>
    </row>
    <row r="761" spans="2:2" x14ac:dyDescent="0.3">
      <c r="B761" s="1117"/>
    </row>
    <row r="762" spans="2:2" x14ac:dyDescent="0.3">
      <c r="B762" s="1117"/>
    </row>
    <row r="763" spans="2:2" x14ac:dyDescent="0.3">
      <c r="B763" s="1117"/>
    </row>
    <row r="764" spans="2:2" x14ac:dyDescent="0.3">
      <c r="B764" s="1117"/>
    </row>
    <row r="765" spans="2:2" x14ac:dyDescent="0.3">
      <c r="B765" s="1117"/>
    </row>
    <row r="766" spans="2:2" x14ac:dyDescent="0.3">
      <c r="B766" s="1117"/>
    </row>
    <row r="767" spans="2:2" x14ac:dyDescent="0.3">
      <c r="B767" s="1117"/>
    </row>
    <row r="768" spans="2:2" x14ac:dyDescent="0.3">
      <c r="B768" s="1117"/>
    </row>
    <row r="769" spans="2:2" x14ac:dyDescent="0.3">
      <c r="B769" s="1117"/>
    </row>
    <row r="770" spans="2:2" x14ac:dyDescent="0.3">
      <c r="B770" s="1117"/>
    </row>
    <row r="771" spans="2:2" x14ac:dyDescent="0.3">
      <c r="B771" s="1117"/>
    </row>
    <row r="772" spans="2:2" x14ac:dyDescent="0.3">
      <c r="B772" s="1117"/>
    </row>
    <row r="773" spans="2:2" x14ac:dyDescent="0.3">
      <c r="B773" s="1117"/>
    </row>
    <row r="774" spans="2:2" x14ac:dyDescent="0.3">
      <c r="B774" s="1117"/>
    </row>
    <row r="775" spans="2:2" x14ac:dyDescent="0.3">
      <c r="B775" s="1117"/>
    </row>
    <row r="776" spans="2:2" x14ac:dyDescent="0.3">
      <c r="B776" s="1117"/>
    </row>
    <row r="777" spans="2:2" x14ac:dyDescent="0.3">
      <c r="B777" s="1117"/>
    </row>
    <row r="778" spans="2:2" x14ac:dyDescent="0.3">
      <c r="B778" s="1117"/>
    </row>
    <row r="779" spans="2:2" x14ac:dyDescent="0.3">
      <c r="B779" s="1117"/>
    </row>
    <row r="780" spans="2:2" x14ac:dyDescent="0.3">
      <c r="B780" s="1117"/>
    </row>
    <row r="781" spans="2:2" x14ac:dyDescent="0.3">
      <c r="B781" s="1117"/>
    </row>
    <row r="782" spans="2:2" x14ac:dyDescent="0.3">
      <c r="B782" s="1117"/>
    </row>
    <row r="783" spans="2:2" x14ac:dyDescent="0.3">
      <c r="B783" s="1117"/>
    </row>
    <row r="784" spans="2:2" x14ac:dyDescent="0.3">
      <c r="B784" s="1117"/>
    </row>
    <row r="785" spans="2:2" x14ac:dyDescent="0.3">
      <c r="B785" s="1117"/>
    </row>
    <row r="786" spans="2:2" x14ac:dyDescent="0.3">
      <c r="B786" s="1117"/>
    </row>
    <row r="787" spans="2:2" x14ac:dyDescent="0.3">
      <c r="B787" s="1117"/>
    </row>
    <row r="788" spans="2:2" x14ac:dyDescent="0.3">
      <c r="B788" s="1117"/>
    </row>
    <row r="789" spans="2:2" x14ac:dyDescent="0.3">
      <c r="B789" s="1117"/>
    </row>
    <row r="790" spans="2:2" x14ac:dyDescent="0.3">
      <c r="B790" s="1117"/>
    </row>
    <row r="792" spans="2:2" x14ac:dyDescent="0.3">
      <c r="B792" s="1117"/>
    </row>
    <row r="793" spans="2:2" x14ac:dyDescent="0.3">
      <c r="B793" s="1117"/>
    </row>
    <row r="795" spans="2:2" x14ac:dyDescent="0.3">
      <c r="B795" s="1117"/>
    </row>
    <row r="796" spans="2:2" x14ac:dyDescent="0.3">
      <c r="B796" s="1117"/>
    </row>
    <row r="798" spans="2:2" x14ac:dyDescent="0.3">
      <c r="B798" s="1117"/>
    </row>
    <row r="808" spans="2:2" x14ac:dyDescent="0.3">
      <c r="B808" s="1117"/>
    </row>
    <row r="809" spans="2:2" x14ac:dyDescent="0.3">
      <c r="B809" s="1117"/>
    </row>
    <row r="810" spans="2:2" x14ac:dyDescent="0.3">
      <c r="B810" s="1117"/>
    </row>
    <row r="811" spans="2:2" x14ac:dyDescent="0.3">
      <c r="B811" s="1117"/>
    </row>
    <row r="812" spans="2:2" x14ac:dyDescent="0.3">
      <c r="B812" s="1117"/>
    </row>
    <row r="813" spans="2:2" x14ac:dyDescent="0.3">
      <c r="B813" s="1117"/>
    </row>
    <row r="814" spans="2:2" x14ac:dyDescent="0.3">
      <c r="B814" s="1117"/>
    </row>
    <row r="815" spans="2:2" x14ac:dyDescent="0.3">
      <c r="B815" s="1117"/>
    </row>
    <row r="816" spans="2:2" x14ac:dyDescent="0.3">
      <c r="B816" s="1117"/>
    </row>
    <row r="817" spans="2:2" x14ac:dyDescent="0.3">
      <c r="B817" s="1117"/>
    </row>
    <row r="818" spans="2:2" x14ac:dyDescent="0.3">
      <c r="B818" s="1117"/>
    </row>
    <row r="819" spans="2:2" x14ac:dyDescent="0.3">
      <c r="B819" s="1117"/>
    </row>
    <row r="820" spans="2:2" x14ac:dyDescent="0.3">
      <c r="B820" s="1117"/>
    </row>
    <row r="821" spans="2:2" x14ac:dyDescent="0.3">
      <c r="B821" s="1117"/>
    </row>
    <row r="822" spans="2:2" x14ac:dyDescent="0.3">
      <c r="B822" s="1117"/>
    </row>
    <row r="823" spans="2:2" x14ac:dyDescent="0.3">
      <c r="B823" s="1117"/>
    </row>
    <row r="824" spans="2:2" x14ac:dyDescent="0.3">
      <c r="B824" s="1117"/>
    </row>
    <row r="825" spans="2:2" x14ac:dyDescent="0.3">
      <c r="B825" s="1117"/>
    </row>
    <row r="826" spans="2:2" x14ac:dyDescent="0.3">
      <c r="B826" s="1117"/>
    </row>
    <row r="829" spans="2:2" x14ac:dyDescent="0.3">
      <c r="B829" s="1117"/>
    </row>
    <row r="830" spans="2:2" x14ac:dyDescent="0.3">
      <c r="B830" s="1117"/>
    </row>
    <row r="835" spans="2:2" x14ac:dyDescent="0.3">
      <c r="B835" s="1117"/>
    </row>
    <row r="836" spans="2:2" x14ac:dyDescent="0.3">
      <c r="B836" s="1117"/>
    </row>
    <row r="837" spans="2:2" x14ac:dyDescent="0.3">
      <c r="B837" s="1117"/>
    </row>
    <row r="838" spans="2:2" x14ac:dyDescent="0.3">
      <c r="B838" s="1117"/>
    </row>
    <row r="839" spans="2:2" x14ac:dyDescent="0.3">
      <c r="B839" s="1117"/>
    </row>
    <row r="840" spans="2:2" x14ac:dyDescent="0.3">
      <c r="B840" s="1117"/>
    </row>
    <row r="841" spans="2:2" x14ac:dyDescent="0.3">
      <c r="B841" s="1117"/>
    </row>
    <row r="843" spans="2:2" x14ac:dyDescent="0.3">
      <c r="B843" s="1117"/>
    </row>
    <row r="844" spans="2:2" x14ac:dyDescent="0.3">
      <c r="B844" s="1117"/>
    </row>
    <row r="845" spans="2:2" x14ac:dyDescent="0.3">
      <c r="B845" s="1117"/>
    </row>
    <row r="846" spans="2:2" x14ac:dyDescent="0.3">
      <c r="B846" s="1117"/>
    </row>
    <row r="847" spans="2:2" x14ac:dyDescent="0.3">
      <c r="B847" s="1117"/>
    </row>
    <row r="848" spans="2:2" x14ac:dyDescent="0.3">
      <c r="B848" s="1117"/>
    </row>
    <row r="853" spans="2:2" x14ac:dyDescent="0.3">
      <c r="B853" s="1117"/>
    </row>
    <row r="869" spans="2:2" x14ac:dyDescent="0.3">
      <c r="B869" s="1117"/>
    </row>
    <row r="870" spans="2:2" x14ac:dyDescent="0.3">
      <c r="B870" s="1117"/>
    </row>
    <row r="871" spans="2:2" x14ac:dyDescent="0.3">
      <c r="B871" s="1117"/>
    </row>
    <row r="872" spans="2:2" x14ac:dyDescent="0.3">
      <c r="B872" s="1117"/>
    </row>
    <row r="873" spans="2:2" x14ac:dyDescent="0.3">
      <c r="B873" s="1117"/>
    </row>
    <row r="874" spans="2:2" x14ac:dyDescent="0.3">
      <c r="B874" s="1117"/>
    </row>
    <row r="877" spans="2:2" x14ac:dyDescent="0.3">
      <c r="B877" s="1117"/>
    </row>
    <row r="887" spans="2:2" x14ac:dyDescent="0.3">
      <c r="B887" s="1117"/>
    </row>
    <row r="895" spans="2:2" x14ac:dyDescent="0.3">
      <c r="B895" s="1117"/>
    </row>
    <row r="896" spans="2:2" x14ac:dyDescent="0.3">
      <c r="B896" s="1117"/>
    </row>
    <row r="897" spans="2:2" x14ac:dyDescent="0.3">
      <c r="B897" s="1117"/>
    </row>
    <row r="898" spans="2:2" x14ac:dyDescent="0.3">
      <c r="B898" s="1117"/>
    </row>
    <row r="906" spans="2:2" x14ac:dyDescent="0.3">
      <c r="B906" s="1117"/>
    </row>
    <row r="907" spans="2:2" x14ac:dyDescent="0.3">
      <c r="B907" s="1117"/>
    </row>
    <row r="908" spans="2:2" x14ac:dyDescent="0.3">
      <c r="B908" s="1117"/>
    </row>
    <row r="909" spans="2:2" x14ac:dyDescent="0.3">
      <c r="B909" s="1117"/>
    </row>
    <row r="910" spans="2:2" x14ac:dyDescent="0.3">
      <c r="B910" s="1117"/>
    </row>
    <row r="911" spans="2:2" x14ac:dyDescent="0.3">
      <c r="B911" s="1117"/>
    </row>
    <row r="912" spans="2:2" x14ac:dyDescent="0.3">
      <c r="B912" s="1117"/>
    </row>
    <row r="913" spans="2:2" x14ac:dyDescent="0.3">
      <c r="B913" s="1117"/>
    </row>
    <row r="914" spans="2:2" x14ac:dyDescent="0.3">
      <c r="B914" s="1117"/>
    </row>
    <row r="915" spans="2:2" x14ac:dyDescent="0.3">
      <c r="B915" s="1117"/>
    </row>
    <row r="916" spans="2:2" x14ac:dyDescent="0.3">
      <c r="B916" s="1117"/>
    </row>
    <row r="917" spans="2:2" x14ac:dyDescent="0.3">
      <c r="B917" s="1117"/>
    </row>
    <row r="923" spans="2:2" x14ac:dyDescent="0.3">
      <c r="B923" s="1117"/>
    </row>
    <row r="924" spans="2:2" x14ac:dyDescent="0.3">
      <c r="B924" s="1117"/>
    </row>
    <row r="925" spans="2:2" x14ac:dyDescent="0.3">
      <c r="B925" s="1117"/>
    </row>
    <row r="926" spans="2:2" x14ac:dyDescent="0.3">
      <c r="B926" s="1117"/>
    </row>
    <row r="927" spans="2:2" x14ac:dyDescent="0.3">
      <c r="B927" s="1117"/>
    </row>
    <row r="928" spans="2:2" x14ac:dyDescent="0.3">
      <c r="B928" s="1117"/>
    </row>
    <row r="929" spans="2:2" x14ac:dyDescent="0.3">
      <c r="B929" s="1117"/>
    </row>
    <row r="932" spans="2:2" x14ac:dyDescent="0.3">
      <c r="B932" s="1117"/>
    </row>
    <row r="935" spans="2:2" x14ac:dyDescent="0.3">
      <c r="B935" s="1117"/>
    </row>
    <row r="936" spans="2:2" x14ac:dyDescent="0.3">
      <c r="B936" s="1117"/>
    </row>
    <row r="937" spans="2:2" x14ac:dyDescent="0.3">
      <c r="B937" s="1117"/>
    </row>
    <row r="938" spans="2:2" x14ac:dyDescent="0.3">
      <c r="B938" s="1117"/>
    </row>
    <row r="939" spans="2:2" x14ac:dyDescent="0.3">
      <c r="B939" s="1117"/>
    </row>
    <row r="940" spans="2:2" x14ac:dyDescent="0.3">
      <c r="B940" s="1117"/>
    </row>
    <row r="941" spans="2:2" x14ac:dyDescent="0.3">
      <c r="B941" s="1117"/>
    </row>
    <row r="942" spans="2:2" x14ac:dyDescent="0.3">
      <c r="B942" s="1117"/>
    </row>
    <row r="943" spans="2:2" x14ac:dyDescent="0.3">
      <c r="B943" s="1117"/>
    </row>
  </sheetData>
  <sheetProtection algorithmName="SHA-512" hashValue="AuI7d/bZEbAppt8Su8q2wAocIuJnzmwpfkQYaI6wEbY71NMcsDjIx+UsVmIiqM5LcG3YdxO0+dNMacjnlQpwkQ==" saltValue="CkfbN56IlwhP2rzftU1Z4w==" spinCount="100000" sheet="1" objects="1" scenarios="1"/>
  <printOptions headings="1" gridLines="1"/>
  <pageMargins left="0.25" right="0.25"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7550-04E5-49D9-B446-DDF9728A8EC8}">
  <sheetPr codeName="Sheet12"/>
  <dimension ref="A1:BY664"/>
  <sheetViews>
    <sheetView zoomScale="120" zoomScaleNormal="120" workbookViewId="0">
      <selection activeCell="A12" sqref="A12"/>
    </sheetView>
  </sheetViews>
  <sheetFormatPr defaultColWidth="9.109375" defaultRowHeight="14.4" x14ac:dyDescent="0.3"/>
  <cols>
    <col min="1" max="2" width="9.109375" style="270"/>
    <col min="3" max="3" width="28.109375" style="270" customWidth="1"/>
    <col min="4" max="60" width="19.6640625" style="270" customWidth="1"/>
    <col min="61" max="16384" width="9.109375" style="270"/>
  </cols>
  <sheetData>
    <row r="1" spans="1:77" x14ac:dyDescent="0.3">
      <c r="A1" s="1108" t="s">
        <v>1400</v>
      </c>
      <c r="B1" s="1108" t="s">
        <v>1401</v>
      </c>
      <c r="C1" s="1108"/>
      <c r="D1" s="1108" t="s">
        <v>1429</v>
      </c>
      <c r="E1" s="1108" t="s">
        <v>1430</v>
      </c>
      <c r="F1" s="1108" t="s">
        <v>1431</v>
      </c>
      <c r="G1" s="1108" t="s">
        <v>1432</v>
      </c>
      <c r="H1" s="1108" t="s">
        <v>1433</v>
      </c>
      <c r="I1" s="1108" t="s">
        <v>1434</v>
      </c>
      <c r="J1" s="1108" t="s">
        <v>1435</v>
      </c>
      <c r="K1" s="1108" t="s">
        <v>1436</v>
      </c>
      <c r="L1" s="1108" t="s">
        <v>1437</v>
      </c>
      <c r="M1" s="1108" t="s">
        <v>1438</v>
      </c>
      <c r="N1" s="1108" t="s">
        <v>1439</v>
      </c>
      <c r="O1" s="1108" t="s">
        <v>1440</v>
      </c>
      <c r="P1" s="1108" t="s">
        <v>1441</v>
      </c>
      <c r="Q1" s="1108" t="s">
        <v>1442</v>
      </c>
      <c r="R1" s="1108" t="s">
        <v>1443</v>
      </c>
      <c r="S1" s="1108" t="s">
        <v>1444</v>
      </c>
      <c r="T1" s="1108" t="s">
        <v>1445</v>
      </c>
      <c r="U1" s="1108" t="s">
        <v>1446</v>
      </c>
      <c r="V1" s="1108" t="s">
        <v>1447</v>
      </c>
      <c r="W1" s="1108" t="s">
        <v>1448</v>
      </c>
      <c r="X1" s="1108" t="s">
        <v>1449</v>
      </c>
      <c r="Y1" s="1108" t="s">
        <v>1450</v>
      </c>
      <c r="Z1" s="1108" t="s">
        <v>1451</v>
      </c>
      <c r="AA1" s="1108" t="s">
        <v>1452</v>
      </c>
      <c r="AB1" s="1108" t="s">
        <v>1453</v>
      </c>
      <c r="AC1" s="1108" t="s">
        <v>1454</v>
      </c>
      <c r="AD1" s="1108" t="s">
        <v>1455</v>
      </c>
      <c r="AE1" s="1108" t="s">
        <v>1456</v>
      </c>
      <c r="AF1" s="1108" t="s">
        <v>1457</v>
      </c>
      <c r="AG1" s="1108" t="s">
        <v>1458</v>
      </c>
      <c r="AH1" s="1108" t="s">
        <v>1459</v>
      </c>
      <c r="AI1" s="1108" t="s">
        <v>1460</v>
      </c>
      <c r="AJ1" s="1108" t="s">
        <v>1461</v>
      </c>
      <c r="AK1" s="1108" t="s">
        <v>1462</v>
      </c>
      <c r="AL1" s="1108" t="s">
        <v>1463</v>
      </c>
      <c r="AM1" s="1108" t="s">
        <v>1464</v>
      </c>
      <c r="AN1" s="1108" t="s">
        <v>1465</v>
      </c>
      <c r="AO1" s="1108" t="s">
        <v>1466</v>
      </c>
      <c r="AP1" s="1108" t="s">
        <v>1467</v>
      </c>
      <c r="AQ1" s="1108" t="s">
        <v>1468</v>
      </c>
      <c r="AR1" s="1108" t="s">
        <v>1469</v>
      </c>
      <c r="AS1" s="1108" t="s">
        <v>1470</v>
      </c>
      <c r="AT1" s="1108" t="s">
        <v>1471</v>
      </c>
      <c r="AU1" s="1108" t="s">
        <v>1472</v>
      </c>
      <c r="AV1" s="1108" t="s">
        <v>1473</v>
      </c>
      <c r="AW1" s="1108" t="s">
        <v>1474</v>
      </c>
      <c r="AX1" s="1108" t="s">
        <v>1475</v>
      </c>
      <c r="AY1" s="1108" t="s">
        <v>1476</v>
      </c>
      <c r="AZ1" s="1108" t="s">
        <v>1477</v>
      </c>
      <c r="BA1" s="1108" t="s">
        <v>1478</v>
      </c>
      <c r="BB1" s="1108" t="s">
        <v>1479</v>
      </c>
      <c r="BC1" s="1108" t="s">
        <v>1480</v>
      </c>
      <c r="BD1" s="1108" t="s">
        <v>1481</v>
      </c>
      <c r="BE1" s="1108" t="s">
        <v>1482</v>
      </c>
      <c r="BF1" s="1108" t="s">
        <v>1483</v>
      </c>
      <c r="BG1" s="1108" t="s">
        <v>1484</v>
      </c>
      <c r="BH1" s="1108" t="s">
        <v>1485</v>
      </c>
      <c r="BI1" s="1096"/>
      <c r="BJ1" s="1096"/>
      <c r="BK1" s="1096"/>
      <c r="BL1" s="1096"/>
      <c r="BM1" s="1096"/>
      <c r="BN1" s="1096"/>
      <c r="BO1" s="1096"/>
      <c r="BP1" s="1096"/>
      <c r="BQ1" s="1096"/>
      <c r="BR1" s="1096"/>
      <c r="BS1" s="1096"/>
      <c r="BT1" s="1096"/>
      <c r="BU1" s="1096"/>
      <c r="BV1" s="1096"/>
      <c r="BW1" s="1096"/>
      <c r="BX1" s="1096"/>
      <c r="BY1" s="1096"/>
    </row>
    <row r="2" spans="1:77" x14ac:dyDescent="0.3">
      <c r="A2" s="1108"/>
      <c r="B2" s="1108"/>
      <c r="C2" s="1108"/>
      <c r="D2" s="1108">
        <v>52821</v>
      </c>
      <c r="E2" s="1108">
        <v>52823</v>
      </c>
      <c r="F2" s="1108">
        <v>52824</v>
      </c>
      <c r="G2" s="1108">
        <v>52825</v>
      </c>
      <c r="H2" s="1108">
        <v>52826</v>
      </c>
      <c r="I2" s="1108">
        <v>52827</v>
      </c>
      <c r="J2" s="1108">
        <v>52828</v>
      </c>
      <c r="K2" s="1108">
        <v>52829</v>
      </c>
      <c r="L2" s="1108">
        <v>52830</v>
      </c>
      <c r="M2" s="1108">
        <v>52831</v>
      </c>
      <c r="N2" s="1108">
        <v>52832</v>
      </c>
      <c r="O2" s="1108">
        <v>52833</v>
      </c>
      <c r="P2" s="1108">
        <v>52834</v>
      </c>
      <c r="Q2" s="1108">
        <v>52835</v>
      </c>
      <c r="R2" s="1108">
        <v>524017</v>
      </c>
      <c r="S2" s="1108">
        <v>52994</v>
      </c>
      <c r="T2" s="1108">
        <v>52836</v>
      </c>
      <c r="U2" s="1108">
        <v>52837</v>
      </c>
      <c r="V2" s="1108">
        <v>52838</v>
      </c>
      <c r="W2" s="1108">
        <v>52839</v>
      </c>
      <c r="X2" s="1108">
        <v>52840</v>
      </c>
      <c r="Y2" s="1108">
        <v>52841</v>
      </c>
      <c r="Z2" s="1108">
        <v>52842</v>
      </c>
      <c r="AA2" s="1108">
        <v>52843</v>
      </c>
      <c r="AB2" s="1108">
        <v>52844</v>
      </c>
      <c r="AC2" s="1108">
        <v>52845</v>
      </c>
      <c r="AD2" s="1108">
        <v>52846</v>
      </c>
      <c r="AE2" s="1108">
        <v>52847</v>
      </c>
      <c r="AF2" s="1108">
        <v>52848</v>
      </c>
      <c r="AG2" s="1108">
        <v>52849</v>
      </c>
      <c r="AH2" s="1108">
        <v>52850</v>
      </c>
      <c r="AI2" s="1108">
        <v>52851</v>
      </c>
      <c r="AJ2" s="1108">
        <v>52995</v>
      </c>
      <c r="AK2" s="1108">
        <v>52852</v>
      </c>
      <c r="AL2" s="1108">
        <v>52853</v>
      </c>
      <c r="AM2" s="1108">
        <v>52854</v>
      </c>
      <c r="AN2" s="1108">
        <v>52856</v>
      </c>
      <c r="AO2" s="1108">
        <v>52857</v>
      </c>
      <c r="AP2" s="1108">
        <v>52858</v>
      </c>
      <c r="AQ2" s="1108">
        <v>52859</v>
      </c>
      <c r="AR2" s="1108">
        <v>52860</v>
      </c>
      <c r="AS2" s="1108">
        <v>52861</v>
      </c>
      <c r="AT2" s="1108">
        <v>52862</v>
      </c>
      <c r="AU2" s="1108">
        <v>52863</v>
      </c>
      <c r="AV2" s="1108">
        <v>52864</v>
      </c>
      <c r="AW2" s="1108">
        <v>52865</v>
      </c>
      <c r="AX2" s="1108">
        <v>52866</v>
      </c>
      <c r="AY2" s="1108">
        <v>52867</v>
      </c>
      <c r="AZ2" s="1108">
        <v>52868</v>
      </c>
      <c r="BA2" s="1108">
        <v>52869</v>
      </c>
      <c r="BB2" s="1108">
        <v>52870</v>
      </c>
      <c r="BC2" s="1108">
        <v>52871</v>
      </c>
      <c r="BD2" s="1108">
        <v>52872</v>
      </c>
      <c r="BE2" s="1108">
        <v>52873</v>
      </c>
      <c r="BF2" s="1108">
        <v>52996</v>
      </c>
      <c r="BG2" s="1108">
        <v>52874</v>
      </c>
      <c r="BH2" s="1108">
        <v>52875</v>
      </c>
      <c r="BI2" s="1097"/>
      <c r="BJ2" s="1097"/>
      <c r="BK2" s="1097"/>
      <c r="BL2" s="1097"/>
      <c r="BM2" s="1097"/>
      <c r="BN2" s="1097"/>
      <c r="BO2" s="1097"/>
      <c r="BP2" s="1097"/>
      <c r="BQ2" s="1097"/>
      <c r="BR2" s="1097"/>
      <c r="BS2" s="1097"/>
      <c r="BT2" s="1097"/>
      <c r="BU2" s="1097"/>
      <c r="BV2" s="1097"/>
      <c r="BW2" s="1097"/>
      <c r="BX2" s="1097"/>
      <c r="BY2" s="1097"/>
    </row>
    <row r="3" spans="1:77" x14ac:dyDescent="0.3">
      <c r="A3" s="1108">
        <v>4</v>
      </c>
      <c r="B3" s="1108">
        <v>4</v>
      </c>
      <c r="C3" s="1108" t="s">
        <v>373</v>
      </c>
      <c r="D3" s="1130">
        <v>153456</v>
      </c>
      <c r="E3" s="1130">
        <v>2036610</v>
      </c>
      <c r="F3" s="1130">
        <v>339800</v>
      </c>
      <c r="G3" s="1130">
        <v>358319</v>
      </c>
      <c r="H3" s="1130">
        <v>1787605</v>
      </c>
      <c r="I3" s="1130">
        <v>158086</v>
      </c>
      <c r="J3" s="1130">
        <v>183022</v>
      </c>
      <c r="K3" s="1130">
        <v>636718</v>
      </c>
      <c r="L3" s="1130">
        <v>225153</v>
      </c>
      <c r="M3" s="1130">
        <v>96915</v>
      </c>
      <c r="N3" s="1130">
        <v>155463</v>
      </c>
      <c r="O3" s="1130">
        <v>1335119</v>
      </c>
      <c r="P3" s="1130">
        <v>210090</v>
      </c>
      <c r="Q3" s="1130">
        <v>121249</v>
      </c>
      <c r="R3" s="1130">
        <v>102825</v>
      </c>
      <c r="S3" s="1130">
        <v>1478915</v>
      </c>
      <c r="T3" s="1130">
        <v>5879151</v>
      </c>
      <c r="U3" s="1130">
        <v>301470</v>
      </c>
      <c r="V3" s="1130">
        <v>90448</v>
      </c>
      <c r="W3" s="1130">
        <v>1212872</v>
      </c>
      <c r="X3" s="1130">
        <v>1914669</v>
      </c>
      <c r="Y3" s="1130">
        <v>37599</v>
      </c>
      <c r="Z3" s="1130">
        <v>291448</v>
      </c>
      <c r="AA3" s="1130">
        <v>93920</v>
      </c>
      <c r="AB3" s="1130">
        <v>194524</v>
      </c>
      <c r="AC3" s="1130">
        <v>1381418</v>
      </c>
      <c r="AD3" s="1130">
        <v>190957</v>
      </c>
      <c r="AE3" s="1130">
        <v>531093</v>
      </c>
      <c r="AF3" s="1130">
        <v>446215</v>
      </c>
      <c r="AG3" s="1130">
        <v>141417</v>
      </c>
      <c r="AH3" s="1130">
        <v>4560145</v>
      </c>
      <c r="AI3" s="1130">
        <v>2036736</v>
      </c>
      <c r="AJ3" s="1130">
        <v>1557905</v>
      </c>
      <c r="AK3" s="1130">
        <v>514183</v>
      </c>
      <c r="AL3" s="1130">
        <v>599388</v>
      </c>
      <c r="AM3" s="1130">
        <v>940067</v>
      </c>
      <c r="AN3" s="1130">
        <v>1255392</v>
      </c>
      <c r="AO3" s="1130">
        <v>318396</v>
      </c>
      <c r="AP3" s="1130">
        <v>458777</v>
      </c>
      <c r="AQ3" s="1130">
        <v>2774</v>
      </c>
      <c r="AR3" s="1130">
        <v>979240</v>
      </c>
      <c r="AS3" s="1130">
        <v>230093</v>
      </c>
      <c r="AT3" s="1130">
        <v>5766</v>
      </c>
      <c r="AU3" s="1130">
        <v>4539665</v>
      </c>
      <c r="AV3" s="1130">
        <v>328117</v>
      </c>
      <c r="AW3" s="1130">
        <v>38127376</v>
      </c>
      <c r="AX3" s="1130">
        <v>480567</v>
      </c>
      <c r="AY3" s="1130">
        <v>30681</v>
      </c>
      <c r="AZ3" s="1130">
        <v>448018</v>
      </c>
      <c r="BA3" s="1130">
        <v>5884140</v>
      </c>
      <c r="BB3" s="1130">
        <v>82122</v>
      </c>
      <c r="BC3" s="1130">
        <v>106043</v>
      </c>
      <c r="BD3" s="1130">
        <v>4148375</v>
      </c>
      <c r="BE3" s="1130">
        <v>779145</v>
      </c>
      <c r="BF3" s="1130">
        <v>4780186</v>
      </c>
      <c r="BG3" s="1130">
        <v>224638</v>
      </c>
      <c r="BH3" s="1130">
        <v>279794</v>
      </c>
      <c r="BI3" s="1100"/>
      <c r="BJ3" s="1100"/>
      <c r="BK3" s="1100"/>
      <c r="BL3" s="1100"/>
      <c r="BM3" s="1100"/>
      <c r="BN3" s="1100"/>
      <c r="BO3" s="1100"/>
      <c r="BP3" s="1100"/>
      <c r="BQ3" s="1100"/>
      <c r="BR3" s="1100"/>
      <c r="BS3" s="1100"/>
      <c r="BT3" s="1100"/>
      <c r="BU3" s="1100"/>
      <c r="BV3" s="1100"/>
      <c r="BW3" s="1100"/>
      <c r="BX3" s="1100"/>
      <c r="BY3" s="1100"/>
    </row>
    <row r="4" spans="1:77" x14ac:dyDescent="0.3">
      <c r="A4" s="1108">
        <v>5</v>
      </c>
      <c r="B4" s="1108">
        <v>5</v>
      </c>
      <c r="C4" s="1108" t="s">
        <v>120</v>
      </c>
      <c r="D4" s="1108">
        <v>0</v>
      </c>
      <c r="E4" s="1108">
        <v>0</v>
      </c>
      <c r="F4" s="1108">
        <v>0</v>
      </c>
      <c r="G4" s="1108">
        <v>0</v>
      </c>
      <c r="H4" s="1108">
        <v>0</v>
      </c>
      <c r="I4" s="1108">
        <v>0</v>
      </c>
      <c r="J4" s="1108">
        <v>0</v>
      </c>
      <c r="K4" s="1108">
        <v>0</v>
      </c>
      <c r="L4" s="1130">
        <v>173162</v>
      </c>
      <c r="M4" s="1108">
        <v>0</v>
      </c>
      <c r="N4" s="1108">
        <v>0</v>
      </c>
      <c r="O4" s="1108">
        <v>0</v>
      </c>
      <c r="P4" s="1108">
        <v>0</v>
      </c>
      <c r="Q4" s="1108">
        <v>0</v>
      </c>
      <c r="R4" s="1108">
        <v>0</v>
      </c>
      <c r="S4" s="1108">
        <v>0</v>
      </c>
      <c r="T4" s="1108">
        <v>0</v>
      </c>
      <c r="U4" s="1108">
        <v>0</v>
      </c>
      <c r="V4" s="1108">
        <v>0</v>
      </c>
      <c r="W4" s="1108">
        <v>0</v>
      </c>
      <c r="X4" s="1108">
        <v>0</v>
      </c>
      <c r="Y4" s="1108">
        <v>0</v>
      </c>
      <c r="Z4" s="1130">
        <v>1532</v>
      </c>
      <c r="AA4" s="1108">
        <v>0</v>
      </c>
      <c r="AB4" s="1108">
        <v>0</v>
      </c>
      <c r="AC4" s="1108">
        <v>0</v>
      </c>
      <c r="AD4" s="1108">
        <v>0</v>
      </c>
      <c r="AE4" s="1108">
        <v>0</v>
      </c>
      <c r="AF4" s="1108">
        <v>0</v>
      </c>
      <c r="AG4" s="1108">
        <v>0</v>
      </c>
      <c r="AH4" s="1108">
        <v>0</v>
      </c>
      <c r="AI4" s="1108">
        <v>0</v>
      </c>
      <c r="AJ4" s="1108">
        <v>0</v>
      </c>
      <c r="AK4" s="1108">
        <v>0</v>
      </c>
      <c r="AL4" s="1108">
        <v>0</v>
      </c>
      <c r="AM4" s="1108">
        <v>0</v>
      </c>
      <c r="AN4" s="1108">
        <v>0</v>
      </c>
      <c r="AO4" s="1108">
        <v>0</v>
      </c>
      <c r="AP4" s="1108">
        <v>0</v>
      </c>
      <c r="AQ4" s="1108">
        <v>0</v>
      </c>
      <c r="AR4" s="1108">
        <v>0</v>
      </c>
      <c r="AS4" s="1108">
        <v>0</v>
      </c>
      <c r="AT4" s="1108">
        <v>0</v>
      </c>
      <c r="AU4" s="1108">
        <v>0</v>
      </c>
      <c r="AV4" s="1108">
        <v>0</v>
      </c>
      <c r="AW4" s="1108">
        <v>0</v>
      </c>
      <c r="AX4" s="1108">
        <v>0</v>
      </c>
      <c r="AY4" s="1108">
        <v>0</v>
      </c>
      <c r="AZ4" s="1108">
        <v>0</v>
      </c>
      <c r="BA4" s="1108">
        <v>0</v>
      </c>
      <c r="BB4" s="1108">
        <v>0</v>
      </c>
      <c r="BC4" s="1108">
        <v>0</v>
      </c>
      <c r="BD4" s="1108">
        <v>0</v>
      </c>
      <c r="BE4" s="1108">
        <v>0</v>
      </c>
      <c r="BF4" s="1108">
        <v>0</v>
      </c>
      <c r="BG4" s="1108">
        <v>0</v>
      </c>
      <c r="BH4" s="1108">
        <v>0</v>
      </c>
      <c r="BI4" s="1100"/>
      <c r="BJ4" s="1100"/>
      <c r="BK4" s="1100"/>
      <c r="BL4" s="1100"/>
      <c r="BM4" s="1100"/>
      <c r="BN4" s="1100"/>
      <c r="BO4" s="1100"/>
      <c r="BP4" s="1100"/>
      <c r="BQ4" s="1100"/>
      <c r="BR4" s="1100"/>
      <c r="BS4" s="1100"/>
      <c r="BT4" s="1100"/>
      <c r="BU4" s="1100"/>
      <c r="BV4" s="1100"/>
      <c r="BW4" s="1100"/>
      <c r="BX4" s="1100"/>
      <c r="BY4" s="1100"/>
    </row>
    <row r="5" spans="1:77" x14ac:dyDescent="0.3">
      <c r="A5" s="1108">
        <v>6</v>
      </c>
      <c r="B5" s="1108">
        <v>6</v>
      </c>
      <c r="C5" s="1108" t="s">
        <v>260</v>
      </c>
      <c r="D5" s="1108">
        <v>0</v>
      </c>
      <c r="E5" s="1108">
        <v>0</v>
      </c>
      <c r="F5" s="1108">
        <v>0</v>
      </c>
      <c r="G5" s="1108">
        <v>0</v>
      </c>
      <c r="H5" s="1108">
        <v>0</v>
      </c>
      <c r="I5" s="1108">
        <v>0</v>
      </c>
      <c r="J5" s="1108">
        <v>0</v>
      </c>
      <c r="K5" s="1108">
        <v>0</v>
      </c>
      <c r="L5" s="1108">
        <v>0</v>
      </c>
      <c r="M5" s="1108">
        <v>0</v>
      </c>
      <c r="N5" s="1108">
        <v>0</v>
      </c>
      <c r="O5" s="1108">
        <v>0</v>
      </c>
      <c r="P5" s="1108">
        <v>0</v>
      </c>
      <c r="Q5" s="1108">
        <v>0</v>
      </c>
      <c r="R5" s="1108">
        <v>0</v>
      </c>
      <c r="S5" s="1130">
        <v>7829</v>
      </c>
      <c r="T5" s="1130">
        <v>352100</v>
      </c>
      <c r="U5" s="1108">
        <v>0</v>
      </c>
      <c r="V5" s="1108">
        <v>0</v>
      </c>
      <c r="W5" s="1130">
        <v>6829603</v>
      </c>
      <c r="X5" s="1108">
        <v>0</v>
      </c>
      <c r="Y5" s="1108">
        <v>0</v>
      </c>
      <c r="Z5" s="1108">
        <v>0</v>
      </c>
      <c r="AA5" s="1108">
        <v>0</v>
      </c>
      <c r="AB5" s="1108">
        <v>0</v>
      </c>
      <c r="AC5" s="1108">
        <v>0</v>
      </c>
      <c r="AD5" s="1108">
        <v>0</v>
      </c>
      <c r="AE5" s="1108">
        <v>0</v>
      </c>
      <c r="AF5" s="1108">
        <v>0</v>
      </c>
      <c r="AG5" s="1108">
        <v>0</v>
      </c>
      <c r="AH5" s="1108">
        <v>0</v>
      </c>
      <c r="AI5" s="1108">
        <v>0</v>
      </c>
      <c r="AJ5" s="1108">
        <v>0</v>
      </c>
      <c r="AK5" s="1108">
        <v>0</v>
      </c>
      <c r="AL5" s="1108">
        <v>0</v>
      </c>
      <c r="AM5" s="1108">
        <v>0</v>
      </c>
      <c r="AN5" s="1108">
        <v>0</v>
      </c>
      <c r="AO5" s="1108">
        <v>0</v>
      </c>
      <c r="AP5" s="1108">
        <v>0</v>
      </c>
      <c r="AQ5" s="1108">
        <v>0</v>
      </c>
      <c r="AR5" s="1108">
        <v>0</v>
      </c>
      <c r="AS5" s="1108">
        <v>0</v>
      </c>
      <c r="AT5" s="1108">
        <v>0</v>
      </c>
      <c r="AU5" s="1130">
        <v>1164310</v>
      </c>
      <c r="AV5" s="1108">
        <v>0</v>
      </c>
      <c r="AW5" s="1130">
        <v>1628781</v>
      </c>
      <c r="AX5" s="1108">
        <v>0</v>
      </c>
      <c r="AY5" s="1108">
        <v>0</v>
      </c>
      <c r="AZ5" s="1108">
        <v>0</v>
      </c>
      <c r="BA5" s="1108">
        <v>0</v>
      </c>
      <c r="BB5" s="1108">
        <v>0</v>
      </c>
      <c r="BC5" s="1108">
        <v>0</v>
      </c>
      <c r="BD5" s="1108">
        <v>0</v>
      </c>
      <c r="BE5" s="1108">
        <v>0</v>
      </c>
      <c r="BF5" s="1130">
        <v>1129136</v>
      </c>
      <c r="BG5" s="1108">
        <v>0</v>
      </c>
      <c r="BH5" s="1108">
        <v>0</v>
      </c>
      <c r="BI5" s="1100"/>
      <c r="BJ5" s="1100"/>
      <c r="BK5" s="1100"/>
      <c r="BL5" s="1100"/>
      <c r="BM5" s="1100"/>
      <c r="BN5" s="1100"/>
      <c r="BO5" s="1100"/>
      <c r="BP5" s="1100"/>
      <c r="BQ5" s="1100"/>
      <c r="BR5" s="1100"/>
      <c r="BS5" s="1100"/>
      <c r="BT5" s="1100"/>
      <c r="BU5" s="1100"/>
      <c r="BV5" s="1100"/>
      <c r="BW5" s="1100"/>
      <c r="BX5" s="1100"/>
      <c r="BY5" s="1100"/>
    </row>
    <row r="6" spans="1:77" x14ac:dyDescent="0.3">
      <c r="A6" s="1108">
        <v>7</v>
      </c>
      <c r="B6" s="1108">
        <v>7</v>
      </c>
      <c r="C6" s="1108" t="s">
        <v>201</v>
      </c>
      <c r="D6" s="1108">
        <v>0</v>
      </c>
      <c r="E6" s="1130">
        <v>579144</v>
      </c>
      <c r="F6" s="1130">
        <v>596984</v>
      </c>
      <c r="G6" s="1108">
        <v>0</v>
      </c>
      <c r="H6" s="1108">
        <v>0</v>
      </c>
      <c r="I6" s="1108">
        <v>0</v>
      </c>
      <c r="J6" s="1130">
        <v>413559</v>
      </c>
      <c r="K6" s="1130">
        <v>243306</v>
      </c>
      <c r="L6" s="1108">
        <v>0</v>
      </c>
      <c r="M6" s="1108">
        <v>0</v>
      </c>
      <c r="N6" s="1130">
        <v>131447</v>
      </c>
      <c r="O6" s="1130">
        <v>308041</v>
      </c>
      <c r="P6" s="1108">
        <v>0</v>
      </c>
      <c r="Q6" s="1108">
        <v>0</v>
      </c>
      <c r="R6" s="1108">
        <v>0</v>
      </c>
      <c r="S6" s="1130">
        <v>332841</v>
      </c>
      <c r="T6" s="1130">
        <v>1332590</v>
      </c>
      <c r="U6" s="1108">
        <v>0</v>
      </c>
      <c r="V6" s="1130">
        <v>76215</v>
      </c>
      <c r="W6" s="1130">
        <v>863876</v>
      </c>
      <c r="X6" s="1108">
        <v>0</v>
      </c>
      <c r="Y6" s="1108">
        <v>0</v>
      </c>
      <c r="Z6" s="1108">
        <v>0</v>
      </c>
      <c r="AA6" s="1108">
        <v>0</v>
      </c>
      <c r="AB6" s="1108">
        <v>0</v>
      </c>
      <c r="AC6" s="1130">
        <v>344637</v>
      </c>
      <c r="AD6" s="1108">
        <v>0</v>
      </c>
      <c r="AE6" s="1130">
        <v>2451002</v>
      </c>
      <c r="AF6" s="1108">
        <v>0</v>
      </c>
      <c r="AG6" s="1108">
        <v>0</v>
      </c>
      <c r="AH6" s="1130">
        <v>793857</v>
      </c>
      <c r="AI6" s="1108">
        <v>0</v>
      </c>
      <c r="AJ6" s="1108">
        <v>0</v>
      </c>
      <c r="AK6" s="1108">
        <v>0</v>
      </c>
      <c r="AL6" s="1130">
        <v>819706</v>
      </c>
      <c r="AM6" s="1108">
        <v>0</v>
      </c>
      <c r="AN6" s="1108">
        <v>0</v>
      </c>
      <c r="AO6" s="1108">
        <v>0</v>
      </c>
      <c r="AP6" s="1130">
        <v>605611</v>
      </c>
      <c r="AQ6" s="1108">
        <v>0</v>
      </c>
      <c r="AR6" s="1130">
        <v>53814</v>
      </c>
      <c r="AS6" s="1108">
        <v>0</v>
      </c>
      <c r="AT6" s="1108">
        <v>0</v>
      </c>
      <c r="AU6" s="1108">
        <v>0</v>
      </c>
      <c r="AV6" s="1130">
        <v>108959</v>
      </c>
      <c r="AW6" s="1130">
        <v>4559114</v>
      </c>
      <c r="AX6" s="1108">
        <v>0</v>
      </c>
      <c r="AY6" s="1130">
        <v>179801</v>
      </c>
      <c r="AZ6" s="1130">
        <v>128830</v>
      </c>
      <c r="BA6" s="1130">
        <v>849090</v>
      </c>
      <c r="BB6" s="1108">
        <v>0</v>
      </c>
      <c r="BC6" s="1108">
        <v>0</v>
      </c>
      <c r="BD6" s="1130">
        <v>248009</v>
      </c>
      <c r="BE6" s="1130">
        <v>892551</v>
      </c>
      <c r="BF6" s="1130">
        <v>1199643</v>
      </c>
      <c r="BG6" s="1108">
        <v>0</v>
      </c>
      <c r="BH6" s="1130">
        <v>89641</v>
      </c>
      <c r="BI6" s="1100"/>
      <c r="BJ6" s="1100"/>
      <c r="BK6" s="1100"/>
      <c r="BL6" s="1100"/>
      <c r="BM6" s="1100"/>
      <c r="BN6" s="1100"/>
      <c r="BO6" s="1100"/>
      <c r="BP6" s="1100"/>
      <c r="BQ6" s="1100"/>
      <c r="BR6" s="1100"/>
      <c r="BS6" s="1100"/>
      <c r="BT6" s="1100"/>
      <c r="BU6" s="1100"/>
      <c r="BV6" s="1100"/>
      <c r="BW6" s="1100"/>
      <c r="BX6" s="1100"/>
      <c r="BY6" s="1100"/>
    </row>
    <row r="7" spans="1:77" x14ac:dyDescent="0.3">
      <c r="A7" s="1108">
        <v>9</v>
      </c>
      <c r="B7" s="1108">
        <v>9</v>
      </c>
      <c r="C7" s="1108" t="s">
        <v>203</v>
      </c>
      <c r="D7" s="1130">
        <v>351687</v>
      </c>
      <c r="E7" s="1130">
        <v>717085</v>
      </c>
      <c r="F7" s="1130">
        <v>2861902</v>
      </c>
      <c r="G7" s="1130">
        <v>969185</v>
      </c>
      <c r="H7" s="1130">
        <v>1282697</v>
      </c>
      <c r="I7" s="1130">
        <v>1193345</v>
      </c>
      <c r="J7" s="1130">
        <v>819153</v>
      </c>
      <c r="K7" s="1130">
        <v>3063704</v>
      </c>
      <c r="L7" s="1130">
        <v>5976356</v>
      </c>
      <c r="M7" s="1130">
        <v>579232</v>
      </c>
      <c r="N7" s="1130">
        <v>2676043</v>
      </c>
      <c r="O7" s="1130">
        <v>2443310</v>
      </c>
      <c r="P7" s="1130">
        <v>1355101</v>
      </c>
      <c r="Q7" s="1130">
        <v>1178210</v>
      </c>
      <c r="R7" s="1130">
        <v>506230</v>
      </c>
      <c r="S7" s="1130">
        <v>3269890</v>
      </c>
      <c r="T7" s="1130">
        <v>19661146</v>
      </c>
      <c r="U7" s="1130">
        <v>2213099</v>
      </c>
      <c r="V7" s="1130">
        <v>1009779</v>
      </c>
      <c r="W7" s="1130">
        <v>16202939</v>
      </c>
      <c r="X7" s="1130">
        <v>4690384</v>
      </c>
      <c r="Y7" s="1130">
        <v>332412</v>
      </c>
      <c r="Z7" s="1130">
        <v>3240359</v>
      </c>
      <c r="AA7" s="1130">
        <v>233436</v>
      </c>
      <c r="AB7" s="1130">
        <v>956197</v>
      </c>
      <c r="AC7" s="1130">
        <v>7316210</v>
      </c>
      <c r="AD7" s="1130">
        <v>547133</v>
      </c>
      <c r="AE7" s="1130">
        <v>6941829</v>
      </c>
      <c r="AF7" s="1130">
        <v>3169116</v>
      </c>
      <c r="AG7" s="1130">
        <v>1378838</v>
      </c>
      <c r="AH7" s="1130">
        <v>2093977</v>
      </c>
      <c r="AI7" s="1130">
        <v>14459639</v>
      </c>
      <c r="AJ7" s="1130">
        <v>6732111</v>
      </c>
      <c r="AK7" s="1130">
        <v>1705112</v>
      </c>
      <c r="AL7" s="1130">
        <v>3319789</v>
      </c>
      <c r="AM7" s="1130">
        <v>1818957</v>
      </c>
      <c r="AN7" s="1130">
        <v>476812</v>
      </c>
      <c r="AO7" s="1130">
        <v>458606</v>
      </c>
      <c r="AP7" s="1130">
        <v>3192874</v>
      </c>
      <c r="AQ7" s="1130">
        <v>47718</v>
      </c>
      <c r="AR7" s="1130">
        <v>-736791</v>
      </c>
      <c r="AS7" s="1130">
        <v>868444</v>
      </c>
      <c r="AT7" s="1130">
        <v>320528</v>
      </c>
      <c r="AU7" s="1130">
        <v>1373450</v>
      </c>
      <c r="AV7" s="1130">
        <v>832455</v>
      </c>
      <c r="AW7" s="1130">
        <v>62849011</v>
      </c>
      <c r="AX7" s="1130">
        <v>511746</v>
      </c>
      <c r="AY7" s="1130">
        <v>715743</v>
      </c>
      <c r="AZ7" s="1130">
        <v>4035456</v>
      </c>
      <c r="BA7" s="1130">
        <v>-2416692</v>
      </c>
      <c r="BB7" s="1130">
        <v>265533</v>
      </c>
      <c r="BC7" s="1130">
        <v>1122824</v>
      </c>
      <c r="BD7" s="1130">
        <v>4469101</v>
      </c>
      <c r="BE7" s="1130">
        <v>5536493</v>
      </c>
      <c r="BF7" s="1130">
        <v>6633633</v>
      </c>
      <c r="BG7" s="1130">
        <v>640122</v>
      </c>
      <c r="BH7" s="1130">
        <v>840758</v>
      </c>
      <c r="BI7" s="1100"/>
      <c r="BJ7" s="1100"/>
      <c r="BK7" s="1100"/>
      <c r="BL7" s="1100"/>
      <c r="BM7" s="1100"/>
      <c r="BN7" s="1100"/>
      <c r="BO7" s="1100"/>
      <c r="BP7" s="1100"/>
      <c r="BQ7" s="1100"/>
      <c r="BR7" s="1100"/>
      <c r="BS7" s="1100"/>
      <c r="BT7" s="1100"/>
      <c r="BU7" s="1100"/>
      <c r="BV7" s="1100"/>
      <c r="BW7" s="1100"/>
      <c r="BX7" s="1100"/>
      <c r="BY7" s="1100"/>
    </row>
    <row r="8" spans="1:77" x14ac:dyDescent="0.3">
      <c r="A8" s="1108"/>
      <c r="B8" s="1108">
        <v>11</v>
      </c>
      <c r="C8" s="1108" t="s">
        <v>202</v>
      </c>
      <c r="D8" s="1108"/>
      <c r="E8" s="1108"/>
      <c r="F8" s="1108"/>
      <c r="G8" s="1108"/>
      <c r="H8" s="1108"/>
      <c r="I8" s="1108"/>
      <c r="J8" s="1108"/>
      <c r="K8" s="1108"/>
      <c r="L8" s="1108"/>
      <c r="M8" s="1108"/>
      <c r="N8" s="1108"/>
      <c r="O8" s="1108"/>
      <c r="P8" s="1108"/>
      <c r="Q8" s="1108"/>
      <c r="R8" s="1108"/>
      <c r="S8" s="1108"/>
      <c r="T8" s="1108"/>
      <c r="U8" s="1108"/>
      <c r="V8" s="1108"/>
      <c r="W8" s="1108"/>
      <c r="X8" s="1108"/>
      <c r="Y8" s="1108"/>
      <c r="Z8" s="1108"/>
      <c r="AA8" s="1108"/>
      <c r="AB8" s="1108"/>
      <c r="AC8" s="1108"/>
      <c r="AD8" s="1108"/>
      <c r="AE8" s="1108"/>
      <c r="AF8" s="1108"/>
      <c r="AG8" s="1108"/>
      <c r="AH8" s="1108"/>
      <c r="AI8" s="1108"/>
      <c r="AJ8" s="1108"/>
      <c r="AK8" s="1108"/>
      <c r="AL8" s="1108"/>
      <c r="AM8" s="1108"/>
      <c r="AN8" s="1108"/>
      <c r="AO8" s="1108"/>
      <c r="AP8" s="1108"/>
      <c r="AQ8" s="1108"/>
      <c r="AR8" s="1108"/>
      <c r="AS8" s="1108"/>
      <c r="AT8" s="1108"/>
      <c r="AU8" s="1108"/>
      <c r="AV8" s="1108"/>
      <c r="AW8" s="1108"/>
      <c r="AX8" s="1108"/>
      <c r="AY8" s="1108"/>
      <c r="AZ8" s="1108"/>
      <c r="BA8" s="1108"/>
      <c r="BB8" s="1108"/>
      <c r="BC8" s="1108"/>
      <c r="BD8" s="1108"/>
      <c r="BE8" s="1108"/>
      <c r="BF8" s="1108"/>
      <c r="BG8" s="1108"/>
      <c r="BH8" s="1108"/>
      <c r="BI8" s="1100"/>
      <c r="BJ8" s="1100"/>
      <c r="BK8" s="1100"/>
      <c r="BL8" s="1100"/>
      <c r="BM8" s="1100"/>
      <c r="BN8" s="1100"/>
      <c r="BO8" s="1100"/>
      <c r="BP8" s="1100"/>
      <c r="BQ8" s="1100"/>
      <c r="BR8" s="1100"/>
      <c r="BS8" s="1100"/>
      <c r="BT8" s="1100"/>
      <c r="BU8" s="1100"/>
      <c r="BV8" s="1100"/>
      <c r="BW8" s="1100"/>
      <c r="BX8" s="1100"/>
      <c r="BY8" s="1100"/>
    </row>
    <row r="9" spans="1:77" x14ac:dyDescent="0.3">
      <c r="A9" s="1108"/>
      <c r="B9" s="1108">
        <v>12</v>
      </c>
      <c r="C9" s="1108" t="s">
        <v>374</v>
      </c>
      <c r="D9" s="1108"/>
      <c r="E9" s="1108"/>
      <c r="F9" s="1108"/>
      <c r="G9" s="1108"/>
      <c r="H9" s="1108"/>
      <c r="I9" s="1108"/>
      <c r="J9" s="1108"/>
      <c r="K9" s="1108"/>
      <c r="L9" s="1108"/>
      <c r="M9" s="1108"/>
      <c r="N9" s="1108"/>
      <c r="O9" s="1108"/>
      <c r="P9" s="1108"/>
      <c r="Q9" s="1108"/>
      <c r="R9" s="1108"/>
      <c r="S9" s="1108"/>
      <c r="T9" s="1108"/>
      <c r="U9" s="1108"/>
      <c r="V9" s="1108"/>
      <c r="W9" s="1108"/>
      <c r="X9" s="1108"/>
      <c r="Y9" s="1108"/>
      <c r="Z9" s="1108"/>
      <c r="AA9" s="1108"/>
      <c r="AB9" s="1108"/>
      <c r="AC9" s="1108"/>
      <c r="AD9" s="1108"/>
      <c r="AE9" s="1108"/>
      <c r="AF9" s="1108"/>
      <c r="AG9" s="1108"/>
      <c r="AH9" s="1108"/>
      <c r="AI9" s="1108"/>
      <c r="AJ9" s="1108"/>
      <c r="AK9" s="1108"/>
      <c r="AL9" s="1108"/>
      <c r="AM9" s="1108"/>
      <c r="AN9" s="1108"/>
      <c r="AO9" s="1108"/>
      <c r="AP9" s="1108"/>
      <c r="AQ9" s="1108"/>
      <c r="AR9" s="1108"/>
      <c r="AS9" s="1108"/>
      <c r="AT9" s="1108"/>
      <c r="AU9" s="1108"/>
      <c r="AV9" s="1108"/>
      <c r="AW9" s="1108"/>
      <c r="AX9" s="1108"/>
      <c r="AY9" s="1108"/>
      <c r="AZ9" s="1108"/>
      <c r="BA9" s="1108"/>
      <c r="BB9" s="1108"/>
      <c r="BC9" s="1108"/>
      <c r="BD9" s="1108"/>
      <c r="BE9" s="1108"/>
      <c r="BF9" s="1108"/>
      <c r="BG9" s="1108"/>
      <c r="BH9" s="1108"/>
      <c r="BI9" s="1096"/>
      <c r="BJ9" s="1096"/>
      <c r="BK9" s="1096"/>
      <c r="BL9" s="1096"/>
      <c r="BM9" s="1096"/>
      <c r="BN9" s="1096"/>
      <c r="BO9" s="1096"/>
      <c r="BP9" s="1096"/>
      <c r="BQ9" s="1096"/>
      <c r="BR9" s="1096"/>
      <c r="BS9" s="1096"/>
      <c r="BT9" s="1096"/>
      <c r="BU9" s="1096"/>
      <c r="BV9" s="1096"/>
      <c r="BW9" s="1096"/>
      <c r="BX9" s="1096"/>
      <c r="BY9" s="1096"/>
    </row>
    <row r="10" spans="1:77" x14ac:dyDescent="0.3">
      <c r="A10" s="1108"/>
      <c r="B10" s="1108">
        <v>13</v>
      </c>
      <c r="C10" s="1108" t="s">
        <v>1402</v>
      </c>
      <c r="D10" s="1108"/>
      <c r="E10" s="1108"/>
      <c r="F10" s="1108"/>
      <c r="G10" s="1108"/>
      <c r="H10" s="1108"/>
      <c r="I10" s="1108"/>
      <c r="J10" s="1108"/>
      <c r="K10" s="1108"/>
      <c r="L10" s="1108"/>
      <c r="M10" s="1108"/>
      <c r="N10" s="1108"/>
      <c r="O10" s="1108"/>
      <c r="P10" s="1108"/>
      <c r="Q10" s="1108"/>
      <c r="R10" s="1108"/>
      <c r="S10" s="1108"/>
      <c r="T10" s="1108"/>
      <c r="U10" s="1108"/>
      <c r="V10" s="1108"/>
      <c r="W10" s="1108"/>
      <c r="X10" s="1108"/>
      <c r="Y10" s="1108"/>
      <c r="Z10" s="1108"/>
      <c r="AA10" s="1108"/>
      <c r="AB10" s="1108"/>
      <c r="AC10" s="1108"/>
      <c r="AD10" s="1108"/>
      <c r="AE10" s="1108"/>
      <c r="AF10" s="1108"/>
      <c r="AG10" s="1108"/>
      <c r="AH10" s="1108"/>
      <c r="AI10" s="1108"/>
      <c r="AJ10" s="1108"/>
      <c r="AK10" s="1108"/>
      <c r="AL10" s="1108"/>
      <c r="AM10" s="1108"/>
      <c r="AN10" s="1108"/>
      <c r="AO10" s="1108"/>
      <c r="AP10" s="1108"/>
      <c r="AQ10" s="1108"/>
      <c r="AR10" s="1108"/>
      <c r="AS10" s="1108"/>
      <c r="AT10" s="1108"/>
      <c r="AU10" s="1108"/>
      <c r="AV10" s="1108"/>
      <c r="AW10" s="1108"/>
      <c r="AX10" s="1108"/>
      <c r="AY10" s="1108"/>
      <c r="AZ10" s="1108"/>
      <c r="BA10" s="1108"/>
      <c r="BB10" s="1108"/>
      <c r="BC10" s="1108"/>
      <c r="BD10" s="1108"/>
      <c r="BE10" s="1108"/>
      <c r="BF10" s="1108"/>
      <c r="BG10" s="1108"/>
      <c r="BH10" s="1108"/>
      <c r="BI10" s="1096"/>
      <c r="BJ10" s="1096"/>
      <c r="BK10" s="1096"/>
      <c r="BL10" s="1096"/>
      <c r="BM10" s="1096"/>
      <c r="BN10" s="1096"/>
      <c r="BO10" s="1096"/>
      <c r="BP10" s="1096"/>
      <c r="BQ10" s="1096"/>
      <c r="BR10" s="1096"/>
      <c r="BS10" s="1096"/>
      <c r="BT10" s="1096"/>
      <c r="BU10" s="1096"/>
      <c r="BV10" s="1096"/>
      <c r="BW10" s="1096"/>
      <c r="BX10" s="1096"/>
      <c r="BY10" s="1096"/>
    </row>
    <row r="11" spans="1:77" x14ac:dyDescent="0.3">
      <c r="A11" s="1108"/>
      <c r="B11" s="1108">
        <v>14</v>
      </c>
      <c r="C11" s="1108" t="s">
        <v>1403</v>
      </c>
      <c r="D11" s="1108"/>
      <c r="E11" s="1108"/>
      <c r="F11" s="1108"/>
      <c r="G11" s="1108"/>
      <c r="H11" s="1108"/>
      <c r="I11" s="1108"/>
      <c r="J11" s="1108"/>
      <c r="K11" s="1108"/>
      <c r="L11" s="1108"/>
      <c r="M11" s="1108"/>
      <c r="N11" s="1108"/>
      <c r="O11" s="1108"/>
      <c r="P11" s="1108"/>
      <c r="Q11" s="1108"/>
      <c r="R11" s="1108"/>
      <c r="S11" s="1108"/>
      <c r="T11" s="1108"/>
      <c r="U11" s="1108"/>
      <c r="V11" s="1108"/>
      <c r="W11" s="1108"/>
      <c r="X11" s="1108"/>
      <c r="Y11" s="1108"/>
      <c r="Z11" s="1108"/>
      <c r="AA11" s="1108"/>
      <c r="AB11" s="1108"/>
      <c r="AC11" s="1108"/>
      <c r="AD11" s="1108"/>
      <c r="AE11" s="1108"/>
      <c r="AF11" s="1108"/>
      <c r="AG11" s="1108"/>
      <c r="AH11" s="1108"/>
      <c r="AI11" s="1108"/>
      <c r="AJ11" s="1108"/>
      <c r="AK11" s="1108"/>
      <c r="AL11" s="1108"/>
      <c r="AM11" s="1108"/>
      <c r="AN11" s="1108"/>
      <c r="AO11" s="1108"/>
      <c r="AP11" s="1108"/>
      <c r="AQ11" s="1108"/>
      <c r="AR11" s="1108"/>
      <c r="AS11" s="1108"/>
      <c r="AT11" s="1108"/>
      <c r="AU11" s="1108"/>
      <c r="AV11" s="1108"/>
      <c r="AW11" s="1108"/>
      <c r="AX11" s="1108"/>
      <c r="AY11" s="1108"/>
      <c r="AZ11" s="1108"/>
      <c r="BA11" s="1108"/>
      <c r="BB11" s="1108"/>
      <c r="BC11" s="1108"/>
      <c r="BD11" s="1108"/>
      <c r="BE11" s="1108"/>
      <c r="BF11" s="1108"/>
      <c r="BG11" s="1108"/>
      <c r="BH11" s="1108"/>
      <c r="BI11" s="1096"/>
      <c r="BJ11" s="1096"/>
      <c r="BK11" s="1096"/>
      <c r="BL11" s="1096"/>
      <c r="BM11" s="1096"/>
      <c r="BN11" s="1096"/>
      <c r="BO11" s="1096"/>
      <c r="BP11" s="1096"/>
      <c r="BQ11" s="1096"/>
      <c r="BR11" s="1096"/>
      <c r="BS11" s="1096"/>
      <c r="BT11" s="1096"/>
      <c r="BU11" s="1096"/>
      <c r="BV11" s="1096"/>
      <c r="BW11" s="1096"/>
      <c r="BX11" s="1096"/>
      <c r="BY11" s="1096"/>
    </row>
    <row r="12" spans="1:77" x14ac:dyDescent="0.3">
      <c r="A12" s="1108">
        <v>16</v>
      </c>
      <c r="B12" s="1108">
        <v>16</v>
      </c>
      <c r="C12" s="1108" t="s">
        <v>205</v>
      </c>
      <c r="D12" s="1130">
        <v>11305107</v>
      </c>
      <c r="E12" s="1130">
        <v>19160852</v>
      </c>
      <c r="F12" s="1130">
        <v>10444051</v>
      </c>
      <c r="G12" s="1130">
        <v>5705971</v>
      </c>
      <c r="H12" s="1130">
        <v>18532303</v>
      </c>
      <c r="I12" s="1130">
        <v>9855985</v>
      </c>
      <c r="J12" s="1130">
        <v>2745662</v>
      </c>
      <c r="K12" s="1130">
        <v>6243029</v>
      </c>
      <c r="L12" s="1130">
        <v>11600931</v>
      </c>
      <c r="M12" s="1130">
        <v>2645332</v>
      </c>
      <c r="N12" s="1130">
        <v>5598232</v>
      </c>
      <c r="O12" s="1130">
        <v>30215431</v>
      </c>
      <c r="P12" s="1130">
        <v>16913104</v>
      </c>
      <c r="Q12" s="1130">
        <v>3069979</v>
      </c>
      <c r="R12" s="1130">
        <v>385894</v>
      </c>
      <c r="S12" s="1130">
        <v>24204546</v>
      </c>
      <c r="T12" s="1130">
        <v>82920640</v>
      </c>
      <c r="U12" s="1130">
        <v>6509385</v>
      </c>
      <c r="V12" s="1130">
        <v>3581295</v>
      </c>
      <c r="W12" s="1130">
        <v>52466996</v>
      </c>
      <c r="X12" s="1130">
        <v>33655095</v>
      </c>
      <c r="Y12" s="1130">
        <v>3833056</v>
      </c>
      <c r="Z12" s="1130">
        <v>17807769</v>
      </c>
      <c r="AA12" s="1130">
        <v>2968473</v>
      </c>
      <c r="AB12" s="1130">
        <v>9647624</v>
      </c>
      <c r="AC12" s="1130">
        <v>41859485</v>
      </c>
      <c r="AD12" s="1130">
        <v>5325064</v>
      </c>
      <c r="AE12" s="1130">
        <v>26482311</v>
      </c>
      <c r="AF12" s="1130">
        <v>8750775</v>
      </c>
      <c r="AG12" s="1130">
        <v>4355543</v>
      </c>
      <c r="AH12" s="1130">
        <v>22382006</v>
      </c>
      <c r="AI12" s="1130">
        <v>16410902</v>
      </c>
      <c r="AJ12" s="1130">
        <v>37324742</v>
      </c>
      <c r="AK12" s="1130">
        <v>14522969</v>
      </c>
      <c r="AL12" s="1130">
        <v>11773271</v>
      </c>
      <c r="AM12" s="1130">
        <v>15201632</v>
      </c>
      <c r="AN12" s="1130">
        <v>11515007</v>
      </c>
      <c r="AO12" s="1130">
        <v>12442692</v>
      </c>
      <c r="AP12" s="1130">
        <v>10045701</v>
      </c>
      <c r="AQ12" s="1130">
        <v>1079728</v>
      </c>
      <c r="AR12" s="1130">
        <v>5364418</v>
      </c>
      <c r="AS12" s="1130">
        <v>12342668</v>
      </c>
      <c r="AT12" s="1130">
        <v>719952</v>
      </c>
      <c r="AU12" s="1130">
        <v>101115985</v>
      </c>
      <c r="AV12" s="1130">
        <v>7496406</v>
      </c>
      <c r="AW12" s="1130">
        <v>480805299</v>
      </c>
      <c r="AX12" s="1130">
        <v>4681119</v>
      </c>
      <c r="AY12" s="1130">
        <v>1854830</v>
      </c>
      <c r="AZ12" s="1130">
        <v>15416701</v>
      </c>
      <c r="BA12" s="1130">
        <v>24445416</v>
      </c>
      <c r="BB12" s="1130">
        <v>2175390</v>
      </c>
      <c r="BC12" s="1130">
        <v>2220447</v>
      </c>
      <c r="BD12" s="1130">
        <v>18593195</v>
      </c>
      <c r="BE12" s="1130">
        <v>21666950</v>
      </c>
      <c r="BF12" s="1130">
        <v>119645049</v>
      </c>
      <c r="BG12" s="1130">
        <v>6861680</v>
      </c>
      <c r="BH12" s="1130">
        <v>3285136</v>
      </c>
      <c r="BI12" s="1096"/>
      <c r="BJ12" s="1096"/>
      <c r="BK12" s="1096"/>
      <c r="BL12" s="1096"/>
      <c r="BM12" s="1096"/>
      <c r="BN12" s="1096"/>
      <c r="BO12" s="1096"/>
      <c r="BP12" s="1096"/>
      <c r="BQ12" s="1096"/>
      <c r="BR12" s="1096"/>
      <c r="BS12" s="1096"/>
      <c r="BT12" s="1096"/>
      <c r="BU12" s="1096"/>
      <c r="BV12" s="1096"/>
      <c r="BW12" s="1096"/>
      <c r="BX12" s="1096"/>
      <c r="BY12" s="1096"/>
    </row>
    <row r="13" spans="1:77" x14ac:dyDescent="0.3">
      <c r="A13" s="1108">
        <v>17</v>
      </c>
      <c r="B13" s="1108">
        <v>17</v>
      </c>
      <c r="C13" s="1108" t="s">
        <v>208</v>
      </c>
      <c r="D13" s="1108">
        <v>0</v>
      </c>
      <c r="E13" s="1108">
        <v>0</v>
      </c>
      <c r="F13" s="1108">
        <v>0</v>
      </c>
      <c r="G13" s="1108">
        <v>0</v>
      </c>
      <c r="H13" s="1108">
        <v>0</v>
      </c>
      <c r="I13" s="1108">
        <v>0</v>
      </c>
      <c r="J13" s="1108">
        <v>0</v>
      </c>
      <c r="K13" s="1108">
        <v>0</v>
      </c>
      <c r="L13" s="1108">
        <v>0</v>
      </c>
      <c r="M13" s="1108">
        <v>0</v>
      </c>
      <c r="N13" s="1108">
        <v>0</v>
      </c>
      <c r="O13" s="1108">
        <v>0</v>
      </c>
      <c r="P13" s="1108">
        <v>0</v>
      </c>
      <c r="Q13" s="1108">
        <v>0</v>
      </c>
      <c r="R13" s="1108">
        <v>0</v>
      </c>
      <c r="S13" s="1108">
        <v>0</v>
      </c>
      <c r="T13" s="1108">
        <v>0</v>
      </c>
      <c r="U13" s="1130">
        <v>12432</v>
      </c>
      <c r="V13" s="1108">
        <v>0</v>
      </c>
      <c r="W13" s="1108">
        <v>0</v>
      </c>
      <c r="X13" s="1108">
        <v>0</v>
      </c>
      <c r="Y13" s="1108">
        <v>0</v>
      </c>
      <c r="Z13" s="1108">
        <v>0</v>
      </c>
      <c r="AA13" s="1108">
        <v>0</v>
      </c>
      <c r="AB13" s="1108">
        <v>0</v>
      </c>
      <c r="AC13" s="1108">
        <v>0</v>
      </c>
      <c r="AD13" s="1108">
        <v>0</v>
      </c>
      <c r="AE13" s="1108">
        <v>0</v>
      </c>
      <c r="AF13" s="1108">
        <v>0</v>
      </c>
      <c r="AG13" s="1108">
        <v>0</v>
      </c>
      <c r="AH13" s="1108">
        <v>0</v>
      </c>
      <c r="AI13" s="1108">
        <v>0</v>
      </c>
      <c r="AJ13" s="1108">
        <v>0</v>
      </c>
      <c r="AK13" s="1108">
        <v>0</v>
      </c>
      <c r="AL13" s="1108">
        <v>0</v>
      </c>
      <c r="AM13" s="1108">
        <v>0</v>
      </c>
      <c r="AN13" s="1108">
        <v>0</v>
      </c>
      <c r="AO13" s="1108">
        <v>0</v>
      </c>
      <c r="AP13" s="1108">
        <v>0</v>
      </c>
      <c r="AQ13" s="1108">
        <v>0</v>
      </c>
      <c r="AR13" s="1108">
        <v>0</v>
      </c>
      <c r="AS13" s="1108">
        <v>0</v>
      </c>
      <c r="AT13" s="1130">
        <v>5853</v>
      </c>
      <c r="AU13" s="1108">
        <v>0</v>
      </c>
      <c r="AV13" s="1108">
        <v>0</v>
      </c>
      <c r="AW13" s="1108">
        <v>0</v>
      </c>
      <c r="AX13" s="1108">
        <v>0</v>
      </c>
      <c r="AY13" s="1108">
        <v>0</v>
      </c>
      <c r="AZ13" s="1108">
        <v>0</v>
      </c>
      <c r="BA13" s="1108">
        <v>0</v>
      </c>
      <c r="BB13" s="1108">
        <v>0</v>
      </c>
      <c r="BC13" s="1108">
        <v>0</v>
      </c>
      <c r="BD13" s="1108">
        <v>0</v>
      </c>
      <c r="BE13" s="1108">
        <v>0</v>
      </c>
      <c r="BF13" s="1108">
        <v>0</v>
      </c>
      <c r="BG13" s="1108">
        <v>0</v>
      </c>
      <c r="BH13" s="1130">
        <v>122925</v>
      </c>
      <c r="BI13" s="1096"/>
      <c r="BJ13" s="1096"/>
      <c r="BK13" s="1096"/>
      <c r="BL13" s="1096"/>
      <c r="BM13" s="1096"/>
      <c r="BN13" s="1096"/>
      <c r="BO13" s="1096"/>
      <c r="BP13" s="1096"/>
      <c r="BQ13" s="1096"/>
      <c r="BR13" s="1096"/>
      <c r="BS13" s="1096"/>
      <c r="BT13" s="1096"/>
      <c r="BU13" s="1096"/>
      <c r="BV13" s="1096"/>
      <c r="BW13" s="1096"/>
      <c r="BX13" s="1096"/>
      <c r="BY13" s="1096"/>
    </row>
    <row r="14" spans="1:77" x14ac:dyDescent="0.3">
      <c r="A14" s="1108"/>
      <c r="B14" s="1108">
        <v>19</v>
      </c>
      <c r="C14" s="1108" t="s">
        <v>1404</v>
      </c>
      <c r="D14" s="1108"/>
      <c r="E14" s="1108"/>
      <c r="F14" s="1108"/>
      <c r="G14" s="1108"/>
      <c r="H14" s="1108"/>
      <c r="I14" s="1108"/>
      <c r="J14" s="1108"/>
      <c r="K14" s="1108"/>
      <c r="L14" s="1108"/>
      <c r="M14" s="1108"/>
      <c r="N14" s="1108"/>
      <c r="O14" s="1108"/>
      <c r="P14" s="1108"/>
      <c r="Q14" s="1108"/>
      <c r="R14" s="1108"/>
      <c r="S14" s="1108"/>
      <c r="T14" s="1108"/>
      <c r="U14" s="1108"/>
      <c r="V14" s="1108"/>
      <c r="W14" s="1108"/>
      <c r="X14" s="1108"/>
      <c r="Y14" s="1108"/>
      <c r="Z14" s="1108"/>
      <c r="AA14" s="1108"/>
      <c r="AB14" s="1108"/>
      <c r="AC14" s="1108"/>
      <c r="AD14" s="1108"/>
      <c r="AE14" s="1108"/>
      <c r="AF14" s="1108"/>
      <c r="AG14" s="1108"/>
      <c r="AH14" s="1108"/>
      <c r="AI14" s="1108"/>
      <c r="AJ14" s="1108"/>
      <c r="AK14" s="1108"/>
      <c r="AL14" s="1108"/>
      <c r="AM14" s="1108"/>
      <c r="AN14" s="1108"/>
      <c r="AO14" s="1108"/>
      <c r="AP14" s="1108"/>
      <c r="AQ14" s="1108"/>
      <c r="AR14" s="1108"/>
      <c r="AS14" s="1108"/>
      <c r="AT14" s="1108"/>
      <c r="AU14" s="1108"/>
      <c r="AV14" s="1108"/>
      <c r="AW14" s="1108"/>
      <c r="AX14" s="1108"/>
      <c r="AY14" s="1108"/>
      <c r="AZ14" s="1108"/>
      <c r="BA14" s="1108"/>
      <c r="BB14" s="1108"/>
      <c r="BC14" s="1108"/>
      <c r="BD14" s="1108"/>
      <c r="BE14" s="1108"/>
      <c r="BF14" s="1108"/>
      <c r="BG14" s="1108"/>
      <c r="BH14" s="1108"/>
      <c r="BI14" s="1096"/>
      <c r="BJ14" s="1096"/>
      <c r="BK14" s="1096"/>
      <c r="BL14" s="1096"/>
      <c r="BM14" s="1096"/>
      <c r="BN14" s="1096"/>
      <c r="BO14" s="1096"/>
      <c r="BP14" s="1096"/>
      <c r="BQ14" s="1096"/>
      <c r="BR14" s="1096"/>
      <c r="BS14" s="1096"/>
      <c r="BT14" s="1096"/>
      <c r="BU14" s="1096"/>
      <c r="BV14" s="1096"/>
      <c r="BW14" s="1096"/>
      <c r="BX14" s="1096"/>
      <c r="BY14" s="1096"/>
    </row>
    <row r="15" spans="1:77" x14ac:dyDescent="0.3">
      <c r="A15" s="1108">
        <v>20</v>
      </c>
      <c r="B15" s="1108">
        <v>20</v>
      </c>
      <c r="C15" s="1108" t="s">
        <v>209</v>
      </c>
      <c r="D15" s="1108">
        <v>0</v>
      </c>
      <c r="E15" s="1108">
        <v>0</v>
      </c>
      <c r="F15" s="1108">
        <v>0</v>
      </c>
      <c r="G15" s="1108">
        <v>0</v>
      </c>
      <c r="H15" s="1108">
        <v>0</v>
      </c>
      <c r="I15" s="1108">
        <v>0</v>
      </c>
      <c r="J15" s="1108">
        <v>0</v>
      </c>
      <c r="K15" s="1108">
        <v>0</v>
      </c>
      <c r="L15" s="1108">
        <v>0</v>
      </c>
      <c r="M15" s="1130">
        <v>9591</v>
      </c>
      <c r="N15" s="1108">
        <v>0</v>
      </c>
      <c r="O15" s="1108">
        <v>0</v>
      </c>
      <c r="P15" s="1108">
        <v>0</v>
      </c>
      <c r="Q15" s="1108">
        <v>0</v>
      </c>
      <c r="R15" s="1108">
        <v>0</v>
      </c>
      <c r="S15" s="1108">
        <v>0</v>
      </c>
      <c r="T15" s="1130">
        <v>55720</v>
      </c>
      <c r="U15" s="1108">
        <v>0</v>
      </c>
      <c r="V15" s="1108">
        <v>0</v>
      </c>
      <c r="W15" s="1108">
        <v>0</v>
      </c>
      <c r="X15" s="1130">
        <v>126682</v>
      </c>
      <c r="Y15" s="1130">
        <v>65000</v>
      </c>
      <c r="Z15" s="1108">
        <v>0</v>
      </c>
      <c r="AA15" s="1108">
        <v>0</v>
      </c>
      <c r="AB15" s="1108">
        <v>0</v>
      </c>
      <c r="AC15" s="1108">
        <v>0</v>
      </c>
      <c r="AD15" s="1130">
        <v>75939</v>
      </c>
      <c r="AE15" s="1130">
        <v>237676</v>
      </c>
      <c r="AF15" s="1130">
        <v>29567</v>
      </c>
      <c r="AG15" s="1108">
        <v>0</v>
      </c>
      <c r="AH15" s="1108">
        <v>0</v>
      </c>
      <c r="AI15" s="1108">
        <v>0</v>
      </c>
      <c r="AJ15" s="1108">
        <v>0</v>
      </c>
      <c r="AK15" s="1108">
        <v>0</v>
      </c>
      <c r="AL15" s="1108">
        <v>0</v>
      </c>
      <c r="AM15" s="1108">
        <v>0</v>
      </c>
      <c r="AN15" s="1108">
        <v>0</v>
      </c>
      <c r="AO15" s="1108">
        <v>0</v>
      </c>
      <c r="AP15" s="1130">
        <v>11127</v>
      </c>
      <c r="AQ15" s="1108">
        <v>0</v>
      </c>
      <c r="AR15" s="1108">
        <v>0</v>
      </c>
      <c r="AS15" s="1108">
        <v>0</v>
      </c>
      <c r="AT15" s="1108">
        <v>0</v>
      </c>
      <c r="AU15" s="1130">
        <v>4361181</v>
      </c>
      <c r="AV15" s="1108">
        <v>0</v>
      </c>
      <c r="AW15" s="1108">
        <v>0</v>
      </c>
      <c r="AX15" s="1130">
        <v>45494</v>
      </c>
      <c r="AY15" s="1108">
        <v>0</v>
      </c>
      <c r="AZ15" s="1130">
        <v>45866</v>
      </c>
      <c r="BA15" s="1130">
        <v>2533</v>
      </c>
      <c r="BB15" s="1108">
        <v>0</v>
      </c>
      <c r="BC15" s="1108">
        <v>0</v>
      </c>
      <c r="BD15" s="1130">
        <v>57800</v>
      </c>
      <c r="BE15" s="1108">
        <v>0</v>
      </c>
      <c r="BF15" s="1108">
        <v>0</v>
      </c>
      <c r="BG15" s="1108">
        <v>0</v>
      </c>
      <c r="BH15" s="1108">
        <v>0</v>
      </c>
      <c r="BI15" s="1096"/>
      <c r="BJ15" s="1096"/>
      <c r="BK15" s="1096"/>
      <c r="BL15" s="1096"/>
      <c r="BM15" s="1096"/>
      <c r="BN15" s="1096"/>
      <c r="BO15" s="1096"/>
      <c r="BP15" s="1096"/>
      <c r="BQ15" s="1096"/>
      <c r="BR15" s="1096"/>
      <c r="BS15" s="1096"/>
      <c r="BT15" s="1096"/>
      <c r="BU15" s="1096"/>
      <c r="BV15" s="1096"/>
      <c r="BW15" s="1096"/>
      <c r="BX15" s="1096"/>
      <c r="BY15" s="1096"/>
    </row>
    <row r="16" spans="1:77" x14ac:dyDescent="0.3">
      <c r="A16" s="1108"/>
      <c r="B16" s="1108">
        <v>21</v>
      </c>
      <c r="C16" s="1108" t="s">
        <v>375</v>
      </c>
      <c r="D16" s="1108"/>
      <c r="E16" s="1108"/>
      <c r="F16" s="1108"/>
      <c r="G16" s="1108"/>
      <c r="H16" s="1108"/>
      <c r="I16" s="1108"/>
      <c r="J16" s="1108"/>
      <c r="K16" s="1108"/>
      <c r="L16" s="1108"/>
      <c r="M16" s="1108"/>
      <c r="N16" s="1108"/>
      <c r="O16" s="1108"/>
      <c r="P16" s="1108"/>
      <c r="Q16" s="1108"/>
      <c r="R16" s="1108"/>
      <c r="S16" s="1108"/>
      <c r="T16" s="1108"/>
      <c r="U16" s="1108"/>
      <c r="V16" s="1108"/>
      <c r="W16" s="1108"/>
      <c r="X16" s="1108"/>
      <c r="Y16" s="1108"/>
      <c r="Z16" s="1108"/>
      <c r="AA16" s="1108"/>
      <c r="AB16" s="1108"/>
      <c r="AC16" s="1108"/>
      <c r="AD16" s="1108"/>
      <c r="AE16" s="1108"/>
      <c r="AF16" s="1108"/>
      <c r="AG16" s="1108"/>
      <c r="AH16" s="1108"/>
      <c r="AI16" s="1108"/>
      <c r="AJ16" s="1108"/>
      <c r="AK16" s="1108"/>
      <c r="AL16" s="1108"/>
      <c r="AM16" s="1108"/>
      <c r="AN16" s="1108"/>
      <c r="AO16" s="1108"/>
      <c r="AP16" s="1108"/>
      <c r="AQ16" s="1108"/>
      <c r="AR16" s="1108"/>
      <c r="AS16" s="1108"/>
      <c r="AT16" s="1108"/>
      <c r="AU16" s="1108"/>
      <c r="AV16" s="1108"/>
      <c r="AW16" s="1108"/>
      <c r="AX16" s="1108"/>
      <c r="AY16" s="1108"/>
      <c r="AZ16" s="1108"/>
      <c r="BA16" s="1108"/>
      <c r="BB16" s="1108"/>
      <c r="BC16" s="1108"/>
      <c r="BD16" s="1108"/>
      <c r="BE16" s="1108"/>
      <c r="BF16" s="1108"/>
      <c r="BG16" s="1108"/>
      <c r="BH16" s="1108"/>
      <c r="BI16" s="1096"/>
      <c r="BJ16" s="1096"/>
      <c r="BK16" s="1096"/>
      <c r="BL16" s="1096"/>
      <c r="BM16" s="1096"/>
      <c r="BN16" s="1096"/>
      <c r="BO16" s="1096"/>
      <c r="BP16" s="1096"/>
      <c r="BQ16" s="1096"/>
      <c r="BR16" s="1096"/>
      <c r="BS16" s="1096"/>
      <c r="BT16" s="1096"/>
      <c r="BU16" s="1096"/>
      <c r="BV16" s="1096"/>
      <c r="BW16" s="1096"/>
      <c r="BX16" s="1096"/>
      <c r="BY16" s="1096"/>
    </row>
    <row r="17" spans="1:60" x14ac:dyDescent="0.3">
      <c r="A17" s="1108"/>
      <c r="B17" s="1108">
        <v>22</v>
      </c>
      <c r="C17" s="1108" t="s">
        <v>211</v>
      </c>
      <c r="D17" s="1108">
        <v>0</v>
      </c>
      <c r="E17" s="1108">
        <v>0</v>
      </c>
      <c r="F17" s="1108">
        <v>0</v>
      </c>
      <c r="G17" s="1108">
        <v>0</v>
      </c>
      <c r="H17" s="1108">
        <v>0</v>
      </c>
      <c r="I17" s="1108">
        <v>0</v>
      </c>
      <c r="J17" s="1108">
        <v>0</v>
      </c>
      <c r="K17" s="1108">
        <v>0</v>
      </c>
      <c r="L17" s="1108">
        <v>0</v>
      </c>
      <c r="M17" s="1108">
        <v>0</v>
      </c>
      <c r="N17" s="1108">
        <v>0</v>
      </c>
      <c r="O17" s="1108">
        <v>0</v>
      </c>
      <c r="P17" s="1108">
        <v>0</v>
      </c>
      <c r="Q17" s="1108">
        <v>0</v>
      </c>
      <c r="R17" s="1108">
        <v>0</v>
      </c>
      <c r="S17" s="1108">
        <v>0</v>
      </c>
      <c r="T17" s="1108">
        <v>0</v>
      </c>
      <c r="U17" s="1108">
        <v>0</v>
      </c>
      <c r="V17" s="1108">
        <v>0</v>
      </c>
      <c r="W17" s="1108">
        <v>0</v>
      </c>
      <c r="X17" s="1108">
        <v>0</v>
      </c>
      <c r="Y17" s="1108">
        <v>0</v>
      </c>
      <c r="Z17" s="1108">
        <v>0</v>
      </c>
      <c r="AA17" s="1108">
        <v>0</v>
      </c>
      <c r="AB17" s="1108">
        <v>0</v>
      </c>
      <c r="AC17" s="1108">
        <v>0</v>
      </c>
      <c r="AD17" s="1108">
        <v>0</v>
      </c>
      <c r="AE17" s="1108">
        <v>0</v>
      </c>
      <c r="AF17" s="1108">
        <v>0</v>
      </c>
      <c r="AG17" s="1108">
        <v>0</v>
      </c>
      <c r="AH17" s="1108">
        <v>0</v>
      </c>
      <c r="AI17" s="1108">
        <v>0</v>
      </c>
      <c r="AJ17" s="1108">
        <v>0</v>
      </c>
      <c r="AK17" s="1108">
        <v>0</v>
      </c>
      <c r="AL17" s="1108">
        <v>0</v>
      </c>
      <c r="AM17" s="1108">
        <v>0</v>
      </c>
      <c r="AN17" s="1108">
        <v>0</v>
      </c>
      <c r="AO17" s="1108">
        <v>0</v>
      </c>
      <c r="AP17" s="1108">
        <v>0</v>
      </c>
      <c r="AQ17" s="1108">
        <v>0</v>
      </c>
      <c r="AR17" s="1108">
        <v>0</v>
      </c>
      <c r="AS17" s="1108">
        <v>0</v>
      </c>
      <c r="AT17" s="1108">
        <v>0</v>
      </c>
      <c r="AU17" s="1108">
        <v>0</v>
      </c>
      <c r="AV17" s="1108">
        <v>0</v>
      </c>
      <c r="AW17" s="1108">
        <v>0</v>
      </c>
      <c r="AX17" s="1108">
        <v>0</v>
      </c>
      <c r="AY17" s="1108">
        <v>0</v>
      </c>
      <c r="AZ17" s="1108">
        <v>0</v>
      </c>
      <c r="BA17" s="1108">
        <v>0</v>
      </c>
      <c r="BB17" s="1108">
        <v>0</v>
      </c>
      <c r="BC17" s="1108">
        <v>0</v>
      </c>
      <c r="BD17" s="1108">
        <v>0</v>
      </c>
      <c r="BE17" s="1108">
        <v>0</v>
      </c>
      <c r="BF17" s="1108">
        <v>0</v>
      </c>
      <c r="BG17" s="1108">
        <v>0</v>
      </c>
      <c r="BH17" s="1108">
        <v>0</v>
      </c>
    </row>
    <row r="18" spans="1:60" x14ac:dyDescent="0.3">
      <c r="A18" s="1108">
        <v>23</v>
      </c>
      <c r="B18" s="1108">
        <v>23</v>
      </c>
      <c r="C18" s="1108" t="s">
        <v>214</v>
      </c>
      <c r="D18" s="1130">
        <v>-423677</v>
      </c>
      <c r="E18" s="1130">
        <v>333717</v>
      </c>
      <c r="F18" s="1130">
        <v>-204724</v>
      </c>
      <c r="G18" s="1130">
        <v>-672505</v>
      </c>
      <c r="H18" s="1130">
        <v>108899</v>
      </c>
      <c r="I18" s="1130">
        <v>-76713</v>
      </c>
      <c r="J18" s="1130">
        <v>33420</v>
      </c>
      <c r="K18" s="1130">
        <v>-553280</v>
      </c>
      <c r="L18" s="1130">
        <v>-64404</v>
      </c>
      <c r="M18" s="1130">
        <v>-41191</v>
      </c>
      <c r="N18" s="1130">
        <v>-84888</v>
      </c>
      <c r="O18" s="1130">
        <v>-772596</v>
      </c>
      <c r="P18" s="1130">
        <v>446116</v>
      </c>
      <c r="Q18" s="1130">
        <v>-73427</v>
      </c>
      <c r="R18" s="1130">
        <v>-87245</v>
      </c>
      <c r="S18" s="1130">
        <v>1365968</v>
      </c>
      <c r="T18" s="1130">
        <v>-3120913</v>
      </c>
      <c r="U18" s="1130">
        <v>240032</v>
      </c>
      <c r="V18" s="1130">
        <v>-373649</v>
      </c>
      <c r="W18" s="1130">
        <v>1547396</v>
      </c>
      <c r="X18" s="1130">
        <v>542815</v>
      </c>
      <c r="Y18" s="1130">
        <v>-47861</v>
      </c>
      <c r="Z18" s="1130">
        <v>798399</v>
      </c>
      <c r="AA18" s="1130">
        <v>-107483</v>
      </c>
      <c r="AB18" s="1130">
        <v>40526</v>
      </c>
      <c r="AC18" s="1130">
        <v>1690141</v>
      </c>
      <c r="AD18" s="1130">
        <v>-597018</v>
      </c>
      <c r="AE18" s="1130">
        <v>-346571</v>
      </c>
      <c r="AF18" s="1130">
        <v>-109765</v>
      </c>
      <c r="AG18" s="1130">
        <v>271738</v>
      </c>
      <c r="AH18" s="1130">
        <v>-5246773</v>
      </c>
      <c r="AI18" s="1130">
        <v>1938962</v>
      </c>
      <c r="AJ18" s="1130">
        <v>-256052</v>
      </c>
      <c r="AK18" s="1130">
        <v>-93617</v>
      </c>
      <c r="AL18" s="1130">
        <v>36174</v>
      </c>
      <c r="AM18" s="1130">
        <v>-978957</v>
      </c>
      <c r="AN18" s="1130">
        <v>-393329</v>
      </c>
      <c r="AO18" s="1130">
        <v>-40618</v>
      </c>
      <c r="AP18" s="1130">
        <v>-700428</v>
      </c>
      <c r="AQ18" s="1130">
        <v>3838</v>
      </c>
      <c r="AR18" s="1130">
        <v>-954705</v>
      </c>
      <c r="AS18" s="1130">
        <v>385104</v>
      </c>
      <c r="AT18" s="1130">
        <v>17105</v>
      </c>
      <c r="AU18" s="1130">
        <v>-4789077</v>
      </c>
      <c r="AV18" s="1130">
        <v>30037</v>
      </c>
      <c r="AW18" s="1130">
        <v>13847224</v>
      </c>
      <c r="AX18" s="1130">
        <v>-536214</v>
      </c>
      <c r="AY18" s="1130">
        <v>41515</v>
      </c>
      <c r="AZ18" s="1130">
        <v>499425</v>
      </c>
      <c r="BA18" s="1130">
        <v>-5394060</v>
      </c>
      <c r="BB18" s="1130">
        <v>64683</v>
      </c>
      <c r="BC18" s="1130">
        <v>158779</v>
      </c>
      <c r="BD18" s="1130">
        <v>331379</v>
      </c>
      <c r="BE18" s="1130">
        <v>585792</v>
      </c>
      <c r="BF18" s="1130">
        <v>-7154317</v>
      </c>
      <c r="BG18" s="1130">
        <v>-254221</v>
      </c>
      <c r="BH18" s="1130">
        <v>173422</v>
      </c>
    </row>
    <row r="19" spans="1:60" x14ac:dyDescent="0.3">
      <c r="A19" s="1108">
        <v>31</v>
      </c>
      <c r="B19" s="1108">
        <v>31</v>
      </c>
      <c r="C19" s="1108" t="s">
        <v>1405</v>
      </c>
      <c r="D19" s="1130">
        <v>6230</v>
      </c>
      <c r="E19" s="1130">
        <v>202902</v>
      </c>
      <c r="F19" s="1130">
        <v>290867</v>
      </c>
      <c r="G19" s="1130">
        <v>306407</v>
      </c>
      <c r="H19" s="1130">
        <v>-2921908</v>
      </c>
      <c r="I19" s="1130">
        <v>-107701</v>
      </c>
      <c r="J19" s="1130">
        <v>-427760</v>
      </c>
      <c r="K19" s="1130">
        <v>72772</v>
      </c>
      <c r="L19" s="1130">
        <v>142145</v>
      </c>
      <c r="M19" s="1130">
        <v>43105</v>
      </c>
      <c r="N19" s="1130">
        <v>-67178</v>
      </c>
      <c r="O19" s="1130">
        <v>290613</v>
      </c>
      <c r="P19" s="1130">
        <v>334031</v>
      </c>
      <c r="Q19" s="1130">
        <v>-3895</v>
      </c>
      <c r="R19" s="1108">
        <v>0</v>
      </c>
      <c r="S19" s="1130">
        <v>-106980</v>
      </c>
      <c r="T19" s="1130">
        <v>404582</v>
      </c>
      <c r="U19" s="1130">
        <v>162816</v>
      </c>
      <c r="V19" s="1130">
        <v>-43968</v>
      </c>
      <c r="W19" s="1130">
        <v>1478520</v>
      </c>
      <c r="X19" s="1130">
        <v>222994</v>
      </c>
      <c r="Y19" s="1130">
        <v>87896</v>
      </c>
      <c r="Z19" s="1130">
        <v>352548</v>
      </c>
      <c r="AA19" s="1130">
        <v>-33756</v>
      </c>
      <c r="AB19" s="1130">
        <v>165649</v>
      </c>
      <c r="AC19" s="1130">
        <v>250968</v>
      </c>
      <c r="AD19" s="1130">
        <v>38558</v>
      </c>
      <c r="AE19" s="1130">
        <v>-86408</v>
      </c>
      <c r="AF19" s="1130">
        <v>303398</v>
      </c>
      <c r="AG19" s="1130">
        <v>-197371</v>
      </c>
      <c r="AH19" s="1130">
        <v>-1242240</v>
      </c>
      <c r="AI19" s="1130">
        <v>1010791</v>
      </c>
      <c r="AJ19" s="1130">
        <v>316440</v>
      </c>
      <c r="AK19" s="1130">
        <v>-188262</v>
      </c>
      <c r="AL19" s="1130">
        <v>347863</v>
      </c>
      <c r="AM19" s="1130">
        <v>157580</v>
      </c>
      <c r="AN19" s="1130">
        <v>616719</v>
      </c>
      <c r="AO19" s="1130">
        <v>150842</v>
      </c>
      <c r="AP19" s="1130">
        <v>83537</v>
      </c>
      <c r="AQ19" s="1130">
        <v>104099</v>
      </c>
      <c r="AR19" s="1130">
        <v>311065</v>
      </c>
      <c r="AS19" s="1130">
        <v>-44459</v>
      </c>
      <c r="AT19" s="1130">
        <v>66164</v>
      </c>
      <c r="AU19" s="1130">
        <v>-648668</v>
      </c>
      <c r="AV19" s="1130">
        <v>83715</v>
      </c>
      <c r="AW19" s="1130">
        <v>-553329</v>
      </c>
      <c r="AX19" s="1130">
        <v>4693</v>
      </c>
      <c r="AY19" s="1130">
        <v>-28140</v>
      </c>
      <c r="AZ19" s="1130">
        <v>132136</v>
      </c>
      <c r="BA19" s="1130">
        <v>-3946045</v>
      </c>
      <c r="BB19" s="1130">
        <v>3897</v>
      </c>
      <c r="BC19" s="1130">
        <v>220200</v>
      </c>
      <c r="BD19" s="1130">
        <v>119588</v>
      </c>
      <c r="BE19" s="1130">
        <v>253628</v>
      </c>
      <c r="BF19" s="1130">
        <v>605458</v>
      </c>
      <c r="BG19" s="1130">
        <v>98931</v>
      </c>
      <c r="BH19" s="1130">
        <v>122903</v>
      </c>
    </row>
    <row r="20" spans="1:60" x14ac:dyDescent="0.3">
      <c r="A20" s="1108"/>
      <c r="B20" s="1108">
        <v>32</v>
      </c>
      <c r="C20" s="1108" t="s">
        <v>292</v>
      </c>
      <c r="D20" s="1108"/>
      <c r="E20" s="1108"/>
      <c r="F20" s="1108"/>
      <c r="G20" s="1108"/>
      <c r="H20" s="1108"/>
      <c r="I20" s="1108"/>
      <c r="J20" s="1108"/>
      <c r="K20" s="1108"/>
      <c r="L20" s="1108"/>
      <c r="M20" s="1108"/>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c r="AL20" s="1108"/>
      <c r="AM20" s="1108"/>
      <c r="AN20" s="1108"/>
      <c r="AO20" s="1108"/>
      <c r="AP20" s="1108"/>
      <c r="AQ20" s="1108"/>
      <c r="AR20" s="1108"/>
      <c r="AS20" s="1108"/>
      <c r="AT20" s="1108"/>
      <c r="AU20" s="1108"/>
      <c r="AV20" s="1108"/>
      <c r="AW20" s="1108"/>
      <c r="AX20" s="1108"/>
      <c r="AY20" s="1108"/>
      <c r="AZ20" s="1108"/>
      <c r="BA20" s="1108"/>
      <c r="BB20" s="1108"/>
      <c r="BC20" s="1108"/>
      <c r="BD20" s="1108"/>
      <c r="BE20" s="1108"/>
      <c r="BF20" s="1108"/>
      <c r="BG20" s="1108"/>
      <c r="BH20" s="1108"/>
    </row>
    <row r="21" spans="1:60" x14ac:dyDescent="0.3">
      <c r="A21" s="1108"/>
      <c r="B21" s="1108">
        <v>33</v>
      </c>
      <c r="C21" s="1108" t="s">
        <v>293</v>
      </c>
      <c r="D21" s="1108"/>
      <c r="E21" s="1108"/>
      <c r="F21" s="1108"/>
      <c r="G21" s="1108"/>
      <c r="H21" s="1108"/>
      <c r="I21" s="1108"/>
      <c r="J21" s="1108"/>
      <c r="K21" s="1108"/>
      <c r="L21" s="1108"/>
      <c r="M21" s="1108"/>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c r="AL21" s="1108"/>
      <c r="AM21" s="1108"/>
      <c r="AN21" s="1108"/>
      <c r="AO21" s="1108"/>
      <c r="AP21" s="1108"/>
      <c r="AQ21" s="1108"/>
      <c r="AR21" s="1108"/>
      <c r="AS21" s="1108"/>
      <c r="AT21" s="1108"/>
      <c r="AU21" s="1108"/>
      <c r="AV21" s="1108"/>
      <c r="AW21" s="1108"/>
      <c r="AX21" s="1108"/>
      <c r="AY21" s="1108"/>
      <c r="AZ21" s="1108"/>
      <c r="BA21" s="1108"/>
      <c r="BB21" s="1108"/>
      <c r="BC21" s="1108"/>
      <c r="BD21" s="1108"/>
      <c r="BE21" s="1108"/>
      <c r="BF21" s="1108"/>
      <c r="BG21" s="1108"/>
      <c r="BH21" s="1108"/>
    </row>
    <row r="22" spans="1:60" x14ac:dyDescent="0.3">
      <c r="A22" s="1108"/>
      <c r="B22" s="1108">
        <v>34</v>
      </c>
      <c r="C22" s="1108" t="s">
        <v>294</v>
      </c>
      <c r="D22" s="1108"/>
      <c r="E22" s="1108"/>
      <c r="F22" s="1108"/>
      <c r="G22" s="1108"/>
      <c r="H22" s="1108"/>
      <c r="I22" s="1108"/>
      <c r="J22" s="1108"/>
      <c r="K22" s="1108"/>
      <c r="L22" s="1108"/>
      <c r="M22" s="1108"/>
      <c r="N22" s="1108"/>
      <c r="O22" s="1108"/>
      <c r="P22" s="1108"/>
      <c r="Q22" s="1108"/>
      <c r="R22" s="1108"/>
      <c r="S22" s="1108"/>
      <c r="T22" s="1108"/>
      <c r="U22" s="1108"/>
      <c r="V22" s="1108"/>
      <c r="W22" s="1108"/>
      <c r="X22" s="1108"/>
      <c r="Y22" s="1108"/>
      <c r="Z22" s="1108"/>
      <c r="AA22" s="1108"/>
      <c r="AB22" s="1108"/>
      <c r="AC22" s="1108"/>
      <c r="AD22" s="1108"/>
      <c r="AE22" s="1108"/>
      <c r="AF22" s="1108"/>
      <c r="AG22" s="1108"/>
      <c r="AH22" s="1108"/>
      <c r="AI22" s="1108"/>
      <c r="AJ22" s="1108"/>
      <c r="AK22" s="1108"/>
      <c r="AL22" s="1108"/>
      <c r="AM22" s="1108"/>
      <c r="AN22" s="1108"/>
      <c r="AO22" s="1108"/>
      <c r="AP22" s="1108"/>
      <c r="AQ22" s="1108"/>
      <c r="AR22" s="1108"/>
      <c r="AS22" s="1108"/>
      <c r="AT22" s="1108"/>
      <c r="AU22" s="1108"/>
      <c r="AV22" s="1108"/>
      <c r="AW22" s="1108"/>
      <c r="AX22" s="1108"/>
      <c r="AY22" s="1108"/>
      <c r="AZ22" s="1108"/>
      <c r="BA22" s="1108"/>
      <c r="BB22" s="1108"/>
      <c r="BC22" s="1108"/>
      <c r="BD22" s="1108"/>
      <c r="BE22" s="1108"/>
      <c r="BF22" s="1108"/>
      <c r="BG22" s="1108"/>
      <c r="BH22" s="1108"/>
    </row>
    <row r="23" spans="1:60" x14ac:dyDescent="0.3">
      <c r="A23" s="1108"/>
      <c r="B23" s="1108">
        <v>35</v>
      </c>
      <c r="C23" s="1108" t="s">
        <v>376</v>
      </c>
      <c r="D23" s="1108"/>
      <c r="E23" s="1108"/>
      <c r="F23" s="1108"/>
      <c r="G23" s="1108"/>
      <c r="H23" s="1108"/>
      <c r="I23" s="1108"/>
      <c r="J23" s="1108"/>
      <c r="K23" s="1108"/>
      <c r="L23" s="1108"/>
      <c r="M23" s="1108"/>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c r="AL23" s="1108"/>
      <c r="AM23" s="1108"/>
      <c r="AN23" s="1108"/>
      <c r="AO23" s="1108"/>
      <c r="AP23" s="1108"/>
      <c r="AQ23" s="1108"/>
      <c r="AR23" s="1108"/>
      <c r="AS23" s="1108"/>
      <c r="AT23" s="1108"/>
      <c r="AU23" s="1108"/>
      <c r="AV23" s="1108"/>
      <c r="AW23" s="1108"/>
      <c r="AX23" s="1108"/>
      <c r="AY23" s="1108"/>
      <c r="AZ23" s="1108"/>
      <c r="BA23" s="1108"/>
      <c r="BB23" s="1108"/>
      <c r="BC23" s="1108"/>
      <c r="BD23" s="1108"/>
      <c r="BE23" s="1108"/>
      <c r="BF23" s="1108"/>
      <c r="BG23" s="1108"/>
      <c r="BH23" s="1108"/>
    </row>
    <row r="24" spans="1:60" x14ac:dyDescent="0.3">
      <c r="A24" s="1108"/>
      <c r="B24" s="1108">
        <v>36</v>
      </c>
      <c r="C24" s="1108" t="s">
        <v>377</v>
      </c>
      <c r="D24" s="1108"/>
      <c r="E24" s="1108"/>
      <c r="F24" s="1108"/>
      <c r="G24" s="1108"/>
      <c r="H24" s="1108"/>
      <c r="I24" s="1108"/>
      <c r="J24" s="1108"/>
      <c r="K24" s="1108"/>
      <c r="L24" s="1108"/>
      <c r="M24" s="1108"/>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c r="AL24" s="1108"/>
      <c r="AM24" s="1108"/>
      <c r="AN24" s="1108"/>
      <c r="AO24" s="1108"/>
      <c r="AP24" s="1108"/>
      <c r="AQ24" s="1108"/>
      <c r="AR24" s="1108"/>
      <c r="AS24" s="1108"/>
      <c r="AT24" s="1108"/>
      <c r="AU24" s="1108"/>
      <c r="AV24" s="1108"/>
      <c r="AW24" s="1108"/>
      <c r="AX24" s="1108"/>
      <c r="AY24" s="1108"/>
      <c r="AZ24" s="1108"/>
      <c r="BA24" s="1108"/>
      <c r="BB24" s="1108"/>
      <c r="BC24" s="1108"/>
      <c r="BD24" s="1108"/>
      <c r="BE24" s="1108"/>
      <c r="BF24" s="1108"/>
      <c r="BG24" s="1108"/>
      <c r="BH24" s="1108"/>
    </row>
    <row r="25" spans="1:60" x14ac:dyDescent="0.3">
      <c r="A25" s="1108"/>
      <c r="B25" s="1108">
        <v>37</v>
      </c>
      <c r="C25" s="1108" t="s">
        <v>295</v>
      </c>
      <c r="D25" s="1108"/>
      <c r="E25" s="1108"/>
      <c r="F25" s="1108"/>
      <c r="G25" s="1108"/>
      <c r="H25" s="1108"/>
      <c r="I25" s="1108"/>
      <c r="J25" s="1108"/>
      <c r="K25" s="1108"/>
      <c r="L25" s="1108"/>
      <c r="M25" s="1108"/>
      <c r="N25" s="1108"/>
      <c r="O25" s="1108"/>
      <c r="P25" s="1108"/>
      <c r="Q25" s="1108"/>
      <c r="R25" s="1108"/>
      <c r="S25" s="1108"/>
      <c r="T25" s="1108"/>
      <c r="U25" s="1108"/>
      <c r="V25" s="1108"/>
      <c r="W25" s="1108"/>
      <c r="X25" s="1108"/>
      <c r="Y25" s="1108"/>
      <c r="Z25" s="1108"/>
      <c r="AA25" s="1108"/>
      <c r="AB25" s="1108"/>
      <c r="AC25" s="1108"/>
      <c r="AD25" s="1108"/>
      <c r="AE25" s="1108"/>
      <c r="AF25" s="1108"/>
      <c r="AG25" s="1108"/>
      <c r="AH25" s="1108"/>
      <c r="AI25" s="1108"/>
      <c r="AJ25" s="1108"/>
      <c r="AK25" s="1108"/>
      <c r="AL25" s="1108"/>
      <c r="AM25" s="1108"/>
      <c r="AN25" s="1108"/>
      <c r="AO25" s="1108"/>
      <c r="AP25" s="1108"/>
      <c r="AQ25" s="1108"/>
      <c r="AR25" s="1108"/>
      <c r="AS25" s="1108"/>
      <c r="AT25" s="1108"/>
      <c r="AU25" s="1108"/>
      <c r="AV25" s="1108"/>
      <c r="AW25" s="1108"/>
      <c r="AX25" s="1108"/>
      <c r="AY25" s="1108"/>
      <c r="AZ25" s="1108"/>
      <c r="BA25" s="1108"/>
      <c r="BB25" s="1108"/>
      <c r="BC25" s="1108"/>
      <c r="BD25" s="1108"/>
      <c r="BE25" s="1108"/>
      <c r="BF25" s="1108"/>
      <c r="BG25" s="1108"/>
      <c r="BH25" s="1108"/>
    </row>
    <row r="26" spans="1:60" x14ac:dyDescent="0.3">
      <c r="A26" s="1108"/>
      <c r="B26" s="1108">
        <v>38</v>
      </c>
      <c r="C26" s="1108" t="s">
        <v>378</v>
      </c>
      <c r="D26" s="1108"/>
      <c r="E26" s="1108"/>
      <c r="F26" s="1108"/>
      <c r="G26" s="1108"/>
      <c r="H26" s="1108"/>
      <c r="I26" s="1108"/>
      <c r="J26" s="1108"/>
      <c r="K26" s="1108"/>
      <c r="L26" s="1108"/>
      <c r="M26" s="1108"/>
      <c r="N26" s="1108"/>
      <c r="O26" s="1108"/>
      <c r="P26" s="1108"/>
      <c r="Q26" s="1108"/>
      <c r="R26" s="1108"/>
      <c r="S26" s="1108"/>
      <c r="T26" s="1108"/>
      <c r="U26" s="1108"/>
      <c r="V26" s="1108"/>
      <c r="W26" s="1108"/>
      <c r="X26" s="1108"/>
      <c r="Y26" s="1108"/>
      <c r="Z26" s="1108"/>
      <c r="AA26" s="1108"/>
      <c r="AB26" s="1108"/>
      <c r="AC26" s="1108"/>
      <c r="AD26" s="1108"/>
      <c r="AE26" s="1108"/>
      <c r="AF26" s="1108"/>
      <c r="AG26" s="1108"/>
      <c r="AH26" s="1108"/>
      <c r="AI26" s="1108"/>
      <c r="AJ26" s="1108"/>
      <c r="AK26" s="1108"/>
      <c r="AL26" s="1108"/>
      <c r="AM26" s="1108"/>
      <c r="AN26" s="1108"/>
      <c r="AO26" s="1108"/>
      <c r="AP26" s="1108"/>
      <c r="AQ26" s="1108"/>
      <c r="AR26" s="1108"/>
      <c r="AS26" s="1108"/>
      <c r="AT26" s="1108"/>
      <c r="AU26" s="1108"/>
      <c r="AV26" s="1108"/>
      <c r="AW26" s="1108"/>
      <c r="AX26" s="1108"/>
      <c r="AY26" s="1108"/>
      <c r="AZ26" s="1108"/>
      <c r="BA26" s="1108"/>
      <c r="BB26" s="1108"/>
      <c r="BC26" s="1108"/>
      <c r="BD26" s="1108"/>
      <c r="BE26" s="1108"/>
      <c r="BF26" s="1108"/>
      <c r="BG26" s="1108"/>
      <c r="BH26" s="1108"/>
    </row>
    <row r="27" spans="1:60" x14ac:dyDescent="0.3">
      <c r="A27" s="1108"/>
      <c r="B27" s="1108">
        <v>39</v>
      </c>
      <c r="C27" s="1108" t="s">
        <v>296</v>
      </c>
      <c r="D27" s="1108"/>
      <c r="E27" s="1108"/>
      <c r="F27" s="1108"/>
      <c r="G27" s="1108"/>
      <c r="H27" s="1108"/>
      <c r="I27" s="1108"/>
      <c r="J27" s="1108"/>
      <c r="K27" s="1108"/>
      <c r="L27" s="1108"/>
      <c r="M27" s="1108"/>
      <c r="N27" s="1108"/>
      <c r="O27" s="1108"/>
      <c r="P27" s="1108"/>
      <c r="Q27" s="1108"/>
      <c r="R27" s="1108"/>
      <c r="S27" s="1108"/>
      <c r="T27" s="1108"/>
      <c r="U27" s="1108"/>
      <c r="V27" s="1108"/>
      <c r="W27" s="1108"/>
      <c r="X27" s="1108"/>
      <c r="Y27" s="1108"/>
      <c r="Z27" s="1108"/>
      <c r="AA27" s="1108"/>
      <c r="AB27" s="1108"/>
      <c r="AC27" s="1108"/>
      <c r="AD27" s="1108"/>
      <c r="AE27" s="1108"/>
      <c r="AF27" s="1108"/>
      <c r="AG27" s="1108"/>
      <c r="AH27" s="1108"/>
      <c r="AI27" s="1108"/>
      <c r="AJ27" s="1108"/>
      <c r="AK27" s="1108"/>
      <c r="AL27" s="1108"/>
      <c r="AM27" s="1108"/>
      <c r="AN27" s="1108"/>
      <c r="AO27" s="1108"/>
      <c r="AP27" s="1108"/>
      <c r="AQ27" s="1108"/>
      <c r="AR27" s="1108"/>
      <c r="AS27" s="1108"/>
      <c r="AT27" s="1108"/>
      <c r="AU27" s="1108"/>
      <c r="AV27" s="1108"/>
      <c r="AW27" s="1108"/>
      <c r="AX27" s="1108"/>
      <c r="AY27" s="1108"/>
      <c r="AZ27" s="1108"/>
      <c r="BA27" s="1108"/>
      <c r="BB27" s="1108"/>
      <c r="BC27" s="1108"/>
      <c r="BD27" s="1108"/>
      <c r="BE27" s="1108"/>
      <c r="BF27" s="1108"/>
      <c r="BG27" s="1108"/>
      <c r="BH27" s="1108"/>
    </row>
    <row r="28" spans="1:60" x14ac:dyDescent="0.3">
      <c r="A28" s="1108"/>
      <c r="B28" s="1108">
        <v>40</v>
      </c>
      <c r="C28" s="1108" t="s">
        <v>297</v>
      </c>
      <c r="D28" s="1108"/>
      <c r="E28" s="1108"/>
      <c r="F28" s="1108"/>
      <c r="G28" s="1108"/>
      <c r="H28" s="1108"/>
      <c r="I28" s="1108"/>
      <c r="J28" s="1108"/>
      <c r="K28" s="1108"/>
      <c r="L28" s="1108"/>
      <c r="M28" s="1108"/>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c r="AL28" s="1108"/>
      <c r="AM28" s="1108"/>
      <c r="AN28" s="1108"/>
      <c r="AO28" s="1108"/>
      <c r="AP28" s="1108"/>
      <c r="AQ28" s="1108"/>
      <c r="AR28" s="1108"/>
      <c r="AS28" s="1108"/>
      <c r="AT28" s="1108"/>
      <c r="AU28" s="1108"/>
      <c r="AV28" s="1108"/>
      <c r="AW28" s="1108"/>
      <c r="AX28" s="1108"/>
      <c r="AY28" s="1108"/>
      <c r="AZ28" s="1108"/>
      <c r="BA28" s="1108"/>
      <c r="BB28" s="1108"/>
      <c r="BC28" s="1108"/>
      <c r="BD28" s="1108"/>
      <c r="BE28" s="1108"/>
      <c r="BF28" s="1108"/>
      <c r="BG28" s="1108"/>
      <c r="BH28" s="1108"/>
    </row>
    <row r="29" spans="1:60" x14ac:dyDescent="0.3">
      <c r="A29" s="1108"/>
      <c r="B29" s="1108">
        <v>41</v>
      </c>
      <c r="C29" s="1108" t="s">
        <v>298</v>
      </c>
      <c r="D29" s="1108"/>
      <c r="E29" s="1108"/>
      <c r="F29" s="1108"/>
      <c r="G29" s="1108"/>
      <c r="H29" s="1108"/>
      <c r="I29" s="1108"/>
      <c r="J29" s="1108"/>
      <c r="K29" s="1108"/>
      <c r="L29" s="1108"/>
      <c r="M29" s="1108"/>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c r="AL29" s="1108"/>
      <c r="AM29" s="1108"/>
      <c r="AN29" s="1108"/>
      <c r="AO29" s="1108"/>
      <c r="AP29" s="1108"/>
      <c r="AQ29" s="1108"/>
      <c r="AR29" s="1108"/>
      <c r="AS29" s="1108"/>
      <c r="AT29" s="1108"/>
      <c r="AU29" s="1108"/>
      <c r="AV29" s="1108"/>
      <c r="AW29" s="1108"/>
      <c r="AX29" s="1108"/>
      <c r="AY29" s="1108"/>
      <c r="AZ29" s="1108"/>
      <c r="BA29" s="1108"/>
      <c r="BB29" s="1108"/>
      <c r="BC29" s="1108"/>
      <c r="BD29" s="1108"/>
      <c r="BE29" s="1108"/>
      <c r="BF29" s="1108"/>
      <c r="BG29" s="1108"/>
      <c r="BH29" s="1108"/>
    </row>
    <row r="30" spans="1:60" x14ac:dyDescent="0.3">
      <c r="A30" s="1108"/>
      <c r="B30" s="1108">
        <v>43</v>
      </c>
      <c r="C30" s="1108" t="e">
        <v>#VALUE!</v>
      </c>
      <c r="D30" s="1108"/>
      <c r="E30" s="1108"/>
      <c r="F30" s="1108"/>
      <c r="G30" s="1108"/>
      <c r="H30" s="1108"/>
      <c r="I30" s="1108"/>
      <c r="J30" s="1108"/>
      <c r="K30" s="1108"/>
      <c r="L30" s="1108"/>
      <c r="M30" s="1108"/>
      <c r="N30" s="1108"/>
      <c r="O30" s="1108"/>
      <c r="P30" s="1108"/>
      <c r="Q30" s="1108"/>
      <c r="R30" s="1108"/>
      <c r="S30" s="1108"/>
      <c r="T30" s="1108"/>
      <c r="U30" s="1108"/>
      <c r="V30" s="1108"/>
      <c r="W30" s="1108"/>
      <c r="X30" s="1108"/>
      <c r="Y30" s="1108"/>
      <c r="Z30" s="1108"/>
      <c r="AA30" s="1108"/>
      <c r="AB30" s="1108"/>
      <c r="AC30" s="1108"/>
      <c r="AD30" s="1108"/>
      <c r="AE30" s="1108"/>
      <c r="AF30" s="1108"/>
      <c r="AG30" s="1108"/>
      <c r="AH30" s="1108"/>
      <c r="AI30" s="1108"/>
      <c r="AJ30" s="1108"/>
      <c r="AK30" s="1108"/>
      <c r="AL30" s="1108"/>
      <c r="AM30" s="1108"/>
      <c r="AN30" s="1108"/>
      <c r="AO30" s="1108"/>
      <c r="AP30" s="1108"/>
      <c r="AQ30" s="1108"/>
      <c r="AR30" s="1108"/>
      <c r="AS30" s="1108"/>
      <c r="AT30" s="1108"/>
      <c r="AU30" s="1108"/>
      <c r="AV30" s="1108"/>
      <c r="AW30" s="1108"/>
      <c r="AX30" s="1108"/>
      <c r="AY30" s="1108"/>
      <c r="AZ30" s="1108"/>
      <c r="BA30" s="1108"/>
      <c r="BB30" s="1108"/>
      <c r="BC30" s="1108"/>
      <c r="BD30" s="1108"/>
      <c r="BE30" s="1108"/>
      <c r="BF30" s="1108"/>
      <c r="BG30" s="1108"/>
      <c r="BH30" s="1108"/>
    </row>
    <row r="31" spans="1:60" x14ac:dyDescent="0.3">
      <c r="A31" s="1108"/>
      <c r="B31" s="1108">
        <v>44</v>
      </c>
      <c r="C31" s="1108" t="e">
        <v>#VALUE!</v>
      </c>
      <c r="D31" s="1108"/>
      <c r="E31" s="1108"/>
      <c r="F31" s="1108"/>
      <c r="G31" s="1108"/>
      <c r="H31" s="1108"/>
      <c r="I31" s="1108"/>
      <c r="J31" s="1108"/>
      <c r="K31" s="1108"/>
      <c r="L31" s="1108"/>
      <c r="M31" s="1108"/>
      <c r="N31" s="1108"/>
      <c r="O31" s="1108"/>
      <c r="P31" s="1108"/>
      <c r="Q31" s="1108"/>
      <c r="R31" s="1108"/>
      <c r="S31" s="1108"/>
      <c r="T31" s="1108"/>
      <c r="U31" s="1108"/>
      <c r="V31" s="1108"/>
      <c r="W31" s="1108"/>
      <c r="X31" s="1108"/>
      <c r="Y31" s="1108"/>
      <c r="Z31" s="1108"/>
      <c r="AA31" s="1108"/>
      <c r="AB31" s="1108"/>
      <c r="AC31" s="1108"/>
      <c r="AD31" s="1108"/>
      <c r="AE31" s="1108"/>
      <c r="AF31" s="1108"/>
      <c r="AG31" s="1108"/>
      <c r="AH31" s="1108"/>
      <c r="AI31" s="1108"/>
      <c r="AJ31" s="1108"/>
      <c r="AK31" s="1108"/>
      <c r="AL31" s="1108"/>
      <c r="AM31" s="1108"/>
      <c r="AN31" s="1108"/>
      <c r="AO31" s="1108"/>
      <c r="AP31" s="1108"/>
      <c r="AQ31" s="1108"/>
      <c r="AR31" s="1108"/>
      <c r="AS31" s="1108"/>
      <c r="AT31" s="1108"/>
      <c r="AU31" s="1108"/>
      <c r="AV31" s="1108"/>
      <c r="AW31" s="1108"/>
      <c r="AX31" s="1108"/>
      <c r="AY31" s="1108"/>
      <c r="AZ31" s="1108"/>
      <c r="BA31" s="1108"/>
      <c r="BB31" s="1108"/>
      <c r="BC31" s="1108"/>
      <c r="BD31" s="1108"/>
      <c r="BE31" s="1108"/>
      <c r="BF31" s="1108"/>
      <c r="BG31" s="1108"/>
      <c r="BH31" s="1108"/>
    </row>
    <row r="32" spans="1:60" x14ac:dyDescent="0.3">
      <c r="A32" s="1108"/>
      <c r="B32" s="1108">
        <v>45</v>
      </c>
      <c r="C32" s="1108" t="e">
        <v>#VALUE!</v>
      </c>
      <c r="D32" s="1108"/>
      <c r="E32" s="1108"/>
      <c r="F32" s="1108"/>
      <c r="G32" s="1108"/>
      <c r="H32" s="1108"/>
      <c r="I32" s="1108"/>
      <c r="J32" s="1108"/>
      <c r="K32" s="1108"/>
      <c r="L32" s="1108"/>
      <c r="M32" s="1108"/>
      <c r="N32" s="1108"/>
      <c r="O32" s="1108"/>
      <c r="P32" s="1108"/>
      <c r="Q32" s="1108"/>
      <c r="R32" s="1108"/>
      <c r="S32" s="1108"/>
      <c r="T32" s="1108"/>
      <c r="U32" s="1108"/>
      <c r="V32" s="1108"/>
      <c r="W32" s="1108"/>
      <c r="X32" s="1108"/>
      <c r="Y32" s="1108"/>
      <c r="Z32" s="1108"/>
      <c r="AA32" s="1108"/>
      <c r="AB32" s="1108"/>
      <c r="AC32" s="1108"/>
      <c r="AD32" s="1108"/>
      <c r="AE32" s="1108"/>
      <c r="AF32" s="1108"/>
      <c r="AG32" s="1108"/>
      <c r="AH32" s="1108"/>
      <c r="AI32" s="1108"/>
      <c r="AJ32" s="1108"/>
      <c r="AK32" s="1108"/>
      <c r="AL32" s="1108"/>
      <c r="AM32" s="1108"/>
      <c r="AN32" s="1108"/>
      <c r="AO32" s="1108"/>
      <c r="AP32" s="1108"/>
      <c r="AQ32" s="1108"/>
      <c r="AR32" s="1108"/>
      <c r="AS32" s="1108"/>
      <c r="AT32" s="1108"/>
      <c r="AU32" s="1108"/>
      <c r="AV32" s="1108"/>
      <c r="AW32" s="1108"/>
      <c r="AX32" s="1108"/>
      <c r="AY32" s="1108"/>
      <c r="AZ32" s="1108"/>
      <c r="BA32" s="1108"/>
      <c r="BB32" s="1108"/>
      <c r="BC32" s="1108"/>
      <c r="BD32" s="1108"/>
      <c r="BE32" s="1108"/>
      <c r="BF32" s="1108"/>
      <c r="BG32" s="1108"/>
      <c r="BH32" s="1108"/>
    </row>
    <row r="33" spans="1:60" x14ac:dyDescent="0.3">
      <c r="A33" s="1108"/>
      <c r="B33" s="1108">
        <v>46</v>
      </c>
      <c r="C33" s="1108" t="s">
        <v>1406</v>
      </c>
      <c r="D33" s="1108"/>
      <c r="E33" s="1108"/>
      <c r="F33" s="1108"/>
      <c r="G33" s="1108"/>
      <c r="H33" s="1108"/>
      <c r="I33" s="1108"/>
      <c r="J33" s="1108"/>
      <c r="K33" s="1108"/>
      <c r="L33" s="1108"/>
      <c r="M33" s="1108"/>
      <c r="N33" s="1108"/>
      <c r="O33" s="1108"/>
      <c r="P33" s="1108"/>
      <c r="Q33" s="1108"/>
      <c r="R33" s="1108"/>
      <c r="S33" s="1108"/>
      <c r="T33" s="1108"/>
      <c r="U33" s="1108"/>
      <c r="V33" s="1108"/>
      <c r="W33" s="1108"/>
      <c r="X33" s="1108"/>
      <c r="Y33" s="1108"/>
      <c r="Z33" s="1108"/>
      <c r="AA33" s="1108"/>
      <c r="AB33" s="1108"/>
      <c r="AC33" s="1108"/>
      <c r="AD33" s="1108"/>
      <c r="AE33" s="1108"/>
      <c r="AF33" s="1108"/>
      <c r="AG33" s="1108"/>
      <c r="AH33" s="1108"/>
      <c r="AI33" s="1108"/>
      <c r="AJ33" s="1108"/>
      <c r="AK33" s="1108"/>
      <c r="AL33" s="1108"/>
      <c r="AM33" s="1108"/>
      <c r="AN33" s="1108"/>
      <c r="AO33" s="1108"/>
      <c r="AP33" s="1108"/>
      <c r="AQ33" s="1108"/>
      <c r="AR33" s="1108"/>
      <c r="AS33" s="1108"/>
      <c r="AT33" s="1108"/>
      <c r="AU33" s="1108"/>
      <c r="AV33" s="1108"/>
      <c r="AW33" s="1108"/>
      <c r="AX33" s="1108"/>
      <c r="AY33" s="1108"/>
      <c r="AZ33" s="1108"/>
      <c r="BA33" s="1108"/>
      <c r="BB33" s="1108"/>
      <c r="BC33" s="1108"/>
      <c r="BD33" s="1108"/>
      <c r="BE33" s="1108"/>
      <c r="BF33" s="1108"/>
      <c r="BG33" s="1108"/>
      <c r="BH33" s="1108"/>
    </row>
    <row r="34" spans="1:60" x14ac:dyDescent="0.3">
      <c r="A34" s="1108"/>
      <c r="B34" s="1108">
        <v>47</v>
      </c>
      <c r="C34" s="1108" t="s">
        <v>379</v>
      </c>
      <c r="D34" s="1108"/>
      <c r="E34" s="1108"/>
      <c r="F34" s="1108"/>
      <c r="G34" s="1108"/>
      <c r="H34" s="1108"/>
      <c r="I34" s="1108"/>
      <c r="J34" s="1108"/>
      <c r="K34" s="1108"/>
      <c r="L34" s="1108"/>
      <c r="M34" s="1108"/>
      <c r="N34" s="1108"/>
      <c r="O34" s="1108"/>
      <c r="P34" s="1108"/>
      <c r="Q34" s="1108"/>
      <c r="R34" s="1108"/>
      <c r="S34" s="1108"/>
      <c r="T34" s="1108"/>
      <c r="U34" s="1108"/>
      <c r="V34" s="1108"/>
      <c r="W34" s="1108"/>
      <c r="X34" s="1108"/>
      <c r="Y34" s="1108"/>
      <c r="Z34" s="1108"/>
      <c r="AA34" s="1108"/>
      <c r="AB34" s="1108"/>
      <c r="AC34" s="1108"/>
      <c r="AD34" s="1108"/>
      <c r="AE34" s="1108"/>
      <c r="AF34" s="1108"/>
      <c r="AG34" s="1108"/>
      <c r="AH34" s="1108"/>
      <c r="AI34" s="1108"/>
      <c r="AJ34" s="1108"/>
      <c r="AK34" s="1108"/>
      <c r="AL34" s="1108"/>
      <c r="AM34" s="1108"/>
      <c r="AN34" s="1108"/>
      <c r="AO34" s="1108"/>
      <c r="AP34" s="1108"/>
      <c r="AQ34" s="1108"/>
      <c r="AR34" s="1108"/>
      <c r="AS34" s="1108"/>
      <c r="AT34" s="1108"/>
      <c r="AU34" s="1108"/>
      <c r="AV34" s="1108"/>
      <c r="AW34" s="1108"/>
      <c r="AX34" s="1108"/>
      <c r="AY34" s="1108"/>
      <c r="AZ34" s="1108"/>
      <c r="BA34" s="1108"/>
      <c r="BB34" s="1108"/>
      <c r="BC34" s="1108"/>
      <c r="BD34" s="1108"/>
      <c r="BE34" s="1108"/>
      <c r="BF34" s="1108"/>
      <c r="BG34" s="1108"/>
      <c r="BH34" s="1108"/>
    </row>
    <row r="35" spans="1:60" x14ac:dyDescent="0.3">
      <c r="A35" s="1108"/>
      <c r="B35" s="1108">
        <v>48</v>
      </c>
      <c r="C35" s="1108" t="s">
        <v>123</v>
      </c>
      <c r="D35" s="1108"/>
      <c r="E35" s="1108"/>
      <c r="F35" s="1108"/>
      <c r="G35" s="1108"/>
      <c r="H35" s="1108"/>
      <c r="I35" s="1108"/>
      <c r="J35" s="1108"/>
      <c r="K35" s="1108"/>
      <c r="L35" s="1108"/>
      <c r="M35" s="1108"/>
      <c r="N35" s="1108"/>
      <c r="O35" s="1108"/>
      <c r="P35" s="1108"/>
      <c r="Q35" s="1108"/>
      <c r="R35" s="1108"/>
      <c r="S35" s="1108"/>
      <c r="T35" s="1108"/>
      <c r="U35" s="1108"/>
      <c r="V35" s="1108"/>
      <c r="W35" s="1108"/>
      <c r="X35" s="1108"/>
      <c r="Y35" s="1108"/>
      <c r="Z35" s="1108"/>
      <c r="AA35" s="1108"/>
      <c r="AB35" s="1108"/>
      <c r="AC35" s="1108"/>
      <c r="AD35" s="1108"/>
      <c r="AE35" s="1108"/>
      <c r="AF35" s="1108"/>
      <c r="AG35" s="1108"/>
      <c r="AH35" s="1108"/>
      <c r="AI35" s="1108"/>
      <c r="AJ35" s="1108"/>
      <c r="AK35" s="1108"/>
      <c r="AL35" s="1108"/>
      <c r="AM35" s="1108"/>
      <c r="AN35" s="1108"/>
      <c r="AO35" s="1108"/>
      <c r="AP35" s="1108"/>
      <c r="AQ35" s="1108"/>
      <c r="AR35" s="1108"/>
      <c r="AS35" s="1108"/>
      <c r="AT35" s="1108"/>
      <c r="AU35" s="1108"/>
      <c r="AV35" s="1108"/>
      <c r="AW35" s="1108"/>
      <c r="AX35" s="1108"/>
      <c r="AY35" s="1108"/>
      <c r="AZ35" s="1108"/>
      <c r="BA35" s="1108"/>
      <c r="BB35" s="1108"/>
      <c r="BC35" s="1108"/>
      <c r="BD35" s="1108"/>
      <c r="BE35" s="1108"/>
      <c r="BF35" s="1108"/>
      <c r="BG35" s="1108"/>
      <c r="BH35" s="1108"/>
    </row>
    <row r="36" spans="1:60" x14ac:dyDescent="0.3">
      <c r="A36" s="1108"/>
      <c r="B36" s="1108">
        <v>49</v>
      </c>
      <c r="C36" s="1108" t="e">
        <v>#VALUE!</v>
      </c>
      <c r="D36" s="1108"/>
      <c r="E36" s="1108"/>
      <c r="F36" s="1108"/>
      <c r="G36" s="1108"/>
      <c r="H36" s="1108"/>
      <c r="I36" s="1108"/>
      <c r="J36" s="1108"/>
      <c r="K36" s="1108"/>
      <c r="L36" s="1108"/>
      <c r="M36" s="1108"/>
      <c r="N36" s="1108"/>
      <c r="O36" s="1108"/>
      <c r="P36" s="1108"/>
      <c r="Q36" s="1108"/>
      <c r="R36" s="1108"/>
      <c r="S36" s="1108"/>
      <c r="T36" s="1108"/>
      <c r="U36" s="1108"/>
      <c r="V36" s="1108"/>
      <c r="W36" s="1108"/>
      <c r="X36" s="1108"/>
      <c r="Y36" s="1108"/>
      <c r="Z36" s="1108"/>
      <c r="AA36" s="1108"/>
      <c r="AB36" s="1108"/>
      <c r="AC36" s="1108"/>
      <c r="AD36" s="1108"/>
      <c r="AE36" s="1108"/>
      <c r="AF36" s="1108"/>
      <c r="AG36" s="1108"/>
      <c r="AH36" s="1108"/>
      <c r="AI36" s="1108"/>
      <c r="AJ36" s="1108"/>
      <c r="AK36" s="1108"/>
      <c r="AL36" s="1108"/>
      <c r="AM36" s="1108"/>
      <c r="AN36" s="1108"/>
      <c r="AO36" s="1108"/>
      <c r="AP36" s="1108"/>
      <c r="AQ36" s="1108"/>
      <c r="AR36" s="1108"/>
      <c r="AS36" s="1108"/>
      <c r="AT36" s="1108"/>
      <c r="AU36" s="1108"/>
      <c r="AV36" s="1108"/>
      <c r="AW36" s="1108"/>
      <c r="AX36" s="1108"/>
      <c r="AY36" s="1108"/>
      <c r="AZ36" s="1108"/>
      <c r="BA36" s="1108"/>
      <c r="BB36" s="1108"/>
      <c r="BC36" s="1108"/>
      <c r="BD36" s="1108"/>
      <c r="BE36" s="1108"/>
      <c r="BF36" s="1108"/>
      <c r="BG36" s="1108"/>
      <c r="BH36" s="1108"/>
    </row>
    <row r="37" spans="1:60" x14ac:dyDescent="0.3">
      <c r="A37" s="1108"/>
      <c r="B37" s="1108">
        <v>50</v>
      </c>
      <c r="C37" s="1108" t="e">
        <v>#VALUE!</v>
      </c>
      <c r="D37" s="1108"/>
      <c r="E37" s="1108"/>
      <c r="F37" s="1108"/>
      <c r="G37" s="1108"/>
      <c r="H37" s="1108"/>
      <c r="I37" s="1108"/>
      <c r="J37" s="1108"/>
      <c r="K37" s="1108"/>
      <c r="L37" s="1108"/>
      <c r="M37" s="1108"/>
      <c r="N37" s="1108"/>
      <c r="O37" s="1108"/>
      <c r="P37" s="1108"/>
      <c r="Q37" s="1108"/>
      <c r="R37" s="1108"/>
      <c r="S37" s="1108"/>
      <c r="T37" s="1108"/>
      <c r="U37" s="1108"/>
      <c r="V37" s="1108"/>
      <c r="W37" s="1108"/>
      <c r="X37" s="1108"/>
      <c r="Y37" s="1108"/>
      <c r="Z37" s="1108"/>
      <c r="AA37" s="1108"/>
      <c r="AB37" s="1108"/>
      <c r="AC37" s="1108"/>
      <c r="AD37" s="1108"/>
      <c r="AE37" s="1108"/>
      <c r="AF37" s="1108"/>
      <c r="AG37" s="1108"/>
      <c r="AH37" s="1108"/>
      <c r="AI37" s="1108"/>
      <c r="AJ37" s="1108"/>
      <c r="AK37" s="1108"/>
      <c r="AL37" s="1108"/>
      <c r="AM37" s="1108"/>
      <c r="AN37" s="1108"/>
      <c r="AO37" s="1108"/>
      <c r="AP37" s="1108"/>
      <c r="AQ37" s="1108"/>
      <c r="AR37" s="1108"/>
      <c r="AS37" s="1108"/>
      <c r="AT37" s="1108"/>
      <c r="AU37" s="1108"/>
      <c r="AV37" s="1108"/>
      <c r="AW37" s="1108"/>
      <c r="AX37" s="1108"/>
      <c r="AY37" s="1108"/>
      <c r="AZ37" s="1108"/>
      <c r="BA37" s="1108"/>
      <c r="BB37" s="1108"/>
      <c r="BC37" s="1108"/>
      <c r="BD37" s="1108"/>
      <c r="BE37" s="1108"/>
      <c r="BF37" s="1108"/>
      <c r="BG37" s="1108"/>
      <c r="BH37" s="1108"/>
    </row>
    <row r="38" spans="1:60" x14ac:dyDescent="0.3">
      <c r="A38" s="1108"/>
      <c r="B38" s="1108">
        <v>51</v>
      </c>
      <c r="C38" s="1108" t="e">
        <v>#VALUE!</v>
      </c>
      <c r="D38" s="1108"/>
      <c r="E38" s="1108"/>
      <c r="F38" s="1108"/>
      <c r="G38" s="1108"/>
      <c r="H38" s="1108"/>
      <c r="I38" s="1108"/>
      <c r="J38" s="1108"/>
      <c r="K38" s="1108"/>
      <c r="L38" s="1108"/>
      <c r="M38" s="1108"/>
      <c r="N38" s="1108"/>
      <c r="O38" s="1108"/>
      <c r="P38" s="1108"/>
      <c r="Q38" s="1108"/>
      <c r="R38" s="1108"/>
      <c r="S38" s="1108"/>
      <c r="T38" s="1108"/>
      <c r="U38" s="1108"/>
      <c r="V38" s="1108"/>
      <c r="W38" s="1108"/>
      <c r="X38" s="1108"/>
      <c r="Y38" s="1108"/>
      <c r="Z38" s="1108"/>
      <c r="AA38" s="1108"/>
      <c r="AB38" s="1108"/>
      <c r="AC38" s="1108"/>
      <c r="AD38" s="1108"/>
      <c r="AE38" s="1108"/>
      <c r="AF38" s="1108"/>
      <c r="AG38" s="1108"/>
      <c r="AH38" s="1108"/>
      <c r="AI38" s="1108"/>
      <c r="AJ38" s="1108"/>
      <c r="AK38" s="1108"/>
      <c r="AL38" s="1108"/>
      <c r="AM38" s="1108"/>
      <c r="AN38" s="1108"/>
      <c r="AO38" s="1108"/>
      <c r="AP38" s="1108"/>
      <c r="AQ38" s="1108"/>
      <c r="AR38" s="1108"/>
      <c r="AS38" s="1108"/>
      <c r="AT38" s="1108"/>
      <c r="AU38" s="1108"/>
      <c r="AV38" s="1108"/>
      <c r="AW38" s="1108"/>
      <c r="AX38" s="1108"/>
      <c r="AY38" s="1108"/>
      <c r="AZ38" s="1108"/>
      <c r="BA38" s="1108"/>
      <c r="BB38" s="1108"/>
      <c r="BC38" s="1108"/>
      <c r="BD38" s="1108"/>
      <c r="BE38" s="1108"/>
      <c r="BF38" s="1108"/>
      <c r="BG38" s="1108"/>
      <c r="BH38" s="1108"/>
    </row>
    <row r="39" spans="1:60" x14ac:dyDescent="0.3">
      <c r="A39" s="1108"/>
      <c r="B39" s="1108">
        <v>52</v>
      </c>
      <c r="C39" s="1108" t="s">
        <v>238</v>
      </c>
      <c r="D39" s="1108"/>
      <c r="E39" s="1108"/>
      <c r="F39" s="1108"/>
      <c r="G39" s="1108"/>
      <c r="H39" s="1108"/>
      <c r="I39" s="1108"/>
      <c r="J39" s="1108"/>
      <c r="K39" s="1108"/>
      <c r="L39" s="1108"/>
      <c r="M39" s="1108"/>
      <c r="N39" s="1108"/>
      <c r="O39" s="1108"/>
      <c r="P39" s="1108"/>
      <c r="Q39" s="1108"/>
      <c r="R39" s="1108"/>
      <c r="S39" s="1108"/>
      <c r="T39" s="1108"/>
      <c r="U39" s="1108"/>
      <c r="V39" s="1108"/>
      <c r="W39" s="1108"/>
      <c r="X39" s="1108"/>
      <c r="Y39" s="1108"/>
      <c r="Z39" s="1108"/>
      <c r="AA39" s="1108"/>
      <c r="AB39" s="1108"/>
      <c r="AC39" s="1108"/>
      <c r="AD39" s="1108"/>
      <c r="AE39" s="1108"/>
      <c r="AF39" s="1108"/>
      <c r="AG39" s="1108"/>
      <c r="AH39" s="1108"/>
      <c r="AI39" s="1108"/>
      <c r="AJ39" s="1108"/>
      <c r="AK39" s="1108"/>
      <c r="AL39" s="1108"/>
      <c r="AM39" s="1108"/>
      <c r="AN39" s="1108"/>
      <c r="AO39" s="1108"/>
      <c r="AP39" s="1108"/>
      <c r="AQ39" s="1108"/>
      <c r="AR39" s="1108"/>
      <c r="AS39" s="1108"/>
      <c r="AT39" s="1108"/>
      <c r="AU39" s="1108"/>
      <c r="AV39" s="1108"/>
      <c r="AW39" s="1108"/>
      <c r="AX39" s="1108"/>
      <c r="AY39" s="1108"/>
      <c r="AZ39" s="1108"/>
      <c r="BA39" s="1108"/>
      <c r="BB39" s="1108"/>
      <c r="BC39" s="1108"/>
      <c r="BD39" s="1108"/>
      <c r="BE39" s="1108"/>
      <c r="BF39" s="1108"/>
      <c r="BG39" s="1108"/>
      <c r="BH39" s="1108"/>
    </row>
    <row r="40" spans="1:60" x14ac:dyDescent="0.3">
      <c r="A40" s="1108"/>
      <c r="B40" s="1108">
        <v>53</v>
      </c>
      <c r="C40" s="1108" t="s">
        <v>1407</v>
      </c>
      <c r="D40" s="1108"/>
      <c r="E40" s="1108"/>
      <c r="F40" s="1108"/>
      <c r="G40" s="1108"/>
      <c r="H40" s="1108"/>
      <c r="I40" s="1108"/>
      <c r="J40" s="1108"/>
      <c r="K40" s="1108"/>
      <c r="L40" s="1108"/>
      <c r="M40" s="1108"/>
      <c r="N40" s="1108"/>
      <c r="O40" s="1108"/>
      <c r="P40" s="1108"/>
      <c r="Q40" s="1108"/>
      <c r="R40" s="1108"/>
      <c r="S40" s="1108"/>
      <c r="T40" s="1108"/>
      <c r="U40" s="1108"/>
      <c r="V40" s="1108"/>
      <c r="W40" s="1108"/>
      <c r="X40" s="1108"/>
      <c r="Y40" s="1108"/>
      <c r="Z40" s="1108"/>
      <c r="AA40" s="1108"/>
      <c r="AB40" s="1108"/>
      <c r="AC40" s="1108"/>
      <c r="AD40" s="1108"/>
      <c r="AE40" s="1108"/>
      <c r="AF40" s="1108"/>
      <c r="AG40" s="1108"/>
      <c r="AH40" s="1108"/>
      <c r="AI40" s="1108"/>
      <c r="AJ40" s="1108"/>
      <c r="AK40" s="1108"/>
      <c r="AL40" s="1108"/>
      <c r="AM40" s="1108"/>
      <c r="AN40" s="1108"/>
      <c r="AO40" s="1108"/>
      <c r="AP40" s="1108"/>
      <c r="AQ40" s="1108"/>
      <c r="AR40" s="1108"/>
      <c r="AS40" s="1108"/>
      <c r="AT40" s="1108"/>
      <c r="AU40" s="1108"/>
      <c r="AV40" s="1108"/>
      <c r="AW40" s="1108"/>
      <c r="AX40" s="1108"/>
      <c r="AY40" s="1108"/>
      <c r="AZ40" s="1108"/>
      <c r="BA40" s="1108"/>
      <c r="BB40" s="1108"/>
      <c r="BC40" s="1108"/>
      <c r="BD40" s="1108"/>
      <c r="BE40" s="1108"/>
      <c r="BF40" s="1108"/>
      <c r="BG40" s="1108"/>
      <c r="BH40" s="1108"/>
    </row>
    <row r="41" spans="1:60" x14ac:dyDescent="0.3">
      <c r="A41" s="1108"/>
      <c r="B41" s="1108">
        <v>54</v>
      </c>
      <c r="C41" s="1108" t="s">
        <v>1408</v>
      </c>
      <c r="D41" s="1108"/>
      <c r="E41" s="1108"/>
      <c r="F41" s="1108"/>
      <c r="G41" s="1108"/>
      <c r="H41" s="1108"/>
      <c r="I41" s="1108"/>
      <c r="J41" s="1108"/>
      <c r="K41" s="1108"/>
      <c r="L41" s="1108"/>
      <c r="M41" s="1108"/>
      <c r="N41" s="1108"/>
      <c r="O41" s="1108"/>
      <c r="P41" s="1108"/>
      <c r="Q41" s="1108"/>
      <c r="R41" s="1108"/>
      <c r="S41" s="1108"/>
      <c r="T41" s="1108"/>
      <c r="U41" s="1108"/>
      <c r="V41" s="1108"/>
      <c r="W41" s="1108"/>
      <c r="X41" s="1108"/>
      <c r="Y41" s="1108"/>
      <c r="Z41" s="1108"/>
      <c r="AA41" s="1108"/>
      <c r="AB41" s="1108"/>
      <c r="AC41" s="1108"/>
      <c r="AD41" s="1108"/>
      <c r="AE41" s="1108"/>
      <c r="AF41" s="1108"/>
      <c r="AG41" s="1108"/>
      <c r="AH41" s="1108"/>
      <c r="AI41" s="1108"/>
      <c r="AJ41" s="1108"/>
      <c r="AK41" s="1108"/>
      <c r="AL41" s="1108"/>
      <c r="AM41" s="1108"/>
      <c r="AN41" s="1108"/>
      <c r="AO41" s="1108"/>
      <c r="AP41" s="1108"/>
      <c r="AQ41" s="1108"/>
      <c r="AR41" s="1108"/>
      <c r="AS41" s="1108"/>
      <c r="AT41" s="1108"/>
      <c r="AU41" s="1108"/>
      <c r="AV41" s="1108"/>
      <c r="AW41" s="1108"/>
      <c r="AX41" s="1108"/>
      <c r="AY41" s="1108"/>
      <c r="AZ41" s="1108"/>
      <c r="BA41" s="1108"/>
      <c r="BB41" s="1108"/>
      <c r="BC41" s="1108"/>
      <c r="BD41" s="1108"/>
      <c r="BE41" s="1108"/>
      <c r="BF41" s="1108"/>
      <c r="BG41" s="1108"/>
      <c r="BH41" s="1108"/>
    </row>
    <row r="42" spans="1:60" x14ac:dyDescent="0.3">
      <c r="A42" s="1108"/>
      <c r="B42" s="1108">
        <v>55</v>
      </c>
      <c r="C42" s="1108" t="s">
        <v>248</v>
      </c>
      <c r="D42" s="1108"/>
      <c r="E42" s="1108"/>
      <c r="F42" s="1108"/>
      <c r="G42" s="1108"/>
      <c r="H42" s="1108"/>
      <c r="I42" s="1108"/>
      <c r="J42" s="1108"/>
      <c r="K42" s="1108"/>
      <c r="L42" s="1108"/>
      <c r="M42" s="1108"/>
      <c r="N42" s="1108"/>
      <c r="O42" s="1108"/>
      <c r="P42" s="1108"/>
      <c r="Q42" s="1108"/>
      <c r="R42" s="1108"/>
      <c r="S42" s="1108"/>
      <c r="T42" s="1108"/>
      <c r="U42" s="1108"/>
      <c r="V42" s="1108"/>
      <c r="W42" s="1108"/>
      <c r="X42" s="1108"/>
      <c r="Y42" s="1108"/>
      <c r="Z42" s="1108"/>
      <c r="AA42" s="1108"/>
      <c r="AB42" s="1108"/>
      <c r="AC42" s="1108"/>
      <c r="AD42" s="1108"/>
      <c r="AE42" s="1108"/>
      <c r="AF42" s="1108"/>
      <c r="AG42" s="1108"/>
      <c r="AH42" s="1108"/>
      <c r="AI42" s="1108"/>
      <c r="AJ42" s="1108"/>
      <c r="AK42" s="1108"/>
      <c r="AL42" s="1108"/>
      <c r="AM42" s="1108"/>
      <c r="AN42" s="1108"/>
      <c r="AO42" s="1108"/>
      <c r="AP42" s="1108"/>
      <c r="AQ42" s="1108"/>
      <c r="AR42" s="1108"/>
      <c r="AS42" s="1108"/>
      <c r="AT42" s="1108"/>
      <c r="AU42" s="1108"/>
      <c r="AV42" s="1108"/>
      <c r="AW42" s="1108"/>
      <c r="AX42" s="1108"/>
      <c r="AY42" s="1108"/>
      <c r="AZ42" s="1108"/>
      <c r="BA42" s="1108"/>
      <c r="BB42" s="1108"/>
      <c r="BC42" s="1108"/>
      <c r="BD42" s="1108"/>
      <c r="BE42" s="1108"/>
      <c r="BF42" s="1108"/>
      <c r="BG42" s="1108"/>
      <c r="BH42" s="1108"/>
    </row>
    <row r="43" spans="1:60" x14ac:dyDescent="0.3">
      <c r="A43" s="1108"/>
      <c r="B43" s="1108">
        <v>61</v>
      </c>
      <c r="C43" s="1108" t="e">
        <v>#VALUE!</v>
      </c>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8"/>
      <c r="AA43" s="1108"/>
      <c r="AB43" s="1108"/>
      <c r="AC43" s="1108"/>
      <c r="AD43" s="1108"/>
      <c r="AE43" s="1108"/>
      <c r="AF43" s="1108"/>
      <c r="AG43" s="1108"/>
      <c r="AH43" s="1108"/>
      <c r="AI43" s="1108"/>
      <c r="AJ43" s="1108"/>
      <c r="AK43" s="1108"/>
      <c r="AL43" s="1108"/>
      <c r="AM43" s="1108"/>
      <c r="AN43" s="1108"/>
      <c r="AO43" s="1108"/>
      <c r="AP43" s="1108"/>
      <c r="AQ43" s="1108"/>
      <c r="AR43" s="1108"/>
      <c r="AS43" s="1108"/>
      <c r="AT43" s="1108"/>
      <c r="AU43" s="1108"/>
      <c r="AV43" s="1108"/>
      <c r="AW43" s="1108"/>
      <c r="AX43" s="1108"/>
      <c r="AY43" s="1108"/>
      <c r="AZ43" s="1108"/>
      <c r="BA43" s="1108"/>
      <c r="BB43" s="1108"/>
      <c r="BC43" s="1108"/>
      <c r="BD43" s="1108"/>
      <c r="BE43" s="1108"/>
      <c r="BF43" s="1108"/>
      <c r="BG43" s="1108"/>
      <c r="BH43" s="1108"/>
    </row>
    <row r="44" spans="1:60" x14ac:dyDescent="0.3">
      <c r="A44" s="1108"/>
      <c r="B44" s="1108">
        <v>80</v>
      </c>
      <c r="C44" s="1108" t="e">
        <v>#VALUE!</v>
      </c>
      <c r="D44" s="1108"/>
      <c r="E44" s="1108"/>
      <c r="F44" s="1108"/>
      <c r="G44" s="1108"/>
      <c r="H44" s="1108"/>
      <c r="I44" s="1108"/>
      <c r="J44" s="1108"/>
      <c r="K44" s="1108"/>
      <c r="L44" s="1108"/>
      <c r="M44" s="1108"/>
      <c r="N44" s="1108"/>
      <c r="O44" s="1108"/>
      <c r="P44" s="1108"/>
      <c r="Q44" s="1108"/>
      <c r="R44" s="1108"/>
      <c r="S44" s="1108"/>
      <c r="T44" s="1108"/>
      <c r="U44" s="1108"/>
      <c r="V44" s="1108"/>
      <c r="W44" s="1108"/>
      <c r="X44" s="1108"/>
      <c r="Y44" s="1108"/>
      <c r="Z44" s="1108"/>
      <c r="AA44" s="1108"/>
      <c r="AB44" s="1108"/>
      <c r="AC44" s="1108"/>
      <c r="AD44" s="1108"/>
      <c r="AE44" s="1108"/>
      <c r="AF44" s="1108"/>
      <c r="AG44" s="1108"/>
      <c r="AH44" s="1108"/>
      <c r="AI44" s="1108"/>
      <c r="AJ44" s="1108"/>
      <c r="AK44" s="1108"/>
      <c r="AL44" s="1108"/>
      <c r="AM44" s="1108"/>
      <c r="AN44" s="1108"/>
      <c r="AO44" s="1108"/>
      <c r="AP44" s="1108"/>
      <c r="AQ44" s="1108"/>
      <c r="AR44" s="1108"/>
      <c r="AS44" s="1108"/>
      <c r="AT44" s="1108"/>
      <c r="AU44" s="1108"/>
      <c r="AV44" s="1108"/>
      <c r="AW44" s="1108"/>
      <c r="AX44" s="1108"/>
      <c r="AY44" s="1108"/>
      <c r="AZ44" s="1108"/>
      <c r="BA44" s="1108"/>
      <c r="BB44" s="1108"/>
      <c r="BC44" s="1108"/>
      <c r="BD44" s="1108"/>
      <c r="BE44" s="1108"/>
      <c r="BF44" s="1108"/>
      <c r="BG44" s="1108"/>
      <c r="BH44" s="1108"/>
    </row>
    <row r="45" spans="1:60" x14ac:dyDescent="0.3">
      <c r="A45" s="1108"/>
      <c r="B45" s="1108">
        <v>81</v>
      </c>
      <c r="C45" s="1108" t="e">
        <v>#VALUE!</v>
      </c>
      <c r="D45" s="1108"/>
      <c r="E45" s="1108"/>
      <c r="F45" s="1108"/>
      <c r="G45" s="1108"/>
      <c r="H45" s="1108"/>
      <c r="I45" s="1108"/>
      <c r="J45" s="1108"/>
      <c r="K45" s="1108"/>
      <c r="L45" s="1108"/>
      <c r="M45" s="1108"/>
      <c r="N45" s="1108"/>
      <c r="O45" s="1108"/>
      <c r="P45" s="1108"/>
      <c r="Q45" s="1108"/>
      <c r="R45" s="1108"/>
      <c r="S45" s="1108"/>
      <c r="T45" s="1108"/>
      <c r="U45" s="1108"/>
      <c r="V45" s="1108"/>
      <c r="W45" s="1108"/>
      <c r="X45" s="1108"/>
      <c r="Y45" s="1108"/>
      <c r="Z45" s="1108"/>
      <c r="AA45" s="1108"/>
      <c r="AB45" s="1108"/>
      <c r="AC45" s="1108"/>
      <c r="AD45" s="1108"/>
      <c r="AE45" s="1108"/>
      <c r="AF45" s="1108"/>
      <c r="AG45" s="1108"/>
      <c r="AH45" s="1108"/>
      <c r="AI45" s="1108"/>
      <c r="AJ45" s="1108"/>
      <c r="AK45" s="1108"/>
      <c r="AL45" s="1108"/>
      <c r="AM45" s="1108"/>
      <c r="AN45" s="1108"/>
      <c r="AO45" s="1108"/>
      <c r="AP45" s="1108"/>
      <c r="AQ45" s="1108"/>
      <c r="AR45" s="1108"/>
      <c r="AS45" s="1108"/>
      <c r="AT45" s="1108"/>
      <c r="AU45" s="1108"/>
      <c r="AV45" s="1108"/>
      <c r="AW45" s="1108"/>
      <c r="AX45" s="1108"/>
      <c r="AY45" s="1108"/>
      <c r="AZ45" s="1108"/>
      <c r="BA45" s="1108"/>
      <c r="BB45" s="1108"/>
      <c r="BC45" s="1108"/>
      <c r="BD45" s="1108"/>
      <c r="BE45" s="1108"/>
      <c r="BF45" s="1108"/>
      <c r="BG45" s="1108"/>
      <c r="BH45" s="1108"/>
    </row>
    <row r="46" spans="1:60" x14ac:dyDescent="0.3">
      <c r="A46" s="1108"/>
      <c r="B46" s="1108">
        <v>82</v>
      </c>
      <c r="C46" s="1108" t="e">
        <v>#VALUE!</v>
      </c>
      <c r="D46" s="1108"/>
      <c r="E46" s="1108"/>
      <c r="F46" s="1108"/>
      <c r="G46" s="1108"/>
      <c r="H46" s="1108"/>
      <c r="I46" s="1108"/>
      <c r="J46" s="1108"/>
      <c r="K46" s="1108"/>
      <c r="L46" s="1108"/>
      <c r="M46" s="1108"/>
      <c r="N46" s="1108"/>
      <c r="O46" s="1108"/>
      <c r="P46" s="1108"/>
      <c r="Q46" s="1108"/>
      <c r="R46" s="1108"/>
      <c r="S46" s="1108"/>
      <c r="T46" s="1108"/>
      <c r="U46" s="1108"/>
      <c r="V46" s="1108"/>
      <c r="W46" s="1108"/>
      <c r="X46" s="1108"/>
      <c r="Y46" s="1108"/>
      <c r="Z46" s="1108"/>
      <c r="AA46" s="1108"/>
      <c r="AB46" s="1108"/>
      <c r="AC46" s="1108"/>
      <c r="AD46" s="1108"/>
      <c r="AE46" s="1108"/>
      <c r="AF46" s="1108"/>
      <c r="AG46" s="1108"/>
      <c r="AH46" s="1108"/>
      <c r="AI46" s="1108"/>
      <c r="AJ46" s="1108"/>
      <c r="AK46" s="1108"/>
      <c r="AL46" s="1108"/>
      <c r="AM46" s="1108"/>
      <c r="AN46" s="1108"/>
      <c r="AO46" s="1108"/>
      <c r="AP46" s="1108"/>
      <c r="AQ46" s="1108"/>
      <c r="AR46" s="1108"/>
      <c r="AS46" s="1108"/>
      <c r="AT46" s="1108"/>
      <c r="AU46" s="1108"/>
      <c r="AV46" s="1108"/>
      <c r="AW46" s="1108"/>
      <c r="AX46" s="1108"/>
      <c r="AY46" s="1108"/>
      <c r="AZ46" s="1108"/>
      <c r="BA46" s="1108"/>
      <c r="BB46" s="1108"/>
      <c r="BC46" s="1108"/>
      <c r="BD46" s="1108"/>
      <c r="BE46" s="1108"/>
      <c r="BF46" s="1108"/>
      <c r="BG46" s="1108"/>
      <c r="BH46" s="1108"/>
    </row>
    <row r="47" spans="1:60" x14ac:dyDescent="0.3">
      <c r="A47" s="1108"/>
      <c r="B47" s="1108">
        <v>83</v>
      </c>
      <c r="C47" s="1108" t="e">
        <v>#VALUE!</v>
      </c>
      <c r="D47" s="1108"/>
      <c r="E47" s="1108"/>
      <c r="F47" s="1108"/>
      <c r="G47" s="1108"/>
      <c r="H47" s="1108"/>
      <c r="I47" s="1108"/>
      <c r="J47" s="1108"/>
      <c r="K47" s="1108"/>
      <c r="L47" s="1108"/>
      <c r="M47" s="1108"/>
      <c r="N47" s="1108"/>
      <c r="O47" s="1108"/>
      <c r="P47" s="1108"/>
      <c r="Q47" s="1108"/>
      <c r="R47" s="1108"/>
      <c r="S47" s="1108"/>
      <c r="T47" s="1108"/>
      <c r="U47" s="1108"/>
      <c r="V47" s="1108"/>
      <c r="W47" s="1108"/>
      <c r="X47" s="1108"/>
      <c r="Y47" s="1108"/>
      <c r="Z47" s="1108"/>
      <c r="AA47" s="1108"/>
      <c r="AB47" s="1108"/>
      <c r="AC47" s="1108"/>
      <c r="AD47" s="1108"/>
      <c r="AE47" s="1108"/>
      <c r="AF47" s="1108"/>
      <c r="AG47" s="1108"/>
      <c r="AH47" s="1108"/>
      <c r="AI47" s="1108"/>
      <c r="AJ47" s="1108"/>
      <c r="AK47" s="1108"/>
      <c r="AL47" s="1108"/>
      <c r="AM47" s="1108"/>
      <c r="AN47" s="1108"/>
      <c r="AO47" s="1108"/>
      <c r="AP47" s="1108"/>
      <c r="AQ47" s="1108"/>
      <c r="AR47" s="1108"/>
      <c r="AS47" s="1108"/>
      <c r="AT47" s="1108"/>
      <c r="AU47" s="1108"/>
      <c r="AV47" s="1108"/>
      <c r="AW47" s="1108"/>
      <c r="AX47" s="1108"/>
      <c r="AY47" s="1108"/>
      <c r="AZ47" s="1108"/>
      <c r="BA47" s="1108"/>
      <c r="BB47" s="1108"/>
      <c r="BC47" s="1108"/>
      <c r="BD47" s="1108"/>
      <c r="BE47" s="1108"/>
      <c r="BF47" s="1108"/>
      <c r="BG47" s="1108"/>
      <c r="BH47" s="1108"/>
    </row>
    <row r="48" spans="1:60" x14ac:dyDescent="0.3">
      <c r="A48" s="1108"/>
      <c r="B48" s="1108">
        <v>84</v>
      </c>
      <c r="C48" s="1108" t="e">
        <v>#VALUE!</v>
      </c>
      <c r="D48" s="1108"/>
      <c r="E48" s="1108"/>
      <c r="F48" s="1108"/>
      <c r="G48" s="1108"/>
      <c r="H48" s="1108"/>
      <c r="I48" s="1108"/>
      <c r="J48" s="1108"/>
      <c r="K48" s="1108"/>
      <c r="L48" s="1108"/>
      <c r="M48" s="1108"/>
      <c r="N48" s="1108"/>
      <c r="O48" s="1108"/>
      <c r="P48" s="1108"/>
      <c r="Q48" s="1108"/>
      <c r="R48" s="1108"/>
      <c r="S48" s="1108"/>
      <c r="T48" s="1108"/>
      <c r="U48" s="1108"/>
      <c r="V48" s="1108"/>
      <c r="W48" s="1108"/>
      <c r="X48" s="1108"/>
      <c r="Y48" s="1108"/>
      <c r="Z48" s="1108"/>
      <c r="AA48" s="1108"/>
      <c r="AB48" s="1108"/>
      <c r="AC48" s="1108"/>
      <c r="AD48" s="1108"/>
      <c r="AE48" s="1108"/>
      <c r="AF48" s="1108"/>
      <c r="AG48" s="1108"/>
      <c r="AH48" s="1108"/>
      <c r="AI48" s="1108"/>
      <c r="AJ48" s="1108"/>
      <c r="AK48" s="1108"/>
      <c r="AL48" s="1108"/>
      <c r="AM48" s="1108"/>
      <c r="AN48" s="1108"/>
      <c r="AO48" s="1108"/>
      <c r="AP48" s="1108"/>
      <c r="AQ48" s="1108"/>
      <c r="AR48" s="1108"/>
      <c r="AS48" s="1108"/>
      <c r="AT48" s="1108"/>
      <c r="AU48" s="1108"/>
      <c r="AV48" s="1108"/>
      <c r="AW48" s="1108"/>
      <c r="AX48" s="1108"/>
      <c r="AY48" s="1108"/>
      <c r="AZ48" s="1108"/>
      <c r="BA48" s="1108"/>
      <c r="BB48" s="1108"/>
      <c r="BC48" s="1108"/>
      <c r="BD48" s="1108"/>
      <c r="BE48" s="1108"/>
      <c r="BF48" s="1108"/>
      <c r="BG48" s="1108"/>
      <c r="BH48" s="1108"/>
    </row>
    <row r="49" spans="1:60" x14ac:dyDescent="0.3">
      <c r="A49" s="1108"/>
      <c r="B49" s="1108">
        <v>85</v>
      </c>
      <c r="C49" s="1108" t="e">
        <v>#VALUE!</v>
      </c>
      <c r="D49" s="1108"/>
      <c r="E49" s="1108"/>
      <c r="F49" s="1108"/>
      <c r="G49" s="1108"/>
      <c r="H49" s="1108"/>
      <c r="I49" s="1108"/>
      <c r="J49" s="1108"/>
      <c r="K49" s="1108"/>
      <c r="L49" s="1108"/>
      <c r="M49" s="1108"/>
      <c r="N49" s="1108"/>
      <c r="O49" s="1108"/>
      <c r="P49" s="1108"/>
      <c r="Q49" s="1108"/>
      <c r="R49" s="1108"/>
      <c r="S49" s="1108"/>
      <c r="T49" s="1108"/>
      <c r="U49" s="1108"/>
      <c r="V49" s="1108"/>
      <c r="W49" s="1108"/>
      <c r="X49" s="1108"/>
      <c r="Y49" s="1108"/>
      <c r="Z49" s="1108"/>
      <c r="AA49" s="1108"/>
      <c r="AB49" s="1108"/>
      <c r="AC49" s="1108"/>
      <c r="AD49" s="1108"/>
      <c r="AE49" s="1108"/>
      <c r="AF49" s="1108"/>
      <c r="AG49" s="1108"/>
      <c r="AH49" s="1108"/>
      <c r="AI49" s="1108"/>
      <c r="AJ49" s="1108"/>
      <c r="AK49" s="1108"/>
      <c r="AL49" s="1108"/>
      <c r="AM49" s="1108"/>
      <c r="AN49" s="1108"/>
      <c r="AO49" s="1108"/>
      <c r="AP49" s="1108"/>
      <c r="AQ49" s="1108"/>
      <c r="AR49" s="1108"/>
      <c r="AS49" s="1108"/>
      <c r="AT49" s="1108"/>
      <c r="AU49" s="1108"/>
      <c r="AV49" s="1108"/>
      <c r="AW49" s="1108"/>
      <c r="AX49" s="1108"/>
      <c r="AY49" s="1108"/>
      <c r="AZ49" s="1108"/>
      <c r="BA49" s="1108"/>
      <c r="BB49" s="1108"/>
      <c r="BC49" s="1108"/>
      <c r="BD49" s="1108"/>
      <c r="BE49" s="1108"/>
      <c r="BF49" s="1108"/>
      <c r="BG49" s="1108"/>
      <c r="BH49" s="1108"/>
    </row>
    <row r="50" spans="1:60" x14ac:dyDescent="0.3">
      <c r="A50" s="1108"/>
      <c r="B50" s="1108">
        <v>88</v>
      </c>
      <c r="C50" s="1108" t="e">
        <v>#VALUE!</v>
      </c>
      <c r="D50" s="1108"/>
      <c r="E50" s="1108"/>
      <c r="F50" s="1108"/>
      <c r="G50" s="1108"/>
      <c r="H50" s="1108"/>
      <c r="I50" s="1108"/>
      <c r="J50" s="1108"/>
      <c r="K50" s="1108"/>
      <c r="L50" s="1108"/>
      <c r="M50" s="1108"/>
      <c r="N50" s="1108"/>
      <c r="O50" s="1108"/>
      <c r="P50" s="1108"/>
      <c r="Q50" s="1108"/>
      <c r="R50" s="1108"/>
      <c r="S50" s="1108"/>
      <c r="T50" s="1108"/>
      <c r="U50" s="1108"/>
      <c r="V50" s="1108"/>
      <c r="W50" s="1108"/>
      <c r="X50" s="1108"/>
      <c r="Y50" s="1108"/>
      <c r="Z50" s="1108"/>
      <c r="AA50" s="1108"/>
      <c r="AB50" s="1108"/>
      <c r="AC50" s="1108"/>
      <c r="AD50" s="1108"/>
      <c r="AE50" s="1108"/>
      <c r="AF50" s="1108"/>
      <c r="AG50" s="1108"/>
      <c r="AH50" s="1108"/>
      <c r="AI50" s="1108"/>
      <c r="AJ50" s="1108"/>
      <c r="AK50" s="1108"/>
      <c r="AL50" s="1108"/>
      <c r="AM50" s="1108"/>
      <c r="AN50" s="1108"/>
      <c r="AO50" s="1108"/>
      <c r="AP50" s="1108"/>
      <c r="AQ50" s="1108"/>
      <c r="AR50" s="1108"/>
      <c r="AS50" s="1108"/>
      <c r="AT50" s="1108"/>
      <c r="AU50" s="1108"/>
      <c r="AV50" s="1108"/>
      <c r="AW50" s="1108"/>
      <c r="AX50" s="1108"/>
      <c r="AY50" s="1108"/>
      <c r="AZ50" s="1108"/>
      <c r="BA50" s="1108"/>
      <c r="BB50" s="1108"/>
      <c r="BC50" s="1108"/>
      <c r="BD50" s="1108"/>
      <c r="BE50" s="1108"/>
      <c r="BF50" s="1108"/>
      <c r="BG50" s="1108"/>
      <c r="BH50" s="1108"/>
    </row>
    <row r="51" spans="1:60" x14ac:dyDescent="0.3">
      <c r="A51" s="1108"/>
      <c r="B51" s="1108">
        <v>89</v>
      </c>
      <c r="C51" s="1108" t="e">
        <v>#VALUE!</v>
      </c>
      <c r="D51" s="1108"/>
      <c r="E51" s="1108"/>
      <c r="F51" s="1108"/>
      <c r="G51" s="1108"/>
      <c r="H51" s="1108"/>
      <c r="I51" s="1108"/>
      <c r="J51" s="1108"/>
      <c r="K51" s="1108"/>
      <c r="L51" s="1108"/>
      <c r="M51" s="1108"/>
      <c r="N51" s="1108"/>
      <c r="O51" s="1108"/>
      <c r="P51" s="1108"/>
      <c r="Q51" s="1108"/>
      <c r="R51" s="1108"/>
      <c r="S51" s="1108"/>
      <c r="T51" s="1108"/>
      <c r="U51" s="1108"/>
      <c r="V51" s="1108"/>
      <c r="W51" s="1108"/>
      <c r="X51" s="1108"/>
      <c r="Y51" s="1108"/>
      <c r="Z51" s="1108"/>
      <c r="AA51" s="1108"/>
      <c r="AB51" s="1108"/>
      <c r="AC51" s="1108"/>
      <c r="AD51" s="1108"/>
      <c r="AE51" s="1108"/>
      <c r="AF51" s="1108"/>
      <c r="AG51" s="1108"/>
      <c r="AH51" s="1108"/>
      <c r="AI51" s="1108"/>
      <c r="AJ51" s="1108"/>
      <c r="AK51" s="1108"/>
      <c r="AL51" s="1108"/>
      <c r="AM51" s="1108"/>
      <c r="AN51" s="1108"/>
      <c r="AO51" s="1108"/>
      <c r="AP51" s="1108"/>
      <c r="AQ51" s="1108"/>
      <c r="AR51" s="1108"/>
      <c r="AS51" s="1108"/>
      <c r="AT51" s="1108"/>
      <c r="AU51" s="1108"/>
      <c r="AV51" s="1108"/>
      <c r="AW51" s="1108"/>
      <c r="AX51" s="1108"/>
      <c r="AY51" s="1108"/>
      <c r="AZ51" s="1108"/>
      <c r="BA51" s="1108"/>
      <c r="BB51" s="1108"/>
      <c r="BC51" s="1108"/>
      <c r="BD51" s="1108"/>
      <c r="BE51" s="1108"/>
      <c r="BF51" s="1108"/>
      <c r="BG51" s="1108"/>
      <c r="BH51" s="1108"/>
    </row>
    <row r="52" spans="1:60" x14ac:dyDescent="0.3">
      <c r="A52" s="1108"/>
      <c r="B52" s="1108">
        <v>90</v>
      </c>
      <c r="C52" s="1108" t="s">
        <v>222</v>
      </c>
      <c r="D52" s="1108"/>
      <c r="E52" s="1108"/>
      <c r="F52" s="1108"/>
      <c r="G52" s="1108"/>
      <c r="H52" s="1108"/>
      <c r="I52" s="1108"/>
      <c r="J52" s="1108"/>
      <c r="K52" s="1108"/>
      <c r="L52" s="1108"/>
      <c r="M52" s="1108"/>
      <c r="N52" s="1108"/>
      <c r="O52" s="1108"/>
      <c r="P52" s="1108"/>
      <c r="Q52" s="1108"/>
      <c r="R52" s="1108"/>
      <c r="S52" s="1108"/>
      <c r="T52" s="1108"/>
      <c r="U52" s="1108"/>
      <c r="V52" s="1108"/>
      <c r="W52" s="1108"/>
      <c r="X52" s="1108"/>
      <c r="Y52" s="1108"/>
      <c r="Z52" s="1108"/>
      <c r="AA52" s="1108"/>
      <c r="AB52" s="1108"/>
      <c r="AC52" s="1108"/>
      <c r="AD52" s="1108"/>
      <c r="AE52" s="1108"/>
      <c r="AF52" s="1108"/>
      <c r="AG52" s="1108"/>
      <c r="AH52" s="1108"/>
      <c r="AI52" s="1108"/>
      <c r="AJ52" s="1108"/>
      <c r="AK52" s="1108"/>
      <c r="AL52" s="1108"/>
      <c r="AM52" s="1108"/>
      <c r="AN52" s="1108"/>
      <c r="AO52" s="1108"/>
      <c r="AP52" s="1108"/>
      <c r="AQ52" s="1108"/>
      <c r="AR52" s="1108"/>
      <c r="AS52" s="1108"/>
      <c r="AT52" s="1108"/>
      <c r="AU52" s="1108"/>
      <c r="AV52" s="1108"/>
      <c r="AW52" s="1108"/>
      <c r="AX52" s="1108"/>
      <c r="AY52" s="1108"/>
      <c r="AZ52" s="1108"/>
      <c r="BA52" s="1108"/>
      <c r="BB52" s="1108"/>
      <c r="BC52" s="1108"/>
      <c r="BD52" s="1108"/>
      <c r="BE52" s="1108"/>
      <c r="BF52" s="1108"/>
      <c r="BG52" s="1108"/>
      <c r="BH52" s="1108"/>
    </row>
    <row r="53" spans="1:60" x14ac:dyDescent="0.3">
      <c r="A53" s="1108"/>
      <c r="B53" s="1108">
        <v>91</v>
      </c>
      <c r="C53" s="1108" t="s">
        <v>223</v>
      </c>
      <c r="D53" s="1108"/>
      <c r="E53" s="1108"/>
      <c r="F53" s="1108"/>
      <c r="G53" s="1108"/>
      <c r="H53" s="1108"/>
      <c r="I53" s="1108"/>
      <c r="J53" s="1108"/>
      <c r="K53" s="1108"/>
      <c r="L53" s="1108"/>
      <c r="M53" s="1108"/>
      <c r="N53" s="1108"/>
      <c r="O53" s="1108"/>
      <c r="P53" s="1108"/>
      <c r="Q53" s="1108"/>
      <c r="R53" s="1108"/>
      <c r="S53" s="1108"/>
      <c r="T53" s="1108"/>
      <c r="U53" s="1108"/>
      <c r="V53" s="1108"/>
      <c r="W53" s="1108"/>
      <c r="X53" s="1108"/>
      <c r="Y53" s="1108"/>
      <c r="Z53" s="1108"/>
      <c r="AA53" s="1108"/>
      <c r="AB53" s="1108"/>
      <c r="AC53" s="1108"/>
      <c r="AD53" s="1108"/>
      <c r="AE53" s="1108"/>
      <c r="AF53" s="1108"/>
      <c r="AG53" s="1108"/>
      <c r="AH53" s="1108"/>
      <c r="AI53" s="1108"/>
      <c r="AJ53" s="1108"/>
      <c r="AK53" s="1108"/>
      <c r="AL53" s="1108"/>
      <c r="AM53" s="1108"/>
      <c r="AN53" s="1108"/>
      <c r="AO53" s="1108"/>
      <c r="AP53" s="1108"/>
      <c r="AQ53" s="1108"/>
      <c r="AR53" s="1108"/>
      <c r="AS53" s="1108"/>
      <c r="AT53" s="1108"/>
      <c r="AU53" s="1108"/>
      <c r="AV53" s="1108"/>
      <c r="AW53" s="1108"/>
      <c r="AX53" s="1108"/>
      <c r="AY53" s="1108"/>
      <c r="AZ53" s="1108"/>
      <c r="BA53" s="1108"/>
      <c r="BB53" s="1108"/>
      <c r="BC53" s="1108"/>
      <c r="BD53" s="1108"/>
      <c r="BE53" s="1108"/>
      <c r="BF53" s="1108"/>
      <c r="BG53" s="1108"/>
      <c r="BH53" s="1108"/>
    </row>
    <row r="54" spans="1:60" x14ac:dyDescent="0.3">
      <c r="A54" s="1108"/>
      <c r="B54" s="1108">
        <v>92</v>
      </c>
      <c r="C54" s="1108" t="s">
        <v>1409</v>
      </c>
      <c r="D54" s="1108"/>
      <c r="E54" s="1108"/>
      <c r="F54" s="1108"/>
      <c r="G54" s="1108"/>
      <c r="H54" s="1108"/>
      <c r="I54" s="1108"/>
      <c r="J54" s="1108"/>
      <c r="K54" s="1108"/>
      <c r="L54" s="1108"/>
      <c r="M54" s="1108"/>
      <c r="N54" s="1108"/>
      <c r="O54" s="1108"/>
      <c r="P54" s="1108"/>
      <c r="Q54" s="1108"/>
      <c r="R54" s="1108"/>
      <c r="S54" s="1108"/>
      <c r="T54" s="1108"/>
      <c r="U54" s="1108"/>
      <c r="V54" s="1108"/>
      <c r="W54" s="1108"/>
      <c r="X54" s="1108"/>
      <c r="Y54" s="1108"/>
      <c r="Z54" s="1108"/>
      <c r="AA54" s="1108"/>
      <c r="AB54" s="1108"/>
      <c r="AC54" s="1108"/>
      <c r="AD54" s="1108"/>
      <c r="AE54" s="1108"/>
      <c r="AF54" s="1108"/>
      <c r="AG54" s="1108"/>
      <c r="AH54" s="1108"/>
      <c r="AI54" s="1108"/>
      <c r="AJ54" s="1108"/>
      <c r="AK54" s="1108"/>
      <c r="AL54" s="1108"/>
      <c r="AM54" s="1108"/>
      <c r="AN54" s="1108"/>
      <c r="AO54" s="1108"/>
      <c r="AP54" s="1108"/>
      <c r="AQ54" s="1108"/>
      <c r="AR54" s="1108"/>
      <c r="AS54" s="1108"/>
      <c r="AT54" s="1108"/>
      <c r="AU54" s="1108"/>
      <c r="AV54" s="1108"/>
      <c r="AW54" s="1108"/>
      <c r="AX54" s="1108"/>
      <c r="AY54" s="1108"/>
      <c r="AZ54" s="1108"/>
      <c r="BA54" s="1108"/>
      <c r="BB54" s="1108"/>
      <c r="BC54" s="1108"/>
      <c r="BD54" s="1108"/>
      <c r="BE54" s="1108"/>
      <c r="BF54" s="1108"/>
      <c r="BG54" s="1108"/>
      <c r="BH54" s="1108"/>
    </row>
    <row r="55" spans="1:60" x14ac:dyDescent="0.3">
      <c r="A55" s="1108"/>
      <c r="B55" s="1108">
        <v>93</v>
      </c>
      <c r="C55" s="1108" t="s">
        <v>236</v>
      </c>
      <c r="D55" s="1108"/>
      <c r="E55" s="1108"/>
      <c r="F55" s="1108"/>
      <c r="G55" s="1108"/>
      <c r="H55" s="1108"/>
      <c r="I55" s="1108"/>
      <c r="J55" s="1108"/>
      <c r="K55" s="1108"/>
      <c r="L55" s="1108"/>
      <c r="M55" s="1108"/>
      <c r="N55" s="1108"/>
      <c r="O55" s="1108"/>
      <c r="P55" s="1108"/>
      <c r="Q55" s="1108"/>
      <c r="R55" s="1108"/>
      <c r="S55" s="1108"/>
      <c r="T55" s="1108"/>
      <c r="U55" s="1108"/>
      <c r="V55" s="1108"/>
      <c r="W55" s="1108"/>
      <c r="X55" s="1108"/>
      <c r="Y55" s="1108"/>
      <c r="Z55" s="1108"/>
      <c r="AA55" s="1108"/>
      <c r="AB55" s="1108"/>
      <c r="AC55" s="1108"/>
      <c r="AD55" s="1108"/>
      <c r="AE55" s="1108"/>
      <c r="AF55" s="1108"/>
      <c r="AG55" s="1108"/>
      <c r="AH55" s="1108"/>
      <c r="AI55" s="1108"/>
      <c r="AJ55" s="1108"/>
      <c r="AK55" s="1108"/>
      <c r="AL55" s="1108"/>
      <c r="AM55" s="1108"/>
      <c r="AN55" s="1108"/>
      <c r="AO55" s="1108"/>
      <c r="AP55" s="1108"/>
      <c r="AQ55" s="1108"/>
      <c r="AR55" s="1108"/>
      <c r="AS55" s="1108"/>
      <c r="AT55" s="1108"/>
      <c r="AU55" s="1108"/>
      <c r="AV55" s="1108"/>
      <c r="AW55" s="1108"/>
      <c r="AX55" s="1108"/>
      <c r="AY55" s="1108"/>
      <c r="AZ55" s="1108"/>
      <c r="BA55" s="1108"/>
      <c r="BB55" s="1108"/>
      <c r="BC55" s="1108"/>
      <c r="BD55" s="1108"/>
      <c r="BE55" s="1108"/>
      <c r="BF55" s="1108"/>
      <c r="BG55" s="1108"/>
      <c r="BH55" s="1108"/>
    </row>
    <row r="56" spans="1:60" x14ac:dyDescent="0.3">
      <c r="A56" s="1108"/>
      <c r="B56" s="1108">
        <v>94</v>
      </c>
      <c r="C56" s="1108" t="s">
        <v>239</v>
      </c>
      <c r="D56" s="1108"/>
      <c r="E56" s="1108"/>
      <c r="F56" s="1108"/>
      <c r="G56" s="1108"/>
      <c r="H56" s="1108"/>
      <c r="I56" s="1108"/>
      <c r="J56" s="1108"/>
      <c r="K56" s="1108"/>
      <c r="L56" s="1108"/>
      <c r="M56" s="1108"/>
      <c r="N56" s="1108"/>
      <c r="O56" s="1108"/>
      <c r="P56" s="1108"/>
      <c r="Q56" s="1108"/>
      <c r="R56" s="1108"/>
      <c r="S56" s="1108"/>
      <c r="T56" s="1108"/>
      <c r="U56" s="1108"/>
      <c r="V56" s="1108"/>
      <c r="W56" s="1108"/>
      <c r="X56" s="1108"/>
      <c r="Y56" s="1108"/>
      <c r="Z56" s="1108"/>
      <c r="AA56" s="1108"/>
      <c r="AB56" s="1108"/>
      <c r="AC56" s="1108"/>
      <c r="AD56" s="1108"/>
      <c r="AE56" s="1108"/>
      <c r="AF56" s="1108"/>
      <c r="AG56" s="1108"/>
      <c r="AH56" s="1108"/>
      <c r="AI56" s="1108"/>
      <c r="AJ56" s="1108"/>
      <c r="AK56" s="1108"/>
      <c r="AL56" s="1108"/>
      <c r="AM56" s="1108"/>
      <c r="AN56" s="1108"/>
      <c r="AO56" s="1108"/>
      <c r="AP56" s="1108"/>
      <c r="AQ56" s="1108"/>
      <c r="AR56" s="1108"/>
      <c r="AS56" s="1108"/>
      <c r="AT56" s="1108"/>
      <c r="AU56" s="1108"/>
      <c r="AV56" s="1108"/>
      <c r="AW56" s="1108"/>
      <c r="AX56" s="1108"/>
      <c r="AY56" s="1108"/>
      <c r="AZ56" s="1108"/>
      <c r="BA56" s="1108"/>
      <c r="BB56" s="1108"/>
      <c r="BC56" s="1108"/>
      <c r="BD56" s="1108"/>
      <c r="BE56" s="1108"/>
      <c r="BF56" s="1108"/>
      <c r="BG56" s="1108"/>
      <c r="BH56" s="1108"/>
    </row>
    <row r="57" spans="1:60" x14ac:dyDescent="0.3">
      <c r="A57" s="1108"/>
      <c r="B57" s="1108">
        <v>97</v>
      </c>
      <c r="C57" s="1108" t="s">
        <v>235</v>
      </c>
      <c r="D57" s="1108"/>
      <c r="E57" s="1108"/>
      <c r="F57" s="1108"/>
      <c r="G57" s="1108"/>
      <c r="H57" s="1108"/>
      <c r="I57" s="1108"/>
      <c r="J57" s="1108"/>
      <c r="K57" s="1108"/>
      <c r="L57" s="1108"/>
      <c r="M57" s="1108"/>
      <c r="N57" s="1108"/>
      <c r="O57" s="1108"/>
      <c r="P57" s="1108"/>
      <c r="Q57" s="1108"/>
      <c r="R57" s="1108"/>
      <c r="S57" s="1108"/>
      <c r="T57" s="1108"/>
      <c r="U57" s="1108"/>
      <c r="V57" s="1108"/>
      <c r="W57" s="1108"/>
      <c r="X57" s="1108"/>
      <c r="Y57" s="1108"/>
      <c r="Z57" s="1108"/>
      <c r="AA57" s="1108"/>
      <c r="AB57" s="1108"/>
      <c r="AC57" s="1108"/>
      <c r="AD57" s="1108"/>
      <c r="AE57" s="1108"/>
      <c r="AF57" s="1108"/>
      <c r="AG57" s="1108"/>
      <c r="AH57" s="1108"/>
      <c r="AI57" s="1108"/>
      <c r="AJ57" s="1108"/>
      <c r="AK57" s="1108"/>
      <c r="AL57" s="1108"/>
      <c r="AM57" s="1108"/>
      <c r="AN57" s="1108"/>
      <c r="AO57" s="1108"/>
      <c r="AP57" s="1108"/>
      <c r="AQ57" s="1108"/>
      <c r="AR57" s="1108"/>
      <c r="AS57" s="1108"/>
      <c r="AT57" s="1108"/>
      <c r="AU57" s="1108"/>
      <c r="AV57" s="1108"/>
      <c r="AW57" s="1108"/>
      <c r="AX57" s="1108"/>
      <c r="AY57" s="1108"/>
      <c r="AZ57" s="1108"/>
      <c r="BA57" s="1108"/>
      <c r="BB57" s="1108"/>
      <c r="BC57" s="1108"/>
      <c r="BD57" s="1108"/>
      <c r="BE57" s="1108"/>
      <c r="BF57" s="1108"/>
      <c r="BG57" s="1108"/>
      <c r="BH57" s="1108"/>
    </row>
    <row r="58" spans="1:60" x14ac:dyDescent="0.3">
      <c r="A58" s="1108"/>
      <c r="B58" s="1108">
        <v>98</v>
      </c>
      <c r="C58" s="1108" t="s">
        <v>240</v>
      </c>
      <c r="D58" s="1108"/>
      <c r="E58" s="1108"/>
      <c r="F58" s="1108"/>
      <c r="G58" s="1108"/>
      <c r="H58" s="1108"/>
      <c r="I58" s="1108"/>
      <c r="J58" s="1108"/>
      <c r="K58" s="1108"/>
      <c r="L58" s="1108"/>
      <c r="M58" s="1108"/>
      <c r="N58" s="1108"/>
      <c r="O58" s="1108"/>
      <c r="P58" s="1108"/>
      <c r="Q58" s="1108"/>
      <c r="R58" s="1108"/>
      <c r="S58" s="1108"/>
      <c r="T58" s="1108"/>
      <c r="U58" s="1108"/>
      <c r="V58" s="1108"/>
      <c r="W58" s="1108"/>
      <c r="X58" s="1108"/>
      <c r="Y58" s="1108"/>
      <c r="Z58" s="1108"/>
      <c r="AA58" s="1108"/>
      <c r="AB58" s="1108"/>
      <c r="AC58" s="1108"/>
      <c r="AD58" s="1108"/>
      <c r="AE58" s="1108"/>
      <c r="AF58" s="1108"/>
      <c r="AG58" s="1108"/>
      <c r="AH58" s="1108"/>
      <c r="AI58" s="1108"/>
      <c r="AJ58" s="1108"/>
      <c r="AK58" s="1108"/>
      <c r="AL58" s="1108"/>
      <c r="AM58" s="1108"/>
      <c r="AN58" s="1108"/>
      <c r="AO58" s="1108"/>
      <c r="AP58" s="1108"/>
      <c r="AQ58" s="1108"/>
      <c r="AR58" s="1108"/>
      <c r="AS58" s="1108"/>
      <c r="AT58" s="1108"/>
      <c r="AU58" s="1108"/>
      <c r="AV58" s="1108"/>
      <c r="AW58" s="1108"/>
      <c r="AX58" s="1108"/>
      <c r="AY58" s="1108"/>
      <c r="AZ58" s="1108"/>
      <c r="BA58" s="1108"/>
      <c r="BB58" s="1108"/>
      <c r="BC58" s="1108"/>
      <c r="BD58" s="1108"/>
      <c r="BE58" s="1108"/>
      <c r="BF58" s="1108"/>
      <c r="BG58" s="1108"/>
      <c r="BH58" s="1108"/>
    </row>
    <row r="59" spans="1:60" x14ac:dyDescent="0.3">
      <c r="A59" s="1108"/>
      <c r="B59" s="1108">
        <v>99</v>
      </c>
      <c r="C59" s="1108" t="s">
        <v>237</v>
      </c>
      <c r="D59" s="1108"/>
      <c r="E59" s="1108"/>
      <c r="F59" s="1108"/>
      <c r="G59" s="1108"/>
      <c r="H59" s="1108"/>
      <c r="I59" s="1108"/>
      <c r="J59" s="1108"/>
      <c r="K59" s="1108"/>
      <c r="L59" s="1108"/>
      <c r="M59" s="1108"/>
      <c r="N59" s="1108"/>
      <c r="O59" s="1108"/>
      <c r="P59" s="1108"/>
      <c r="Q59" s="1108"/>
      <c r="R59" s="1108"/>
      <c r="S59" s="1108"/>
      <c r="T59" s="1108"/>
      <c r="U59" s="1108"/>
      <c r="V59" s="1108"/>
      <c r="W59" s="1108"/>
      <c r="X59" s="1108"/>
      <c r="Y59" s="1108"/>
      <c r="Z59" s="1108"/>
      <c r="AA59" s="1108"/>
      <c r="AB59" s="1108"/>
      <c r="AC59" s="1108"/>
      <c r="AD59" s="1108"/>
      <c r="AE59" s="1108"/>
      <c r="AF59" s="1108"/>
      <c r="AG59" s="1108"/>
      <c r="AH59" s="1108"/>
      <c r="AI59" s="1108"/>
      <c r="AJ59" s="1108"/>
      <c r="AK59" s="1108"/>
      <c r="AL59" s="1108"/>
      <c r="AM59" s="1108"/>
      <c r="AN59" s="1108"/>
      <c r="AO59" s="1108"/>
      <c r="AP59" s="1108"/>
      <c r="AQ59" s="1108"/>
      <c r="AR59" s="1108"/>
      <c r="AS59" s="1108"/>
      <c r="AT59" s="1108"/>
      <c r="AU59" s="1108"/>
      <c r="AV59" s="1108"/>
      <c r="AW59" s="1108"/>
      <c r="AX59" s="1108"/>
      <c r="AY59" s="1108"/>
      <c r="AZ59" s="1108"/>
      <c r="BA59" s="1108"/>
      <c r="BB59" s="1108"/>
      <c r="BC59" s="1108"/>
      <c r="BD59" s="1108"/>
      <c r="BE59" s="1108"/>
      <c r="BF59" s="1108"/>
      <c r="BG59" s="1108"/>
      <c r="BH59" s="1108"/>
    </row>
    <row r="60" spans="1:60" x14ac:dyDescent="0.3">
      <c r="A60" s="1108"/>
      <c r="B60" s="1108">
        <v>100</v>
      </c>
      <c r="C60" s="1108" t="s">
        <v>250</v>
      </c>
      <c r="D60" s="1108"/>
      <c r="E60" s="1108"/>
      <c r="F60" s="1108"/>
      <c r="G60" s="1108"/>
      <c r="H60" s="1108"/>
      <c r="I60" s="1108"/>
      <c r="J60" s="1108"/>
      <c r="K60" s="1108"/>
      <c r="L60" s="1108"/>
      <c r="M60" s="1108"/>
      <c r="N60" s="1108"/>
      <c r="O60" s="1108"/>
      <c r="P60" s="1108"/>
      <c r="Q60" s="1108"/>
      <c r="R60" s="1108"/>
      <c r="S60" s="1108"/>
      <c r="T60" s="1108"/>
      <c r="U60" s="1108"/>
      <c r="V60" s="1108"/>
      <c r="W60" s="1108"/>
      <c r="X60" s="1108"/>
      <c r="Y60" s="1108"/>
      <c r="Z60" s="1108"/>
      <c r="AA60" s="1108"/>
      <c r="AB60" s="1108"/>
      <c r="AC60" s="1108"/>
      <c r="AD60" s="1108"/>
      <c r="AE60" s="1108"/>
      <c r="AF60" s="1108"/>
      <c r="AG60" s="1108"/>
      <c r="AH60" s="1108"/>
      <c r="AI60" s="1108"/>
      <c r="AJ60" s="1108"/>
      <c r="AK60" s="1108"/>
      <c r="AL60" s="1108"/>
      <c r="AM60" s="1108"/>
      <c r="AN60" s="1108"/>
      <c r="AO60" s="1108"/>
      <c r="AP60" s="1108"/>
      <c r="AQ60" s="1108"/>
      <c r="AR60" s="1108"/>
      <c r="AS60" s="1108"/>
      <c r="AT60" s="1108"/>
      <c r="AU60" s="1108"/>
      <c r="AV60" s="1108"/>
      <c r="AW60" s="1108"/>
      <c r="AX60" s="1108"/>
      <c r="AY60" s="1108"/>
      <c r="AZ60" s="1108"/>
      <c r="BA60" s="1108"/>
      <c r="BB60" s="1108"/>
      <c r="BC60" s="1108"/>
      <c r="BD60" s="1108"/>
      <c r="BE60" s="1108"/>
      <c r="BF60" s="1108"/>
      <c r="BG60" s="1108"/>
      <c r="BH60" s="1108"/>
    </row>
    <row r="61" spans="1:60" x14ac:dyDescent="0.3">
      <c r="A61" s="1108"/>
      <c r="B61" s="1108">
        <v>101</v>
      </c>
      <c r="C61" s="1108" t="s">
        <v>249</v>
      </c>
      <c r="D61" s="1108"/>
      <c r="E61" s="1108"/>
      <c r="F61" s="1108"/>
      <c r="G61" s="1108"/>
      <c r="H61" s="1108"/>
      <c r="I61" s="1108"/>
      <c r="J61" s="1108"/>
      <c r="K61" s="1108"/>
      <c r="L61" s="1108"/>
      <c r="M61" s="1108"/>
      <c r="N61" s="1108"/>
      <c r="O61" s="1108"/>
      <c r="P61" s="1108"/>
      <c r="Q61" s="1108"/>
      <c r="R61" s="1108"/>
      <c r="S61" s="1108"/>
      <c r="T61" s="1108"/>
      <c r="U61" s="1108"/>
      <c r="V61" s="1108"/>
      <c r="W61" s="1108"/>
      <c r="X61" s="1108"/>
      <c r="Y61" s="1108"/>
      <c r="Z61" s="1108"/>
      <c r="AA61" s="1108"/>
      <c r="AB61" s="1108"/>
      <c r="AC61" s="1108"/>
      <c r="AD61" s="1108"/>
      <c r="AE61" s="1108"/>
      <c r="AF61" s="1108"/>
      <c r="AG61" s="1108"/>
      <c r="AH61" s="1108"/>
      <c r="AI61" s="1108"/>
      <c r="AJ61" s="1108"/>
      <c r="AK61" s="1108"/>
      <c r="AL61" s="1108"/>
      <c r="AM61" s="1108"/>
      <c r="AN61" s="1108"/>
      <c r="AO61" s="1108"/>
      <c r="AP61" s="1108"/>
      <c r="AQ61" s="1108"/>
      <c r="AR61" s="1108"/>
      <c r="AS61" s="1108"/>
      <c r="AT61" s="1108"/>
      <c r="AU61" s="1108"/>
      <c r="AV61" s="1108"/>
      <c r="AW61" s="1108"/>
      <c r="AX61" s="1108"/>
      <c r="AY61" s="1108"/>
      <c r="AZ61" s="1108"/>
      <c r="BA61" s="1108"/>
      <c r="BB61" s="1108"/>
      <c r="BC61" s="1108"/>
      <c r="BD61" s="1108"/>
      <c r="BE61" s="1108"/>
      <c r="BF61" s="1108"/>
      <c r="BG61" s="1108"/>
      <c r="BH61" s="1108"/>
    </row>
    <row r="62" spans="1:60" x14ac:dyDescent="0.3">
      <c r="A62" s="1108"/>
      <c r="B62" s="1108">
        <v>102</v>
      </c>
      <c r="C62" s="1108" t="e">
        <v>#VALUE!</v>
      </c>
      <c r="D62" s="1108"/>
      <c r="E62" s="1108"/>
      <c r="F62" s="1108"/>
      <c r="G62" s="1108"/>
      <c r="H62" s="1108"/>
      <c r="I62" s="1108"/>
      <c r="J62" s="1108"/>
      <c r="K62" s="1108"/>
      <c r="L62" s="1108"/>
      <c r="M62" s="1108"/>
      <c r="N62" s="1108"/>
      <c r="O62" s="1108"/>
      <c r="P62" s="1108"/>
      <c r="Q62" s="1108"/>
      <c r="R62" s="1108"/>
      <c r="S62" s="1108"/>
      <c r="T62" s="1108"/>
      <c r="U62" s="1108"/>
      <c r="V62" s="1108"/>
      <c r="W62" s="1108"/>
      <c r="X62" s="1108"/>
      <c r="Y62" s="1108"/>
      <c r="Z62" s="1108"/>
      <c r="AA62" s="1108"/>
      <c r="AB62" s="1108"/>
      <c r="AC62" s="1108"/>
      <c r="AD62" s="1108"/>
      <c r="AE62" s="1108"/>
      <c r="AF62" s="1108"/>
      <c r="AG62" s="1108"/>
      <c r="AH62" s="1108"/>
      <c r="AI62" s="1108"/>
      <c r="AJ62" s="1108"/>
      <c r="AK62" s="1108"/>
      <c r="AL62" s="1108"/>
      <c r="AM62" s="1108"/>
      <c r="AN62" s="1108"/>
      <c r="AO62" s="1108"/>
      <c r="AP62" s="1108"/>
      <c r="AQ62" s="1108"/>
      <c r="AR62" s="1108"/>
      <c r="AS62" s="1108"/>
      <c r="AT62" s="1108"/>
      <c r="AU62" s="1108"/>
      <c r="AV62" s="1108"/>
      <c r="AW62" s="1108"/>
      <c r="AX62" s="1108"/>
      <c r="AY62" s="1108"/>
      <c r="AZ62" s="1108"/>
      <c r="BA62" s="1108"/>
      <c r="BB62" s="1108"/>
      <c r="BC62" s="1108"/>
      <c r="BD62" s="1108"/>
      <c r="BE62" s="1108"/>
      <c r="BF62" s="1108"/>
      <c r="BG62" s="1108"/>
      <c r="BH62" s="1108"/>
    </row>
    <row r="63" spans="1:60" x14ac:dyDescent="0.3">
      <c r="A63" s="1108"/>
      <c r="B63" s="1108">
        <v>103</v>
      </c>
      <c r="C63" s="1108" t="e">
        <v>#VALUE!</v>
      </c>
      <c r="D63" s="1108"/>
      <c r="E63" s="1108"/>
      <c r="F63" s="1108"/>
      <c r="G63" s="1108"/>
      <c r="H63" s="1108"/>
      <c r="I63" s="1108"/>
      <c r="J63" s="1108"/>
      <c r="K63" s="1108"/>
      <c r="L63" s="1108"/>
      <c r="M63" s="1108"/>
      <c r="N63" s="1108"/>
      <c r="O63" s="1108"/>
      <c r="P63" s="1108"/>
      <c r="Q63" s="1108"/>
      <c r="R63" s="1108"/>
      <c r="S63" s="1108"/>
      <c r="T63" s="1108"/>
      <c r="U63" s="1108"/>
      <c r="V63" s="1108"/>
      <c r="W63" s="1108"/>
      <c r="X63" s="1108"/>
      <c r="Y63" s="1108"/>
      <c r="Z63" s="1108"/>
      <c r="AA63" s="1108"/>
      <c r="AB63" s="1108"/>
      <c r="AC63" s="1108"/>
      <c r="AD63" s="1108"/>
      <c r="AE63" s="1108"/>
      <c r="AF63" s="1108"/>
      <c r="AG63" s="1108"/>
      <c r="AH63" s="1108"/>
      <c r="AI63" s="1108"/>
      <c r="AJ63" s="1108"/>
      <c r="AK63" s="1108"/>
      <c r="AL63" s="1108"/>
      <c r="AM63" s="1108"/>
      <c r="AN63" s="1108"/>
      <c r="AO63" s="1108"/>
      <c r="AP63" s="1108"/>
      <c r="AQ63" s="1108"/>
      <c r="AR63" s="1108"/>
      <c r="AS63" s="1108"/>
      <c r="AT63" s="1108"/>
      <c r="AU63" s="1108"/>
      <c r="AV63" s="1108"/>
      <c r="AW63" s="1108"/>
      <c r="AX63" s="1108"/>
      <c r="AY63" s="1108"/>
      <c r="AZ63" s="1108"/>
      <c r="BA63" s="1108"/>
      <c r="BB63" s="1108"/>
      <c r="BC63" s="1108"/>
      <c r="BD63" s="1108"/>
      <c r="BE63" s="1108"/>
      <c r="BF63" s="1108"/>
      <c r="BG63" s="1108"/>
      <c r="BH63" s="1108"/>
    </row>
    <row r="64" spans="1:60" x14ac:dyDescent="0.3">
      <c r="A64" s="1108"/>
      <c r="B64" s="1108">
        <v>104</v>
      </c>
      <c r="C64" s="1108" t="s">
        <v>299</v>
      </c>
      <c r="D64" s="1108"/>
      <c r="E64" s="1108"/>
      <c r="F64" s="1108"/>
      <c r="G64" s="1108"/>
      <c r="H64" s="1108"/>
      <c r="I64" s="1108"/>
      <c r="J64" s="1108"/>
      <c r="K64" s="1108"/>
      <c r="L64" s="1108"/>
      <c r="M64" s="1108"/>
      <c r="N64" s="1108"/>
      <c r="O64" s="1108"/>
      <c r="P64" s="1108"/>
      <c r="Q64" s="1108"/>
      <c r="R64" s="1108"/>
      <c r="S64" s="1108"/>
      <c r="T64" s="1108"/>
      <c r="U64" s="1108"/>
      <c r="V64" s="1108"/>
      <c r="W64" s="1108"/>
      <c r="X64" s="1108"/>
      <c r="Y64" s="1108"/>
      <c r="Z64" s="1108"/>
      <c r="AA64" s="1108"/>
      <c r="AB64" s="1108"/>
      <c r="AC64" s="1108"/>
      <c r="AD64" s="1108"/>
      <c r="AE64" s="1108"/>
      <c r="AF64" s="1108"/>
      <c r="AG64" s="1108"/>
      <c r="AH64" s="1108"/>
      <c r="AI64" s="1108"/>
      <c r="AJ64" s="1108"/>
      <c r="AK64" s="1108"/>
      <c r="AL64" s="1108"/>
      <c r="AM64" s="1108"/>
      <c r="AN64" s="1108"/>
      <c r="AO64" s="1108"/>
      <c r="AP64" s="1108"/>
      <c r="AQ64" s="1108"/>
      <c r="AR64" s="1108"/>
      <c r="AS64" s="1108"/>
      <c r="AT64" s="1108"/>
      <c r="AU64" s="1108"/>
      <c r="AV64" s="1108"/>
      <c r="AW64" s="1108"/>
      <c r="AX64" s="1108"/>
      <c r="AY64" s="1108"/>
      <c r="AZ64" s="1108"/>
      <c r="BA64" s="1108"/>
      <c r="BB64" s="1108"/>
      <c r="BC64" s="1108"/>
      <c r="BD64" s="1108"/>
      <c r="BE64" s="1108"/>
      <c r="BF64" s="1108"/>
      <c r="BG64" s="1108"/>
      <c r="BH64" s="1108"/>
    </row>
    <row r="65" spans="1:60" x14ac:dyDescent="0.3">
      <c r="A65" s="1108"/>
      <c r="B65" s="1108">
        <v>107</v>
      </c>
      <c r="C65" s="1108" t="s">
        <v>380</v>
      </c>
      <c r="D65" s="1108"/>
      <c r="E65" s="1108"/>
      <c r="F65" s="1108"/>
      <c r="G65" s="1108"/>
      <c r="H65" s="1108"/>
      <c r="I65" s="1108"/>
      <c r="J65" s="1108"/>
      <c r="K65" s="1108"/>
      <c r="L65" s="1108"/>
      <c r="M65" s="1108"/>
      <c r="N65" s="1108"/>
      <c r="O65" s="1108"/>
      <c r="P65" s="1108"/>
      <c r="Q65" s="1108"/>
      <c r="R65" s="1108"/>
      <c r="S65" s="1108"/>
      <c r="T65" s="1108"/>
      <c r="U65" s="1108"/>
      <c r="V65" s="1108"/>
      <c r="W65" s="1108"/>
      <c r="X65" s="1108"/>
      <c r="Y65" s="1108"/>
      <c r="Z65" s="1108"/>
      <c r="AA65" s="1108"/>
      <c r="AB65" s="1108"/>
      <c r="AC65" s="1108"/>
      <c r="AD65" s="1108"/>
      <c r="AE65" s="1108"/>
      <c r="AF65" s="1108"/>
      <c r="AG65" s="1108"/>
      <c r="AH65" s="1108"/>
      <c r="AI65" s="1108"/>
      <c r="AJ65" s="1108"/>
      <c r="AK65" s="1108"/>
      <c r="AL65" s="1108"/>
      <c r="AM65" s="1108"/>
      <c r="AN65" s="1108"/>
      <c r="AO65" s="1108"/>
      <c r="AP65" s="1108"/>
      <c r="AQ65" s="1108"/>
      <c r="AR65" s="1108"/>
      <c r="AS65" s="1108"/>
      <c r="AT65" s="1108"/>
      <c r="AU65" s="1108"/>
      <c r="AV65" s="1108"/>
      <c r="AW65" s="1108"/>
      <c r="AX65" s="1108"/>
      <c r="AY65" s="1108"/>
      <c r="AZ65" s="1108"/>
      <c r="BA65" s="1108"/>
      <c r="BB65" s="1108"/>
      <c r="BC65" s="1108"/>
      <c r="BD65" s="1108"/>
      <c r="BE65" s="1108"/>
      <c r="BF65" s="1108"/>
      <c r="BG65" s="1108"/>
      <c r="BH65" s="1108"/>
    </row>
    <row r="66" spans="1:60" x14ac:dyDescent="0.3">
      <c r="A66" s="1108"/>
      <c r="B66" s="1108">
        <v>108</v>
      </c>
      <c r="C66" s="1108" t="s">
        <v>381</v>
      </c>
      <c r="D66" s="1108"/>
      <c r="E66" s="1108"/>
      <c r="F66" s="1108"/>
      <c r="G66" s="1108"/>
      <c r="H66" s="1108"/>
      <c r="I66" s="1108"/>
      <c r="J66" s="1108"/>
      <c r="K66" s="1108"/>
      <c r="L66" s="1108"/>
      <c r="M66" s="1108"/>
      <c r="N66" s="1108"/>
      <c r="O66" s="1108"/>
      <c r="P66" s="1108"/>
      <c r="Q66" s="1108"/>
      <c r="R66" s="1108"/>
      <c r="S66" s="1108"/>
      <c r="T66" s="1108"/>
      <c r="U66" s="1108"/>
      <c r="V66" s="1108"/>
      <c r="W66" s="1108"/>
      <c r="X66" s="1108"/>
      <c r="Y66" s="1108"/>
      <c r="Z66" s="1108"/>
      <c r="AA66" s="1108"/>
      <c r="AB66" s="1108"/>
      <c r="AC66" s="1108"/>
      <c r="AD66" s="1108"/>
      <c r="AE66" s="1108"/>
      <c r="AF66" s="1108"/>
      <c r="AG66" s="1108"/>
      <c r="AH66" s="1108"/>
      <c r="AI66" s="1108"/>
      <c r="AJ66" s="1108"/>
      <c r="AK66" s="1108"/>
      <c r="AL66" s="1108"/>
      <c r="AM66" s="1108"/>
      <c r="AN66" s="1108"/>
      <c r="AO66" s="1108"/>
      <c r="AP66" s="1108"/>
      <c r="AQ66" s="1108"/>
      <c r="AR66" s="1108"/>
      <c r="AS66" s="1108"/>
      <c r="AT66" s="1108"/>
      <c r="AU66" s="1108"/>
      <c r="AV66" s="1108"/>
      <c r="AW66" s="1108"/>
      <c r="AX66" s="1108"/>
      <c r="AY66" s="1108"/>
      <c r="AZ66" s="1108"/>
      <c r="BA66" s="1108"/>
      <c r="BB66" s="1108"/>
      <c r="BC66" s="1108"/>
      <c r="BD66" s="1108"/>
      <c r="BE66" s="1108"/>
      <c r="BF66" s="1108"/>
      <c r="BG66" s="1108"/>
      <c r="BH66" s="1108"/>
    </row>
    <row r="67" spans="1:60" x14ac:dyDescent="0.3">
      <c r="A67" s="1108"/>
      <c r="B67" s="1108">
        <v>147</v>
      </c>
      <c r="C67" s="1108" t="s">
        <v>300</v>
      </c>
      <c r="D67" s="1108"/>
      <c r="E67" s="1108"/>
      <c r="F67" s="1108"/>
      <c r="G67" s="1108"/>
      <c r="H67" s="1108"/>
      <c r="I67" s="1108"/>
      <c r="J67" s="1108"/>
      <c r="K67" s="1108"/>
      <c r="L67" s="1108"/>
      <c r="M67" s="1108"/>
      <c r="N67" s="1108"/>
      <c r="O67" s="1108"/>
      <c r="P67" s="1108"/>
      <c r="Q67" s="1108"/>
      <c r="R67" s="1108"/>
      <c r="S67" s="1108"/>
      <c r="T67" s="1108"/>
      <c r="U67" s="1108"/>
      <c r="V67" s="1108"/>
      <c r="W67" s="1108"/>
      <c r="X67" s="1108"/>
      <c r="Y67" s="1108"/>
      <c r="Z67" s="1108"/>
      <c r="AA67" s="1108"/>
      <c r="AB67" s="1108"/>
      <c r="AC67" s="1108"/>
      <c r="AD67" s="1108"/>
      <c r="AE67" s="1108"/>
      <c r="AF67" s="1108"/>
      <c r="AG67" s="1108"/>
      <c r="AH67" s="1108"/>
      <c r="AI67" s="1108"/>
      <c r="AJ67" s="1108"/>
      <c r="AK67" s="1108"/>
      <c r="AL67" s="1108"/>
      <c r="AM67" s="1108"/>
      <c r="AN67" s="1108"/>
      <c r="AO67" s="1108"/>
      <c r="AP67" s="1108"/>
      <c r="AQ67" s="1108"/>
      <c r="AR67" s="1108"/>
      <c r="AS67" s="1108"/>
      <c r="AT67" s="1108"/>
      <c r="AU67" s="1108"/>
      <c r="AV67" s="1108"/>
      <c r="AW67" s="1108"/>
      <c r="AX67" s="1108"/>
      <c r="AY67" s="1108"/>
      <c r="AZ67" s="1108"/>
      <c r="BA67" s="1108"/>
      <c r="BB67" s="1108"/>
      <c r="BC67" s="1108"/>
      <c r="BD67" s="1108"/>
      <c r="BE67" s="1108"/>
      <c r="BF67" s="1108"/>
      <c r="BG67" s="1108"/>
      <c r="BH67" s="1108"/>
    </row>
    <row r="68" spans="1:60" x14ac:dyDescent="0.3">
      <c r="A68" s="1108"/>
      <c r="B68" s="1108">
        <v>148</v>
      </c>
      <c r="C68" s="1108" t="s">
        <v>301</v>
      </c>
      <c r="D68" s="1108"/>
      <c r="E68" s="1108"/>
      <c r="F68" s="1108"/>
      <c r="G68" s="1108"/>
      <c r="H68" s="1108"/>
      <c r="I68" s="1108"/>
      <c r="J68" s="1108"/>
      <c r="K68" s="1108"/>
      <c r="L68" s="1108"/>
      <c r="M68" s="1108"/>
      <c r="N68" s="1108"/>
      <c r="O68" s="1108"/>
      <c r="P68" s="1108"/>
      <c r="Q68" s="1108"/>
      <c r="R68" s="1108"/>
      <c r="S68" s="1108"/>
      <c r="T68" s="1108"/>
      <c r="U68" s="1108"/>
      <c r="V68" s="1108"/>
      <c r="W68" s="1108"/>
      <c r="X68" s="1108"/>
      <c r="Y68" s="1108"/>
      <c r="Z68" s="1108"/>
      <c r="AA68" s="1108"/>
      <c r="AB68" s="1108"/>
      <c r="AC68" s="1108"/>
      <c r="AD68" s="1108"/>
      <c r="AE68" s="1108"/>
      <c r="AF68" s="1108"/>
      <c r="AG68" s="1108"/>
      <c r="AH68" s="1108"/>
      <c r="AI68" s="1108"/>
      <c r="AJ68" s="1108"/>
      <c r="AK68" s="1108"/>
      <c r="AL68" s="1108"/>
      <c r="AM68" s="1108"/>
      <c r="AN68" s="1108"/>
      <c r="AO68" s="1108"/>
      <c r="AP68" s="1108"/>
      <c r="AQ68" s="1108"/>
      <c r="AR68" s="1108"/>
      <c r="AS68" s="1108"/>
      <c r="AT68" s="1108"/>
      <c r="AU68" s="1108"/>
      <c r="AV68" s="1108"/>
      <c r="AW68" s="1108"/>
      <c r="AX68" s="1108"/>
      <c r="AY68" s="1108"/>
      <c r="AZ68" s="1108"/>
      <c r="BA68" s="1108"/>
      <c r="BB68" s="1108"/>
      <c r="BC68" s="1108"/>
      <c r="BD68" s="1108"/>
      <c r="BE68" s="1108"/>
      <c r="BF68" s="1108"/>
      <c r="BG68" s="1108"/>
      <c r="BH68" s="1108"/>
    </row>
    <row r="69" spans="1:60" x14ac:dyDescent="0.3">
      <c r="A69" s="1108">
        <v>149</v>
      </c>
      <c r="B69" s="1108">
        <v>149</v>
      </c>
      <c r="C69" s="1108" t="s">
        <v>302</v>
      </c>
      <c r="D69" s="1130">
        <v>11067166</v>
      </c>
      <c r="E69" s="1130">
        <v>17862278</v>
      </c>
      <c r="F69" s="1130">
        <v>10000000</v>
      </c>
      <c r="G69" s="1130">
        <v>3761065</v>
      </c>
      <c r="H69" s="1130">
        <v>18230961</v>
      </c>
      <c r="I69" s="1130">
        <v>8534082</v>
      </c>
      <c r="J69" s="1130">
        <v>2631120</v>
      </c>
      <c r="K69" s="1130">
        <v>5950207</v>
      </c>
      <c r="L69" s="1130">
        <v>8864738</v>
      </c>
      <c r="M69" s="1130">
        <v>2197185</v>
      </c>
      <c r="N69" s="1130">
        <v>5263210</v>
      </c>
      <c r="O69" s="1130">
        <v>29500000</v>
      </c>
      <c r="P69" s="1130">
        <v>10616125</v>
      </c>
      <c r="Q69" s="1130">
        <v>2068280</v>
      </c>
      <c r="R69" s="1130">
        <v>379544</v>
      </c>
      <c r="S69" s="1130">
        <v>23106251</v>
      </c>
      <c r="T69" s="1130">
        <v>78338270</v>
      </c>
      <c r="U69" s="1130">
        <v>5033232</v>
      </c>
      <c r="V69" s="1130">
        <v>3500000</v>
      </c>
      <c r="W69" s="1130">
        <v>51629912</v>
      </c>
      <c r="X69" s="1130">
        <v>33365815</v>
      </c>
      <c r="Y69" s="1130">
        <v>3794710</v>
      </c>
      <c r="Z69" s="1130">
        <v>17504380</v>
      </c>
      <c r="AA69" s="1130">
        <v>2900000</v>
      </c>
      <c r="AB69" s="1130">
        <v>9546984</v>
      </c>
      <c r="AC69" s="1130">
        <v>39550269</v>
      </c>
      <c r="AD69" s="1130">
        <v>5129788</v>
      </c>
      <c r="AE69" s="1130">
        <v>19025508</v>
      </c>
      <c r="AF69" s="1130">
        <v>7763448</v>
      </c>
      <c r="AG69" s="1130">
        <v>2139822</v>
      </c>
      <c r="AH69" s="1130">
        <v>13305000</v>
      </c>
      <c r="AI69" s="1130">
        <v>15834840</v>
      </c>
      <c r="AJ69" s="1130">
        <v>36138191</v>
      </c>
      <c r="AK69" s="1130">
        <v>14284004</v>
      </c>
      <c r="AL69" s="1130">
        <v>8773283</v>
      </c>
      <c r="AM69" s="1130">
        <v>10194897</v>
      </c>
      <c r="AN69" s="1130">
        <v>11225706</v>
      </c>
      <c r="AO69" s="1130">
        <v>12264282</v>
      </c>
      <c r="AP69" s="1130">
        <v>9751370</v>
      </c>
      <c r="AQ69" s="1130">
        <v>942573</v>
      </c>
      <c r="AR69" s="1130">
        <v>2787360</v>
      </c>
      <c r="AS69" s="1130">
        <v>12179613</v>
      </c>
      <c r="AT69" s="1130">
        <v>567595</v>
      </c>
      <c r="AU69" s="1130">
        <v>100273768</v>
      </c>
      <c r="AV69" s="1130">
        <v>7202440</v>
      </c>
      <c r="AW69" s="1130">
        <v>474937924</v>
      </c>
      <c r="AX69" s="1130">
        <v>4559331</v>
      </c>
      <c r="AY69" s="1130">
        <v>1723000</v>
      </c>
      <c r="AZ69" s="1130">
        <v>13556880</v>
      </c>
      <c r="BA69" s="1130">
        <v>19835580</v>
      </c>
      <c r="BB69" s="1130">
        <v>810863</v>
      </c>
      <c r="BC69" s="1130">
        <v>2155966</v>
      </c>
      <c r="BD69" s="1130">
        <v>13286320</v>
      </c>
      <c r="BE69" s="1130">
        <v>21070240</v>
      </c>
      <c r="BF69" s="1130">
        <v>117247734</v>
      </c>
      <c r="BG69" s="1130">
        <v>6697987</v>
      </c>
      <c r="BH69" s="1130">
        <v>2960900</v>
      </c>
    </row>
    <row r="70" spans="1:60" x14ac:dyDescent="0.3">
      <c r="A70" s="1108">
        <v>150</v>
      </c>
      <c r="B70" s="1108">
        <v>150</v>
      </c>
      <c r="C70" s="1108" t="s">
        <v>303</v>
      </c>
      <c r="D70" s="1130">
        <v>924033</v>
      </c>
      <c r="E70" s="1130">
        <v>16738624</v>
      </c>
      <c r="F70" s="1130">
        <v>1162913</v>
      </c>
      <c r="G70" s="1130">
        <v>527054</v>
      </c>
      <c r="H70" s="1130">
        <v>4063418</v>
      </c>
      <c r="I70" s="1130">
        <v>3142400</v>
      </c>
      <c r="J70" s="1130">
        <v>1522058</v>
      </c>
      <c r="K70" s="1130">
        <v>539872</v>
      </c>
      <c r="L70" s="1130">
        <v>2196631</v>
      </c>
      <c r="M70" s="1130">
        <v>1098737</v>
      </c>
      <c r="N70" s="1130">
        <v>423482</v>
      </c>
      <c r="O70" s="1130">
        <v>33391008</v>
      </c>
      <c r="P70" s="1130">
        <v>5277920</v>
      </c>
      <c r="Q70" s="1130">
        <v>2436358</v>
      </c>
      <c r="R70" s="1108">
        <v>0</v>
      </c>
      <c r="S70" s="1130">
        <v>2355569</v>
      </c>
      <c r="T70" s="1130">
        <v>39759407</v>
      </c>
      <c r="U70" s="1130">
        <v>895713</v>
      </c>
      <c r="V70" s="1130">
        <v>354453</v>
      </c>
      <c r="W70" s="1130">
        <v>10961969</v>
      </c>
      <c r="X70" s="1130">
        <v>10546903</v>
      </c>
      <c r="Y70" s="1130">
        <v>478237</v>
      </c>
      <c r="Z70" s="1130">
        <v>8989725</v>
      </c>
      <c r="AA70" s="1130">
        <v>491950</v>
      </c>
      <c r="AB70" s="1130">
        <v>1709972</v>
      </c>
      <c r="AC70" s="1130">
        <v>3591097</v>
      </c>
      <c r="AD70" s="1130">
        <v>312000</v>
      </c>
      <c r="AE70" s="1130">
        <v>3929934</v>
      </c>
      <c r="AF70" s="1130">
        <v>2403516</v>
      </c>
      <c r="AG70" s="1130">
        <v>301466</v>
      </c>
      <c r="AH70" s="1108">
        <v>0</v>
      </c>
      <c r="AI70" s="1130">
        <v>1509238</v>
      </c>
      <c r="AJ70" s="1130">
        <v>13323501</v>
      </c>
      <c r="AK70" s="1130">
        <v>2212296</v>
      </c>
      <c r="AL70" s="1130">
        <v>481137</v>
      </c>
      <c r="AM70" s="1130">
        <v>16157933</v>
      </c>
      <c r="AN70" s="1130">
        <v>2555000</v>
      </c>
      <c r="AO70" s="1130">
        <v>1789362</v>
      </c>
      <c r="AP70" s="1130">
        <v>2439741</v>
      </c>
      <c r="AQ70" s="1130">
        <v>572744</v>
      </c>
      <c r="AR70" s="1130">
        <v>1221800</v>
      </c>
      <c r="AS70" s="1130">
        <v>1850000</v>
      </c>
      <c r="AT70" s="1130">
        <v>120000</v>
      </c>
      <c r="AU70" s="1130">
        <v>34086582</v>
      </c>
      <c r="AV70" s="1130">
        <v>1337000</v>
      </c>
      <c r="AW70" s="1130">
        <v>321238447</v>
      </c>
      <c r="AX70" s="1130">
        <v>235803</v>
      </c>
      <c r="AY70" s="1130">
        <v>887000</v>
      </c>
      <c r="AZ70" s="1130">
        <v>977352</v>
      </c>
      <c r="BA70" s="1130">
        <v>1334612</v>
      </c>
      <c r="BB70" s="1130">
        <v>253530</v>
      </c>
      <c r="BC70" s="1130">
        <v>1358826</v>
      </c>
      <c r="BD70" s="1130">
        <v>2918355</v>
      </c>
      <c r="BE70" s="1130">
        <v>1048702</v>
      </c>
      <c r="BF70" s="1130">
        <v>66379183</v>
      </c>
      <c r="BG70" s="1130">
        <v>436300</v>
      </c>
      <c r="BH70" s="1130">
        <v>7920538</v>
      </c>
    </row>
    <row r="71" spans="1:60" x14ac:dyDescent="0.3">
      <c r="A71" s="1108"/>
      <c r="B71" s="1108">
        <v>171</v>
      </c>
      <c r="C71" s="1108" t="e">
        <v>#VALUE!</v>
      </c>
      <c r="D71" s="1108"/>
      <c r="E71" s="1108"/>
      <c r="F71" s="1108"/>
      <c r="G71" s="1108"/>
      <c r="H71" s="1108"/>
      <c r="I71" s="1108"/>
      <c r="J71" s="1108"/>
      <c r="K71" s="1108"/>
      <c r="L71" s="1108"/>
      <c r="M71" s="1108"/>
      <c r="N71" s="1108"/>
      <c r="O71" s="1108"/>
      <c r="P71" s="1108"/>
      <c r="Q71" s="1108"/>
      <c r="R71" s="1108"/>
      <c r="S71" s="1108"/>
      <c r="T71" s="1108"/>
      <c r="U71" s="1108"/>
      <c r="V71" s="1108"/>
      <c r="W71" s="1108"/>
      <c r="X71" s="1108"/>
      <c r="Y71" s="1108"/>
      <c r="Z71" s="1108"/>
      <c r="AA71" s="1108"/>
      <c r="AB71" s="1108"/>
      <c r="AC71" s="1108"/>
      <c r="AD71" s="1108"/>
      <c r="AE71" s="1108"/>
      <c r="AF71" s="1108"/>
      <c r="AG71" s="1108"/>
      <c r="AH71" s="1108"/>
      <c r="AI71" s="1108"/>
      <c r="AJ71" s="1108"/>
      <c r="AK71" s="1108"/>
      <c r="AL71" s="1108"/>
      <c r="AM71" s="1108"/>
      <c r="AN71" s="1108"/>
      <c r="AO71" s="1108"/>
      <c r="AP71" s="1108"/>
      <c r="AQ71" s="1108"/>
      <c r="AR71" s="1108"/>
      <c r="AS71" s="1108"/>
      <c r="AT71" s="1108"/>
      <c r="AU71" s="1108"/>
      <c r="AV71" s="1108"/>
      <c r="AW71" s="1108"/>
      <c r="AX71" s="1108"/>
      <c r="AY71" s="1108"/>
      <c r="AZ71" s="1108"/>
      <c r="BA71" s="1108"/>
      <c r="BB71" s="1108"/>
      <c r="BC71" s="1108"/>
      <c r="BD71" s="1108"/>
      <c r="BE71" s="1108"/>
      <c r="BF71" s="1108"/>
      <c r="BG71" s="1108"/>
      <c r="BH71" s="1108"/>
    </row>
    <row r="72" spans="1:60" x14ac:dyDescent="0.3">
      <c r="A72" s="1108"/>
      <c r="B72" s="1108">
        <v>191</v>
      </c>
      <c r="C72" s="1108" t="e">
        <v>#VALUE!</v>
      </c>
      <c r="D72" s="1108"/>
      <c r="E72" s="1108"/>
      <c r="F72" s="1108"/>
      <c r="G72" s="1108"/>
      <c r="H72" s="1108"/>
      <c r="I72" s="1108"/>
      <c r="J72" s="1108"/>
      <c r="K72" s="1108"/>
      <c r="L72" s="1108"/>
      <c r="M72" s="1108"/>
      <c r="N72" s="1108"/>
      <c r="O72" s="1108"/>
      <c r="P72" s="1108"/>
      <c r="Q72" s="1108"/>
      <c r="R72" s="1108"/>
      <c r="S72" s="1108"/>
      <c r="T72" s="1108"/>
      <c r="U72" s="1108"/>
      <c r="V72" s="1108"/>
      <c r="W72" s="1108"/>
      <c r="X72" s="1108"/>
      <c r="Y72" s="1108"/>
      <c r="Z72" s="1108"/>
      <c r="AA72" s="1108"/>
      <c r="AB72" s="1108"/>
      <c r="AC72" s="1108"/>
      <c r="AD72" s="1108"/>
      <c r="AE72" s="1108"/>
      <c r="AF72" s="1108"/>
      <c r="AG72" s="1108"/>
      <c r="AH72" s="1108"/>
      <c r="AI72" s="1108"/>
      <c r="AJ72" s="1108"/>
      <c r="AK72" s="1108"/>
      <c r="AL72" s="1108"/>
      <c r="AM72" s="1108"/>
      <c r="AN72" s="1108"/>
      <c r="AO72" s="1108"/>
      <c r="AP72" s="1108"/>
      <c r="AQ72" s="1108"/>
      <c r="AR72" s="1108"/>
      <c r="AS72" s="1108"/>
      <c r="AT72" s="1108"/>
      <c r="AU72" s="1108"/>
      <c r="AV72" s="1108"/>
      <c r="AW72" s="1108"/>
      <c r="AX72" s="1108"/>
      <c r="AY72" s="1108"/>
      <c r="AZ72" s="1108"/>
      <c r="BA72" s="1108"/>
      <c r="BB72" s="1108"/>
      <c r="BC72" s="1108"/>
      <c r="BD72" s="1108"/>
      <c r="BE72" s="1108"/>
      <c r="BF72" s="1108"/>
      <c r="BG72" s="1108"/>
      <c r="BH72" s="1108"/>
    </row>
    <row r="73" spans="1:60" x14ac:dyDescent="0.3">
      <c r="A73" s="1108"/>
      <c r="B73" s="1108">
        <v>192</v>
      </c>
      <c r="C73" s="1108" t="s">
        <v>243</v>
      </c>
      <c r="D73" s="1108"/>
      <c r="E73" s="1108"/>
      <c r="F73" s="1108"/>
      <c r="G73" s="1108"/>
      <c r="H73" s="1108"/>
      <c r="I73" s="1108"/>
      <c r="J73" s="1108"/>
      <c r="K73" s="1108"/>
      <c r="L73" s="1108"/>
      <c r="M73" s="1108"/>
      <c r="N73" s="1108"/>
      <c r="O73" s="1108"/>
      <c r="P73" s="1108"/>
      <c r="Q73" s="1108"/>
      <c r="R73" s="1108"/>
      <c r="S73" s="1108"/>
      <c r="T73" s="1108"/>
      <c r="U73" s="1108"/>
      <c r="V73" s="1108"/>
      <c r="W73" s="1108"/>
      <c r="X73" s="1108"/>
      <c r="Y73" s="1108"/>
      <c r="Z73" s="1108"/>
      <c r="AA73" s="1108"/>
      <c r="AB73" s="1108"/>
      <c r="AC73" s="1108"/>
      <c r="AD73" s="1108"/>
      <c r="AE73" s="1108"/>
      <c r="AF73" s="1108"/>
      <c r="AG73" s="1108"/>
      <c r="AH73" s="1108"/>
      <c r="AI73" s="1108"/>
      <c r="AJ73" s="1108"/>
      <c r="AK73" s="1108"/>
      <c r="AL73" s="1108"/>
      <c r="AM73" s="1108"/>
      <c r="AN73" s="1108"/>
      <c r="AO73" s="1108"/>
      <c r="AP73" s="1108"/>
      <c r="AQ73" s="1108"/>
      <c r="AR73" s="1108"/>
      <c r="AS73" s="1108"/>
      <c r="AT73" s="1108"/>
      <c r="AU73" s="1108"/>
      <c r="AV73" s="1108"/>
      <c r="AW73" s="1108"/>
      <c r="AX73" s="1108"/>
      <c r="AY73" s="1108"/>
      <c r="AZ73" s="1108"/>
      <c r="BA73" s="1108"/>
      <c r="BB73" s="1108"/>
      <c r="BC73" s="1108"/>
      <c r="BD73" s="1108"/>
      <c r="BE73" s="1108"/>
      <c r="BF73" s="1108"/>
      <c r="BG73" s="1108"/>
      <c r="BH73" s="1108"/>
    </row>
    <row r="74" spans="1:60" x14ac:dyDescent="0.3">
      <c r="A74" s="1108"/>
      <c r="B74" s="1108">
        <v>193</v>
      </c>
      <c r="C74" s="1108" t="s">
        <v>304</v>
      </c>
      <c r="D74" s="1108"/>
      <c r="E74" s="1108"/>
      <c r="F74" s="1108"/>
      <c r="G74" s="1108"/>
      <c r="H74" s="1108"/>
      <c r="I74" s="1108"/>
      <c r="J74" s="1108"/>
      <c r="K74" s="1108"/>
      <c r="L74" s="1108"/>
      <c r="M74" s="1108"/>
      <c r="N74" s="1108"/>
      <c r="O74" s="1108"/>
      <c r="P74" s="1108"/>
      <c r="Q74" s="1108"/>
      <c r="R74" s="1108"/>
      <c r="S74" s="1108"/>
      <c r="T74" s="1108"/>
      <c r="U74" s="1108"/>
      <c r="V74" s="1108"/>
      <c r="W74" s="1108"/>
      <c r="X74" s="1108"/>
      <c r="Y74" s="1108"/>
      <c r="Z74" s="1108"/>
      <c r="AA74" s="1108"/>
      <c r="AB74" s="1108"/>
      <c r="AC74" s="1108"/>
      <c r="AD74" s="1108"/>
      <c r="AE74" s="1108"/>
      <c r="AF74" s="1108"/>
      <c r="AG74" s="1108"/>
      <c r="AH74" s="1108"/>
      <c r="AI74" s="1108"/>
      <c r="AJ74" s="1108"/>
      <c r="AK74" s="1108"/>
      <c r="AL74" s="1108"/>
      <c r="AM74" s="1108"/>
      <c r="AN74" s="1108"/>
      <c r="AO74" s="1108"/>
      <c r="AP74" s="1108"/>
      <c r="AQ74" s="1108"/>
      <c r="AR74" s="1108"/>
      <c r="AS74" s="1108"/>
      <c r="AT74" s="1108"/>
      <c r="AU74" s="1108"/>
      <c r="AV74" s="1108"/>
      <c r="AW74" s="1108"/>
      <c r="AX74" s="1108"/>
      <c r="AY74" s="1108"/>
      <c r="AZ74" s="1108"/>
      <c r="BA74" s="1108"/>
      <c r="BB74" s="1108"/>
      <c r="BC74" s="1108"/>
      <c r="BD74" s="1108"/>
      <c r="BE74" s="1108"/>
      <c r="BF74" s="1108"/>
      <c r="BG74" s="1108"/>
      <c r="BH74" s="1108"/>
    </row>
    <row r="75" spans="1:60" x14ac:dyDescent="0.3">
      <c r="A75" s="1108"/>
      <c r="B75" s="1108">
        <v>194</v>
      </c>
      <c r="C75" s="1108" t="s">
        <v>305</v>
      </c>
      <c r="D75" s="1108"/>
      <c r="E75" s="1108"/>
      <c r="F75" s="1108"/>
      <c r="G75" s="1108"/>
      <c r="H75" s="1108"/>
      <c r="I75" s="1108"/>
      <c r="J75" s="1108"/>
      <c r="K75" s="1108"/>
      <c r="L75" s="1108"/>
      <c r="M75" s="1108"/>
      <c r="N75" s="1108"/>
      <c r="O75" s="1108"/>
      <c r="P75" s="1108"/>
      <c r="Q75" s="1108"/>
      <c r="R75" s="1108"/>
      <c r="S75" s="1108"/>
      <c r="T75" s="1108"/>
      <c r="U75" s="1108"/>
      <c r="V75" s="1108"/>
      <c r="W75" s="1108"/>
      <c r="X75" s="1108"/>
      <c r="Y75" s="1108"/>
      <c r="Z75" s="1108"/>
      <c r="AA75" s="1108"/>
      <c r="AB75" s="1108"/>
      <c r="AC75" s="1108"/>
      <c r="AD75" s="1108"/>
      <c r="AE75" s="1108"/>
      <c r="AF75" s="1108"/>
      <c r="AG75" s="1108"/>
      <c r="AH75" s="1108"/>
      <c r="AI75" s="1108"/>
      <c r="AJ75" s="1108"/>
      <c r="AK75" s="1108"/>
      <c r="AL75" s="1108"/>
      <c r="AM75" s="1108"/>
      <c r="AN75" s="1108"/>
      <c r="AO75" s="1108"/>
      <c r="AP75" s="1108"/>
      <c r="AQ75" s="1108"/>
      <c r="AR75" s="1108"/>
      <c r="AS75" s="1108"/>
      <c r="AT75" s="1108"/>
      <c r="AU75" s="1108"/>
      <c r="AV75" s="1108"/>
      <c r="AW75" s="1108"/>
      <c r="AX75" s="1108"/>
      <c r="AY75" s="1108"/>
      <c r="AZ75" s="1108"/>
      <c r="BA75" s="1108"/>
      <c r="BB75" s="1108"/>
      <c r="BC75" s="1108"/>
      <c r="BD75" s="1108"/>
      <c r="BE75" s="1108"/>
      <c r="BF75" s="1108"/>
      <c r="BG75" s="1108"/>
      <c r="BH75" s="1108"/>
    </row>
    <row r="76" spans="1:60" x14ac:dyDescent="0.3">
      <c r="A76" s="1108"/>
      <c r="B76" s="1108">
        <v>231</v>
      </c>
      <c r="C76" s="1108" t="s">
        <v>306</v>
      </c>
      <c r="D76" s="1108"/>
      <c r="E76" s="1108"/>
      <c r="F76" s="1108"/>
      <c r="G76" s="1108"/>
      <c r="H76" s="1108"/>
      <c r="I76" s="1108"/>
      <c r="J76" s="1108"/>
      <c r="K76" s="1108"/>
      <c r="L76" s="1108"/>
      <c r="M76" s="1108"/>
      <c r="N76" s="1108"/>
      <c r="O76" s="1108"/>
      <c r="P76" s="1108"/>
      <c r="Q76" s="1108"/>
      <c r="R76" s="1108"/>
      <c r="S76" s="1108"/>
      <c r="T76" s="1108"/>
      <c r="U76" s="1108"/>
      <c r="V76" s="1108"/>
      <c r="W76" s="1108"/>
      <c r="X76" s="1108"/>
      <c r="Y76" s="1108"/>
      <c r="Z76" s="1108"/>
      <c r="AA76" s="1108"/>
      <c r="AB76" s="1108"/>
      <c r="AC76" s="1108"/>
      <c r="AD76" s="1108"/>
      <c r="AE76" s="1108"/>
      <c r="AF76" s="1108"/>
      <c r="AG76" s="1108"/>
      <c r="AH76" s="1108"/>
      <c r="AI76" s="1108"/>
      <c r="AJ76" s="1108"/>
      <c r="AK76" s="1108"/>
      <c r="AL76" s="1108"/>
      <c r="AM76" s="1108"/>
      <c r="AN76" s="1108"/>
      <c r="AO76" s="1108"/>
      <c r="AP76" s="1108"/>
      <c r="AQ76" s="1108"/>
      <c r="AR76" s="1108"/>
      <c r="AS76" s="1108"/>
      <c r="AT76" s="1108"/>
      <c r="AU76" s="1108"/>
      <c r="AV76" s="1108"/>
      <c r="AW76" s="1108"/>
      <c r="AX76" s="1108"/>
      <c r="AY76" s="1108"/>
      <c r="AZ76" s="1108"/>
      <c r="BA76" s="1108"/>
      <c r="BB76" s="1108"/>
      <c r="BC76" s="1108"/>
      <c r="BD76" s="1108"/>
      <c r="BE76" s="1108"/>
      <c r="BF76" s="1108"/>
      <c r="BG76" s="1108"/>
      <c r="BH76" s="1108"/>
    </row>
    <row r="77" spans="1:60" x14ac:dyDescent="0.3">
      <c r="A77" s="1108"/>
      <c r="B77" s="1108">
        <v>251</v>
      </c>
      <c r="C77" s="1108" t="s">
        <v>307</v>
      </c>
      <c r="D77" s="1108"/>
      <c r="E77" s="1108"/>
      <c r="F77" s="1108"/>
      <c r="G77" s="1108"/>
      <c r="H77" s="1108"/>
      <c r="I77" s="1108"/>
      <c r="J77" s="1108"/>
      <c r="K77" s="1108"/>
      <c r="L77" s="1108"/>
      <c r="M77" s="1108"/>
      <c r="N77" s="1108"/>
      <c r="O77" s="1108"/>
      <c r="P77" s="1108"/>
      <c r="Q77" s="1108"/>
      <c r="R77" s="1108"/>
      <c r="S77" s="1108"/>
      <c r="T77" s="1108"/>
      <c r="U77" s="1108"/>
      <c r="V77" s="1108"/>
      <c r="W77" s="1108"/>
      <c r="X77" s="1108"/>
      <c r="Y77" s="1108"/>
      <c r="Z77" s="1108"/>
      <c r="AA77" s="1108"/>
      <c r="AB77" s="1108"/>
      <c r="AC77" s="1108"/>
      <c r="AD77" s="1108"/>
      <c r="AE77" s="1108"/>
      <c r="AF77" s="1108"/>
      <c r="AG77" s="1108"/>
      <c r="AH77" s="1108"/>
      <c r="AI77" s="1108"/>
      <c r="AJ77" s="1108"/>
      <c r="AK77" s="1108"/>
      <c r="AL77" s="1108"/>
      <c r="AM77" s="1108"/>
      <c r="AN77" s="1108"/>
      <c r="AO77" s="1108"/>
      <c r="AP77" s="1108"/>
      <c r="AQ77" s="1108"/>
      <c r="AR77" s="1108"/>
      <c r="AS77" s="1108"/>
      <c r="AT77" s="1108"/>
      <c r="AU77" s="1108"/>
      <c r="AV77" s="1108"/>
      <c r="AW77" s="1108"/>
      <c r="AX77" s="1108"/>
      <c r="AY77" s="1108"/>
      <c r="AZ77" s="1108"/>
      <c r="BA77" s="1108"/>
      <c r="BB77" s="1108"/>
      <c r="BC77" s="1108"/>
      <c r="BD77" s="1108"/>
      <c r="BE77" s="1108"/>
      <c r="BF77" s="1108"/>
      <c r="BG77" s="1108"/>
      <c r="BH77" s="1108"/>
    </row>
    <row r="78" spans="1:60" x14ac:dyDescent="0.3">
      <c r="A78" s="1108">
        <v>252</v>
      </c>
      <c r="B78" s="1108">
        <v>252</v>
      </c>
      <c r="C78" s="1108" t="s">
        <v>103</v>
      </c>
      <c r="D78" s="1130">
        <v>81983092</v>
      </c>
      <c r="E78" s="1130">
        <v>109034058</v>
      </c>
      <c r="F78" s="1130">
        <v>77961752</v>
      </c>
      <c r="G78" s="1130">
        <v>21295956</v>
      </c>
      <c r="H78" s="1130">
        <v>108960759</v>
      </c>
      <c r="I78" s="1130">
        <v>64875314</v>
      </c>
      <c r="J78" s="1130">
        <v>31062439</v>
      </c>
      <c r="K78" s="1130">
        <v>27796017</v>
      </c>
      <c r="L78" s="1130">
        <v>64766427</v>
      </c>
      <c r="M78" s="1130">
        <v>21569018</v>
      </c>
      <c r="N78" s="1130">
        <v>36802989</v>
      </c>
      <c r="O78" s="1130">
        <v>131152831</v>
      </c>
      <c r="P78" s="1130">
        <v>53175259</v>
      </c>
      <c r="Q78" s="1130">
        <v>28160678</v>
      </c>
      <c r="R78" s="1130">
        <v>160443</v>
      </c>
      <c r="S78" s="1130">
        <v>141782012</v>
      </c>
      <c r="T78" s="1130">
        <v>286982328</v>
      </c>
      <c r="U78" s="1130">
        <v>46113298</v>
      </c>
      <c r="V78" s="1130">
        <v>21358908</v>
      </c>
      <c r="W78" s="1130">
        <v>236586373</v>
      </c>
      <c r="X78" s="1130">
        <v>71317091</v>
      </c>
      <c r="Y78" s="1130">
        <v>6245017</v>
      </c>
      <c r="Z78" s="1130">
        <v>176056402</v>
      </c>
      <c r="AA78" s="1130">
        <v>23300267</v>
      </c>
      <c r="AB78" s="1130">
        <v>22365994</v>
      </c>
      <c r="AC78" s="1130">
        <v>198770607</v>
      </c>
      <c r="AD78" s="1130">
        <v>14858472</v>
      </c>
      <c r="AE78" s="1130">
        <v>139429190</v>
      </c>
      <c r="AF78" s="1130">
        <v>51825988</v>
      </c>
      <c r="AG78" s="1130">
        <v>31201559</v>
      </c>
      <c r="AH78" s="1130">
        <v>123410100</v>
      </c>
      <c r="AI78" s="1130">
        <v>71124603</v>
      </c>
      <c r="AJ78" s="1130">
        <v>125779723</v>
      </c>
      <c r="AK78" s="1130">
        <v>82492302</v>
      </c>
      <c r="AL78" s="1130">
        <v>101684519</v>
      </c>
      <c r="AM78" s="1130">
        <v>54160658</v>
      </c>
      <c r="AN78" s="1130">
        <v>53186185</v>
      </c>
      <c r="AO78" s="1130">
        <v>74592274</v>
      </c>
      <c r="AP78" s="1130">
        <v>72096513</v>
      </c>
      <c r="AQ78" s="1130">
        <v>21424238</v>
      </c>
      <c r="AR78" s="1130">
        <v>18544185</v>
      </c>
      <c r="AS78" s="1130">
        <v>36943285</v>
      </c>
      <c r="AT78" s="1130">
        <v>6783952</v>
      </c>
      <c r="AU78" s="1130">
        <v>616289064</v>
      </c>
      <c r="AV78" s="1130">
        <v>35979670</v>
      </c>
      <c r="AW78" s="1130">
        <v>3549276038</v>
      </c>
      <c r="AX78" s="1130">
        <v>14675964</v>
      </c>
      <c r="AY78" s="1130">
        <v>14764684</v>
      </c>
      <c r="AZ78" s="1130">
        <v>19179150</v>
      </c>
      <c r="BA78" s="1130">
        <v>90971564</v>
      </c>
      <c r="BB78" s="1130">
        <v>3294796</v>
      </c>
      <c r="BC78" s="1130">
        <v>9827983</v>
      </c>
      <c r="BD78" s="1130">
        <v>69105326</v>
      </c>
      <c r="BE78" s="1130">
        <v>77962277</v>
      </c>
      <c r="BF78" s="1130">
        <v>652688653</v>
      </c>
      <c r="BG78" s="1130">
        <v>40221963</v>
      </c>
      <c r="BH78" s="1130">
        <v>26853336</v>
      </c>
    </row>
    <row r="79" spans="1:60" x14ac:dyDescent="0.3">
      <c r="A79" s="1108">
        <v>253</v>
      </c>
      <c r="B79" s="1108">
        <v>253</v>
      </c>
      <c r="C79" s="1108" t="s">
        <v>104</v>
      </c>
      <c r="D79" s="1130">
        <v>563248</v>
      </c>
      <c r="E79" s="1130">
        <v>2674492</v>
      </c>
      <c r="F79" s="1130">
        <v>5473870</v>
      </c>
      <c r="G79" s="1130">
        <v>681654</v>
      </c>
      <c r="H79" s="1130">
        <v>4339746</v>
      </c>
      <c r="I79" s="1130">
        <v>1051283</v>
      </c>
      <c r="J79" s="1130">
        <v>1076939</v>
      </c>
      <c r="K79" s="1130">
        <v>2908820</v>
      </c>
      <c r="L79" s="1130">
        <v>1732609</v>
      </c>
      <c r="M79" s="1130">
        <v>1664222</v>
      </c>
      <c r="N79" s="1130">
        <v>1542270</v>
      </c>
      <c r="O79" s="1130">
        <v>3305894</v>
      </c>
      <c r="P79" s="1130">
        <v>3043446</v>
      </c>
      <c r="Q79" s="1130">
        <v>294009</v>
      </c>
      <c r="R79" s="1130">
        <v>53683</v>
      </c>
      <c r="S79" s="1130">
        <v>3768822</v>
      </c>
      <c r="T79" s="1130">
        <v>12679990</v>
      </c>
      <c r="U79" s="1130">
        <v>3285162</v>
      </c>
      <c r="V79" s="1130">
        <v>694629</v>
      </c>
      <c r="W79" s="1130">
        <v>34376094</v>
      </c>
      <c r="X79" s="1130">
        <v>3357405</v>
      </c>
      <c r="Y79" s="1130">
        <v>1020777</v>
      </c>
      <c r="Z79" s="1130">
        <v>7342613</v>
      </c>
      <c r="AA79" s="1130">
        <v>315973</v>
      </c>
      <c r="AB79" s="1130">
        <v>931470</v>
      </c>
      <c r="AC79" s="1130">
        <v>7500438</v>
      </c>
      <c r="AD79" s="1130">
        <v>746408</v>
      </c>
      <c r="AE79" s="1130">
        <v>3486999</v>
      </c>
      <c r="AF79" s="1130">
        <v>3733299</v>
      </c>
      <c r="AG79" s="1130">
        <v>1196624</v>
      </c>
      <c r="AH79" s="1130">
        <v>11821400</v>
      </c>
      <c r="AI79" s="1130">
        <v>7456416</v>
      </c>
      <c r="AJ79" s="1130">
        <v>7854160</v>
      </c>
      <c r="AK79" s="1130">
        <v>6815160</v>
      </c>
      <c r="AL79" s="1130">
        <v>1827003</v>
      </c>
      <c r="AM79" s="1130">
        <v>1141114</v>
      </c>
      <c r="AN79" s="1130">
        <v>2389556</v>
      </c>
      <c r="AO79" s="1130">
        <v>1967755</v>
      </c>
      <c r="AP79" s="1130">
        <v>1886546</v>
      </c>
      <c r="AQ79" s="1130">
        <v>373689</v>
      </c>
      <c r="AR79" s="1130">
        <v>503131</v>
      </c>
      <c r="AS79" s="1130">
        <v>1754052</v>
      </c>
      <c r="AT79" s="1130">
        <v>469837</v>
      </c>
      <c r="AU79" s="1130">
        <v>16782449</v>
      </c>
      <c r="AV79" s="1130">
        <v>883324</v>
      </c>
      <c r="AW79" s="1130">
        <v>24179548</v>
      </c>
      <c r="AX79" s="1130">
        <v>655066</v>
      </c>
      <c r="AY79" s="1130">
        <v>631203</v>
      </c>
      <c r="AZ79" s="1130">
        <v>1404131</v>
      </c>
      <c r="BA79" s="1130">
        <v>2558411</v>
      </c>
      <c r="BB79" s="1130">
        <v>749205</v>
      </c>
      <c r="BC79" s="1130">
        <v>2559325</v>
      </c>
      <c r="BD79" s="1130">
        <v>6339095</v>
      </c>
      <c r="BE79" s="1130">
        <v>3459228</v>
      </c>
      <c r="BF79" s="1130">
        <v>9933055</v>
      </c>
      <c r="BG79" s="1130">
        <v>1660248</v>
      </c>
      <c r="BH79" s="1130">
        <v>2044110</v>
      </c>
    </row>
    <row r="80" spans="1:60" x14ac:dyDescent="0.3">
      <c r="A80" s="1108">
        <v>254</v>
      </c>
      <c r="B80" s="1108">
        <v>254</v>
      </c>
      <c r="C80" s="1108" t="s">
        <v>105</v>
      </c>
      <c r="D80" s="1130">
        <v>-92121103</v>
      </c>
      <c r="E80" s="1130">
        <v>-163611292</v>
      </c>
      <c r="F80" s="1130">
        <v>-124712488</v>
      </c>
      <c r="G80" s="1130">
        <v>-49238678</v>
      </c>
      <c r="H80" s="1130">
        <v>-175134693</v>
      </c>
      <c r="I80" s="1130">
        <v>-69834777</v>
      </c>
      <c r="J80" s="1130">
        <v>-36508142</v>
      </c>
      <c r="K80" s="1130">
        <v>-52095657</v>
      </c>
      <c r="L80" s="1130">
        <v>-98227169</v>
      </c>
      <c r="M80" s="1130">
        <v>-31772950</v>
      </c>
      <c r="N80" s="1130">
        <v>-62447364</v>
      </c>
      <c r="O80" s="1130">
        <v>-205231514</v>
      </c>
      <c r="P80" s="1130">
        <v>-89624173</v>
      </c>
      <c r="Q80" s="1130">
        <v>-23945993</v>
      </c>
      <c r="R80" s="1130">
        <v>-2505058</v>
      </c>
      <c r="S80" s="1130">
        <v>-224209888</v>
      </c>
      <c r="T80" s="1130">
        <v>-435040350</v>
      </c>
      <c r="U80" s="1130">
        <v>-53306717</v>
      </c>
      <c r="V80" s="1130">
        <v>-29451562</v>
      </c>
      <c r="W80" s="1130">
        <v>-373008977</v>
      </c>
      <c r="X80" s="1130">
        <v>-139155364</v>
      </c>
      <c r="Y80" s="1130">
        <v>-26821967</v>
      </c>
      <c r="Z80" s="1130">
        <v>-132472612</v>
      </c>
      <c r="AA80" s="1130">
        <v>-28774500</v>
      </c>
      <c r="AB80" s="1130">
        <v>-77713091</v>
      </c>
      <c r="AC80" s="1130">
        <v>-373919779</v>
      </c>
      <c r="AD80" s="1130">
        <v>-42916994</v>
      </c>
      <c r="AE80" s="1130">
        <v>-260362627</v>
      </c>
      <c r="AF80" s="1130">
        <v>-108144093</v>
      </c>
      <c r="AG80" s="1130">
        <v>-42040301</v>
      </c>
      <c r="AH80" s="1130">
        <v>-329036204</v>
      </c>
      <c r="AI80" s="1130">
        <v>-167043754</v>
      </c>
      <c r="AJ80" s="1130">
        <v>-288755771</v>
      </c>
      <c r="AK80" s="1130">
        <v>-132872367</v>
      </c>
      <c r="AL80" s="1130">
        <v>-128469863</v>
      </c>
      <c r="AM80" s="1130">
        <v>-102028558</v>
      </c>
      <c r="AN80" s="1130">
        <v>-127374398</v>
      </c>
      <c r="AO80" s="1130">
        <v>-103160102</v>
      </c>
      <c r="AP80" s="1130">
        <v>-121495048</v>
      </c>
      <c r="AQ80" s="1130">
        <v>-33228283</v>
      </c>
      <c r="AR80" s="1130">
        <v>-42340458</v>
      </c>
      <c r="AS80" s="1130">
        <v>-62924310</v>
      </c>
      <c r="AT80" s="1130">
        <v>-13602358</v>
      </c>
      <c r="AU80" s="1130">
        <v>-662308129</v>
      </c>
      <c r="AV80" s="1130">
        <v>-94368349</v>
      </c>
      <c r="AW80" s="1130">
        <v>-2687838303</v>
      </c>
      <c r="AX80" s="1130">
        <v>-37302584</v>
      </c>
      <c r="AY80" s="1130">
        <v>-25189530</v>
      </c>
      <c r="AZ80" s="1130">
        <v>-78899187</v>
      </c>
      <c r="BA80" s="1130">
        <v>-269271981</v>
      </c>
      <c r="BB80" s="1130">
        <v>-19182144</v>
      </c>
      <c r="BC80" s="1130">
        <v>-33858931</v>
      </c>
      <c r="BD80" s="1130">
        <v>-156555322</v>
      </c>
      <c r="BE80" s="1130">
        <v>-170818456</v>
      </c>
      <c r="BF80" s="1130">
        <v>-897069821</v>
      </c>
      <c r="BG80" s="1130">
        <v>-85279692</v>
      </c>
      <c r="BH80" s="1130">
        <v>-41465566</v>
      </c>
    </row>
    <row r="81" spans="1:60" x14ac:dyDescent="0.3">
      <c r="A81" s="1108">
        <v>255</v>
      </c>
      <c r="B81" s="1108">
        <v>255</v>
      </c>
      <c r="C81" s="1108" t="s">
        <v>196</v>
      </c>
      <c r="D81" s="1130">
        <v>104689</v>
      </c>
      <c r="E81" s="1130">
        <v>12060413</v>
      </c>
      <c r="F81" s="1130">
        <v>6210876</v>
      </c>
      <c r="G81" s="1130">
        <v>-443520</v>
      </c>
      <c r="H81" s="1130">
        <v>4469685</v>
      </c>
      <c r="I81" s="1130">
        <v>1026987</v>
      </c>
      <c r="J81" s="1130">
        <v>-183582</v>
      </c>
      <c r="K81" s="1130">
        <v>4089916</v>
      </c>
      <c r="L81" s="1130">
        <v>4256000</v>
      </c>
      <c r="M81" s="1130">
        <v>935962</v>
      </c>
      <c r="N81" s="1130">
        <v>446102</v>
      </c>
      <c r="O81" s="1130">
        <v>33147344</v>
      </c>
      <c r="P81" s="1130">
        <v>-1404785</v>
      </c>
      <c r="Q81" s="1130">
        <v>2216353</v>
      </c>
      <c r="R81" s="1130">
        <v>-99718</v>
      </c>
      <c r="S81" s="1130">
        <v>1918478</v>
      </c>
      <c r="T81" s="1130">
        <v>19827054</v>
      </c>
      <c r="U81" s="1130">
        <v>676300</v>
      </c>
      <c r="V81" s="1130">
        <v>-378501</v>
      </c>
      <c r="W81" s="1130">
        <v>23587396</v>
      </c>
      <c r="X81" s="1130">
        <v>8615524</v>
      </c>
      <c r="Y81" s="1130">
        <v>885726</v>
      </c>
      <c r="Z81" s="1130">
        <v>8289061</v>
      </c>
      <c r="AA81" s="1130">
        <v>505423</v>
      </c>
      <c r="AB81" s="1130">
        <v>288046</v>
      </c>
      <c r="AC81" s="1130">
        <v>5063095</v>
      </c>
      <c r="AD81" s="1130">
        <v>235716</v>
      </c>
      <c r="AE81" s="1130">
        <v>4597566</v>
      </c>
      <c r="AF81" s="1130">
        <v>-266824</v>
      </c>
      <c r="AG81" s="1130">
        <v>198104</v>
      </c>
      <c r="AH81" s="1130">
        <v>-4438836</v>
      </c>
      <c r="AI81" s="1130">
        <v>4797016</v>
      </c>
      <c r="AJ81" s="1130">
        <v>4566234</v>
      </c>
      <c r="AK81" s="1130">
        <v>1381792</v>
      </c>
      <c r="AL81" s="1130">
        <v>889217</v>
      </c>
      <c r="AM81" s="1130">
        <v>15789483</v>
      </c>
      <c r="AN81" s="1130">
        <v>1524478</v>
      </c>
      <c r="AO81" s="1130">
        <v>3613614</v>
      </c>
      <c r="AP81" s="1130">
        <v>1187325</v>
      </c>
      <c r="AQ81" s="1130">
        <v>1967567</v>
      </c>
      <c r="AR81" s="1130">
        <v>-1392188</v>
      </c>
      <c r="AS81" s="1130">
        <v>1895365</v>
      </c>
      <c r="AT81" s="1130">
        <v>189319</v>
      </c>
      <c r="AU81" s="1130">
        <v>16872918</v>
      </c>
      <c r="AV81" s="1130">
        <v>1972712</v>
      </c>
      <c r="AW81" s="1130">
        <v>254655726</v>
      </c>
      <c r="AX81" s="1130">
        <v>55247</v>
      </c>
      <c r="AY81" s="1130">
        <v>625841</v>
      </c>
      <c r="AZ81" s="1130">
        <v>-294455</v>
      </c>
      <c r="BA81" s="1130">
        <v>1653300</v>
      </c>
      <c r="BB81" s="1130">
        <v>1096979</v>
      </c>
      <c r="BC81" s="1130">
        <v>2377339</v>
      </c>
      <c r="BD81" s="1130">
        <v>3715951</v>
      </c>
      <c r="BE81" s="1130">
        <v>1621921</v>
      </c>
      <c r="BF81" s="1130">
        <v>52290610</v>
      </c>
      <c r="BG81" s="1130">
        <v>380200</v>
      </c>
      <c r="BH81" s="1130">
        <v>8546216</v>
      </c>
    </row>
    <row r="82" spans="1:60" x14ac:dyDescent="0.3">
      <c r="A82" s="1108"/>
      <c r="B82" s="1108">
        <v>274</v>
      </c>
      <c r="C82" s="1108" t="s">
        <v>308</v>
      </c>
      <c r="D82" s="1108"/>
      <c r="E82" s="1108"/>
      <c r="F82" s="1108"/>
      <c r="G82" s="1108"/>
      <c r="H82" s="1108"/>
      <c r="I82" s="1108"/>
      <c r="J82" s="1108"/>
      <c r="K82" s="1108"/>
      <c r="L82" s="1108"/>
      <c r="M82" s="1108"/>
      <c r="N82" s="1108"/>
      <c r="O82" s="1108"/>
      <c r="P82" s="1108"/>
      <c r="Q82" s="1108"/>
      <c r="R82" s="1108"/>
      <c r="S82" s="1108"/>
      <c r="T82" s="1108"/>
      <c r="U82" s="1108"/>
      <c r="V82" s="1108"/>
      <c r="W82" s="1108"/>
      <c r="X82" s="1108"/>
      <c r="Y82" s="1108"/>
      <c r="Z82" s="1108"/>
      <c r="AA82" s="1108"/>
      <c r="AB82" s="1108"/>
      <c r="AC82" s="1108"/>
      <c r="AD82" s="1108"/>
      <c r="AE82" s="1108"/>
      <c r="AF82" s="1108"/>
      <c r="AG82" s="1108"/>
      <c r="AH82" s="1108"/>
      <c r="AI82" s="1108"/>
      <c r="AJ82" s="1108"/>
      <c r="AK82" s="1108"/>
      <c r="AL82" s="1108"/>
      <c r="AM82" s="1108"/>
      <c r="AN82" s="1108"/>
      <c r="AO82" s="1108"/>
      <c r="AP82" s="1108"/>
      <c r="AQ82" s="1108"/>
      <c r="AR82" s="1108"/>
      <c r="AS82" s="1108"/>
      <c r="AT82" s="1108"/>
      <c r="AU82" s="1108"/>
      <c r="AV82" s="1108"/>
      <c r="AW82" s="1108"/>
      <c r="AX82" s="1108"/>
      <c r="AY82" s="1108"/>
      <c r="AZ82" s="1108"/>
      <c r="BA82" s="1108"/>
      <c r="BB82" s="1108"/>
      <c r="BC82" s="1108"/>
      <c r="BD82" s="1108"/>
      <c r="BE82" s="1108"/>
      <c r="BF82" s="1108"/>
      <c r="BG82" s="1108"/>
      <c r="BH82" s="1108"/>
    </row>
    <row r="83" spans="1:60" x14ac:dyDescent="0.3">
      <c r="A83" s="1108"/>
      <c r="B83" s="1108">
        <v>294</v>
      </c>
      <c r="C83" s="1108" t="s">
        <v>562</v>
      </c>
      <c r="D83" s="1108"/>
      <c r="E83" s="1108"/>
      <c r="F83" s="1108"/>
      <c r="G83" s="1108"/>
      <c r="H83" s="1108"/>
      <c r="I83" s="1108"/>
      <c r="J83" s="1108"/>
      <c r="K83" s="1108"/>
      <c r="L83" s="1108"/>
      <c r="M83" s="1108"/>
      <c r="N83" s="1108"/>
      <c r="O83" s="1108"/>
      <c r="P83" s="1108"/>
      <c r="Q83" s="1108"/>
      <c r="R83" s="1108"/>
      <c r="S83" s="1108"/>
      <c r="T83" s="1108"/>
      <c r="U83" s="1108"/>
      <c r="V83" s="1108"/>
      <c r="W83" s="1108"/>
      <c r="X83" s="1108"/>
      <c r="Y83" s="1108"/>
      <c r="Z83" s="1108"/>
      <c r="AA83" s="1108"/>
      <c r="AB83" s="1108"/>
      <c r="AC83" s="1108"/>
      <c r="AD83" s="1108"/>
      <c r="AE83" s="1108"/>
      <c r="AF83" s="1108"/>
      <c r="AG83" s="1108"/>
      <c r="AH83" s="1108"/>
      <c r="AI83" s="1108"/>
      <c r="AJ83" s="1108"/>
      <c r="AK83" s="1108"/>
      <c r="AL83" s="1108"/>
      <c r="AM83" s="1108"/>
      <c r="AN83" s="1108"/>
      <c r="AO83" s="1108"/>
      <c r="AP83" s="1108"/>
      <c r="AQ83" s="1108"/>
      <c r="AR83" s="1108"/>
      <c r="AS83" s="1108"/>
      <c r="AT83" s="1108"/>
      <c r="AU83" s="1108"/>
      <c r="AV83" s="1108"/>
      <c r="AW83" s="1108"/>
      <c r="AX83" s="1108"/>
      <c r="AY83" s="1108"/>
      <c r="AZ83" s="1108"/>
      <c r="BA83" s="1108"/>
      <c r="BB83" s="1108"/>
      <c r="BC83" s="1108"/>
      <c r="BD83" s="1108"/>
      <c r="BE83" s="1108"/>
      <c r="BF83" s="1108"/>
      <c r="BG83" s="1108"/>
      <c r="BH83" s="1108"/>
    </row>
    <row r="84" spans="1:60" x14ac:dyDescent="0.3">
      <c r="A84" s="1108"/>
      <c r="B84" s="1108">
        <v>314</v>
      </c>
      <c r="C84" s="1108" t="s">
        <v>309</v>
      </c>
      <c r="D84" s="1108"/>
      <c r="E84" s="1108"/>
      <c r="F84" s="1108"/>
      <c r="G84" s="1108"/>
      <c r="H84" s="1108"/>
      <c r="I84" s="1108"/>
      <c r="J84" s="1108"/>
      <c r="K84" s="1108"/>
      <c r="L84" s="1108"/>
      <c r="M84" s="1108"/>
      <c r="N84" s="1108"/>
      <c r="O84" s="1108"/>
      <c r="P84" s="1108"/>
      <c r="Q84" s="1108"/>
      <c r="R84" s="1108"/>
      <c r="S84" s="1108"/>
      <c r="T84" s="1108"/>
      <c r="U84" s="1108"/>
      <c r="V84" s="1108"/>
      <c r="W84" s="1108"/>
      <c r="X84" s="1108"/>
      <c r="Y84" s="1108"/>
      <c r="Z84" s="1108"/>
      <c r="AA84" s="1108"/>
      <c r="AB84" s="1108"/>
      <c r="AC84" s="1108"/>
      <c r="AD84" s="1108"/>
      <c r="AE84" s="1108"/>
      <c r="AF84" s="1108"/>
      <c r="AG84" s="1108"/>
      <c r="AH84" s="1108"/>
      <c r="AI84" s="1108"/>
      <c r="AJ84" s="1108"/>
      <c r="AK84" s="1108"/>
      <c r="AL84" s="1108"/>
      <c r="AM84" s="1108"/>
      <c r="AN84" s="1108"/>
      <c r="AO84" s="1108"/>
      <c r="AP84" s="1108"/>
      <c r="AQ84" s="1108"/>
      <c r="AR84" s="1108"/>
      <c r="AS84" s="1108"/>
      <c r="AT84" s="1108"/>
      <c r="AU84" s="1108"/>
      <c r="AV84" s="1108"/>
      <c r="AW84" s="1108"/>
      <c r="AX84" s="1108"/>
      <c r="AY84" s="1108"/>
      <c r="AZ84" s="1108"/>
      <c r="BA84" s="1108"/>
      <c r="BB84" s="1108"/>
      <c r="BC84" s="1108"/>
      <c r="BD84" s="1108"/>
      <c r="BE84" s="1108"/>
      <c r="BF84" s="1108"/>
      <c r="BG84" s="1108"/>
      <c r="BH84" s="1108"/>
    </row>
    <row r="85" spans="1:60" x14ac:dyDescent="0.3">
      <c r="A85" s="1108"/>
      <c r="B85" s="1108">
        <v>315</v>
      </c>
      <c r="C85" s="1108" t="s">
        <v>310</v>
      </c>
      <c r="D85" s="1108"/>
      <c r="E85" s="1108"/>
      <c r="F85" s="1108"/>
      <c r="G85" s="1108"/>
      <c r="H85" s="1108"/>
      <c r="I85" s="1108"/>
      <c r="J85" s="1108"/>
      <c r="K85" s="1108"/>
      <c r="L85" s="1108"/>
      <c r="M85" s="1108"/>
      <c r="N85" s="1108"/>
      <c r="O85" s="1108"/>
      <c r="P85" s="1108"/>
      <c r="Q85" s="1108"/>
      <c r="R85" s="1108"/>
      <c r="S85" s="1108"/>
      <c r="T85" s="1108"/>
      <c r="U85" s="1108"/>
      <c r="V85" s="1108"/>
      <c r="W85" s="1108"/>
      <c r="X85" s="1108"/>
      <c r="Y85" s="1108"/>
      <c r="Z85" s="1108"/>
      <c r="AA85" s="1108"/>
      <c r="AB85" s="1108"/>
      <c r="AC85" s="1108"/>
      <c r="AD85" s="1108"/>
      <c r="AE85" s="1108"/>
      <c r="AF85" s="1108"/>
      <c r="AG85" s="1108"/>
      <c r="AH85" s="1108"/>
      <c r="AI85" s="1108"/>
      <c r="AJ85" s="1108"/>
      <c r="AK85" s="1108"/>
      <c r="AL85" s="1108"/>
      <c r="AM85" s="1108"/>
      <c r="AN85" s="1108"/>
      <c r="AO85" s="1108"/>
      <c r="AP85" s="1108"/>
      <c r="AQ85" s="1108"/>
      <c r="AR85" s="1108"/>
      <c r="AS85" s="1108"/>
      <c r="AT85" s="1108"/>
      <c r="AU85" s="1108"/>
      <c r="AV85" s="1108"/>
      <c r="AW85" s="1108"/>
      <c r="AX85" s="1108"/>
      <c r="AY85" s="1108"/>
      <c r="AZ85" s="1108"/>
      <c r="BA85" s="1108"/>
      <c r="BB85" s="1108"/>
      <c r="BC85" s="1108"/>
      <c r="BD85" s="1108"/>
      <c r="BE85" s="1108"/>
      <c r="BF85" s="1108"/>
      <c r="BG85" s="1108"/>
      <c r="BH85" s="1108"/>
    </row>
    <row r="86" spans="1:60" x14ac:dyDescent="0.3">
      <c r="A86" s="1108"/>
      <c r="B86" s="1108">
        <v>316</v>
      </c>
      <c r="C86" s="1108" t="s">
        <v>311</v>
      </c>
      <c r="D86" s="1108"/>
      <c r="E86" s="1108"/>
      <c r="F86" s="1108"/>
      <c r="G86" s="1108"/>
      <c r="H86" s="1108"/>
      <c r="I86" s="1108"/>
      <c r="J86" s="1108"/>
      <c r="K86" s="1108"/>
      <c r="L86" s="1108"/>
      <c r="M86" s="1108"/>
      <c r="N86" s="1108"/>
      <c r="O86" s="1108"/>
      <c r="P86" s="1108"/>
      <c r="Q86" s="1108"/>
      <c r="R86" s="1108"/>
      <c r="S86" s="1108"/>
      <c r="T86" s="1108"/>
      <c r="U86" s="1108"/>
      <c r="V86" s="1108"/>
      <c r="W86" s="1108"/>
      <c r="X86" s="1108"/>
      <c r="Y86" s="1108"/>
      <c r="Z86" s="1108"/>
      <c r="AA86" s="1108"/>
      <c r="AB86" s="1108"/>
      <c r="AC86" s="1108"/>
      <c r="AD86" s="1108"/>
      <c r="AE86" s="1108"/>
      <c r="AF86" s="1108"/>
      <c r="AG86" s="1108"/>
      <c r="AH86" s="1108"/>
      <c r="AI86" s="1108"/>
      <c r="AJ86" s="1108"/>
      <c r="AK86" s="1108"/>
      <c r="AL86" s="1108"/>
      <c r="AM86" s="1108"/>
      <c r="AN86" s="1108"/>
      <c r="AO86" s="1108"/>
      <c r="AP86" s="1108"/>
      <c r="AQ86" s="1108"/>
      <c r="AR86" s="1108"/>
      <c r="AS86" s="1108"/>
      <c r="AT86" s="1108"/>
      <c r="AU86" s="1108"/>
      <c r="AV86" s="1108"/>
      <c r="AW86" s="1108"/>
      <c r="AX86" s="1108"/>
      <c r="AY86" s="1108"/>
      <c r="AZ86" s="1108"/>
      <c r="BA86" s="1108"/>
      <c r="BB86" s="1108"/>
      <c r="BC86" s="1108"/>
      <c r="BD86" s="1108"/>
      <c r="BE86" s="1108"/>
      <c r="BF86" s="1108"/>
      <c r="BG86" s="1108"/>
      <c r="BH86" s="1108"/>
    </row>
    <row r="87" spans="1:60" x14ac:dyDescent="0.3">
      <c r="A87" s="1108"/>
      <c r="B87" s="1108">
        <v>320</v>
      </c>
      <c r="C87" s="1108" t="s">
        <v>1410</v>
      </c>
      <c r="D87" s="1108"/>
      <c r="E87" s="1108"/>
      <c r="F87" s="1108"/>
      <c r="G87" s="1108"/>
      <c r="H87" s="1108"/>
      <c r="I87" s="1108"/>
      <c r="J87" s="1108"/>
      <c r="K87" s="1108"/>
      <c r="L87" s="1108"/>
      <c r="M87" s="1108"/>
      <c r="N87" s="1108"/>
      <c r="O87" s="1108"/>
      <c r="P87" s="1108"/>
      <c r="Q87" s="1108"/>
      <c r="R87" s="1108"/>
      <c r="S87" s="1108"/>
      <c r="T87" s="1108"/>
      <c r="U87" s="1108"/>
      <c r="V87" s="1108"/>
      <c r="W87" s="1108"/>
      <c r="X87" s="1108"/>
      <c r="Y87" s="1108"/>
      <c r="Z87" s="1108"/>
      <c r="AA87" s="1108"/>
      <c r="AB87" s="1108"/>
      <c r="AC87" s="1108"/>
      <c r="AD87" s="1108"/>
      <c r="AE87" s="1108"/>
      <c r="AF87" s="1108"/>
      <c r="AG87" s="1108"/>
      <c r="AH87" s="1108"/>
      <c r="AI87" s="1108"/>
      <c r="AJ87" s="1108"/>
      <c r="AK87" s="1108"/>
      <c r="AL87" s="1108"/>
      <c r="AM87" s="1108"/>
      <c r="AN87" s="1108"/>
      <c r="AO87" s="1108"/>
      <c r="AP87" s="1108"/>
      <c r="AQ87" s="1108"/>
      <c r="AR87" s="1108"/>
      <c r="AS87" s="1108"/>
      <c r="AT87" s="1108"/>
      <c r="AU87" s="1108"/>
      <c r="AV87" s="1108"/>
      <c r="AW87" s="1108"/>
      <c r="AX87" s="1108"/>
      <c r="AY87" s="1108"/>
      <c r="AZ87" s="1108"/>
      <c r="BA87" s="1108"/>
      <c r="BB87" s="1108"/>
      <c r="BC87" s="1108"/>
      <c r="BD87" s="1108"/>
      <c r="BE87" s="1108"/>
      <c r="BF87" s="1108"/>
      <c r="BG87" s="1108"/>
      <c r="BH87" s="1108"/>
    </row>
    <row r="88" spans="1:60" x14ac:dyDescent="0.3">
      <c r="A88" s="1108"/>
      <c r="B88" s="1108">
        <v>321</v>
      </c>
      <c r="C88" s="1108" t="s">
        <v>1411</v>
      </c>
      <c r="D88" s="1108"/>
      <c r="E88" s="1108"/>
      <c r="F88" s="1108"/>
      <c r="G88" s="1108"/>
      <c r="H88" s="1108"/>
      <c r="I88" s="1108"/>
      <c r="J88" s="1108"/>
      <c r="K88" s="1108"/>
      <c r="L88" s="1108"/>
      <c r="M88" s="1108"/>
      <c r="N88" s="1108"/>
      <c r="O88" s="1108"/>
      <c r="P88" s="1108"/>
      <c r="Q88" s="1108"/>
      <c r="R88" s="1108"/>
      <c r="S88" s="1108"/>
      <c r="T88" s="1108"/>
      <c r="U88" s="1108"/>
      <c r="V88" s="1108"/>
      <c r="W88" s="1108"/>
      <c r="X88" s="1108"/>
      <c r="Y88" s="1108"/>
      <c r="Z88" s="1108"/>
      <c r="AA88" s="1108"/>
      <c r="AB88" s="1108"/>
      <c r="AC88" s="1108"/>
      <c r="AD88" s="1108"/>
      <c r="AE88" s="1108"/>
      <c r="AF88" s="1108"/>
      <c r="AG88" s="1108"/>
      <c r="AH88" s="1108"/>
      <c r="AI88" s="1108"/>
      <c r="AJ88" s="1108"/>
      <c r="AK88" s="1108"/>
      <c r="AL88" s="1108"/>
      <c r="AM88" s="1108"/>
      <c r="AN88" s="1108"/>
      <c r="AO88" s="1108"/>
      <c r="AP88" s="1108"/>
      <c r="AQ88" s="1108"/>
      <c r="AR88" s="1108"/>
      <c r="AS88" s="1108"/>
      <c r="AT88" s="1108"/>
      <c r="AU88" s="1108"/>
      <c r="AV88" s="1108"/>
      <c r="AW88" s="1108"/>
      <c r="AX88" s="1108"/>
      <c r="AY88" s="1108"/>
      <c r="AZ88" s="1108"/>
      <c r="BA88" s="1108"/>
      <c r="BB88" s="1108"/>
      <c r="BC88" s="1108"/>
      <c r="BD88" s="1108"/>
      <c r="BE88" s="1108"/>
      <c r="BF88" s="1108"/>
      <c r="BG88" s="1108"/>
      <c r="BH88" s="1108"/>
    </row>
    <row r="89" spans="1:60" x14ac:dyDescent="0.3">
      <c r="A89" s="1108"/>
      <c r="B89" s="1108">
        <v>322</v>
      </c>
      <c r="C89" s="1108" t="s">
        <v>1412</v>
      </c>
      <c r="D89" s="1108"/>
      <c r="E89" s="1108"/>
      <c r="F89" s="1108"/>
      <c r="G89" s="1108"/>
      <c r="H89" s="1108"/>
      <c r="I89" s="1108"/>
      <c r="J89" s="1108"/>
      <c r="K89" s="1108"/>
      <c r="L89" s="1108"/>
      <c r="M89" s="1108"/>
      <c r="N89" s="1108"/>
      <c r="O89" s="1108"/>
      <c r="P89" s="1108"/>
      <c r="Q89" s="1108"/>
      <c r="R89" s="1108"/>
      <c r="S89" s="1108"/>
      <c r="T89" s="1108"/>
      <c r="U89" s="1108"/>
      <c r="V89" s="1108"/>
      <c r="W89" s="1108"/>
      <c r="X89" s="1108"/>
      <c r="Y89" s="1108"/>
      <c r="Z89" s="1108"/>
      <c r="AA89" s="1108"/>
      <c r="AB89" s="1108"/>
      <c r="AC89" s="1108"/>
      <c r="AD89" s="1108"/>
      <c r="AE89" s="1108"/>
      <c r="AF89" s="1108"/>
      <c r="AG89" s="1108"/>
      <c r="AH89" s="1108"/>
      <c r="AI89" s="1108"/>
      <c r="AJ89" s="1108"/>
      <c r="AK89" s="1108"/>
      <c r="AL89" s="1108"/>
      <c r="AM89" s="1108"/>
      <c r="AN89" s="1108"/>
      <c r="AO89" s="1108"/>
      <c r="AP89" s="1108"/>
      <c r="AQ89" s="1108"/>
      <c r="AR89" s="1108"/>
      <c r="AS89" s="1108"/>
      <c r="AT89" s="1108"/>
      <c r="AU89" s="1108"/>
      <c r="AV89" s="1108"/>
      <c r="AW89" s="1108"/>
      <c r="AX89" s="1108"/>
      <c r="AY89" s="1108"/>
      <c r="AZ89" s="1108"/>
      <c r="BA89" s="1108"/>
      <c r="BB89" s="1108"/>
      <c r="BC89" s="1108"/>
      <c r="BD89" s="1108"/>
      <c r="BE89" s="1108"/>
      <c r="BF89" s="1108"/>
      <c r="BG89" s="1108"/>
      <c r="BH89" s="1108"/>
    </row>
    <row r="90" spans="1:60" x14ac:dyDescent="0.3">
      <c r="A90" s="1108"/>
      <c r="B90" s="1108">
        <v>323</v>
      </c>
      <c r="C90" s="1108" t="s">
        <v>256</v>
      </c>
      <c r="D90" s="1108"/>
      <c r="E90" s="1108"/>
      <c r="F90" s="1108"/>
      <c r="G90" s="1108"/>
      <c r="H90" s="1108"/>
      <c r="I90" s="1108"/>
      <c r="J90" s="1108"/>
      <c r="K90" s="1108"/>
      <c r="L90" s="1108"/>
      <c r="M90" s="1108"/>
      <c r="N90" s="1108"/>
      <c r="O90" s="1108"/>
      <c r="P90" s="1108"/>
      <c r="Q90" s="1108"/>
      <c r="R90" s="1108"/>
      <c r="S90" s="1108"/>
      <c r="T90" s="1108"/>
      <c r="U90" s="1108"/>
      <c r="V90" s="1108"/>
      <c r="W90" s="1108"/>
      <c r="X90" s="1108"/>
      <c r="Y90" s="1108"/>
      <c r="Z90" s="1108"/>
      <c r="AA90" s="1108"/>
      <c r="AB90" s="1108"/>
      <c r="AC90" s="1108"/>
      <c r="AD90" s="1108"/>
      <c r="AE90" s="1108"/>
      <c r="AF90" s="1108"/>
      <c r="AG90" s="1108"/>
      <c r="AH90" s="1108"/>
      <c r="AI90" s="1108"/>
      <c r="AJ90" s="1108"/>
      <c r="AK90" s="1108"/>
      <c r="AL90" s="1108"/>
      <c r="AM90" s="1108"/>
      <c r="AN90" s="1108"/>
      <c r="AO90" s="1108"/>
      <c r="AP90" s="1108"/>
      <c r="AQ90" s="1108"/>
      <c r="AR90" s="1108"/>
      <c r="AS90" s="1108"/>
      <c r="AT90" s="1108"/>
      <c r="AU90" s="1108"/>
      <c r="AV90" s="1108"/>
      <c r="AW90" s="1108"/>
      <c r="AX90" s="1108"/>
      <c r="AY90" s="1108"/>
      <c r="AZ90" s="1108"/>
      <c r="BA90" s="1108"/>
      <c r="BB90" s="1108"/>
      <c r="BC90" s="1108"/>
      <c r="BD90" s="1108"/>
      <c r="BE90" s="1108"/>
      <c r="BF90" s="1108"/>
      <c r="BG90" s="1108"/>
      <c r="BH90" s="1108"/>
    </row>
    <row r="91" spans="1:60" x14ac:dyDescent="0.3">
      <c r="A91" s="1108"/>
      <c r="B91" s="1108">
        <v>324</v>
      </c>
      <c r="C91" s="1108" t="s">
        <v>1413</v>
      </c>
      <c r="D91" s="1108"/>
      <c r="E91" s="1108"/>
      <c r="F91" s="1108"/>
      <c r="G91" s="1108"/>
      <c r="H91" s="1108"/>
      <c r="I91" s="1108"/>
      <c r="J91" s="1108"/>
      <c r="K91" s="1108"/>
      <c r="L91" s="1108"/>
      <c r="M91" s="1108"/>
      <c r="N91" s="1108"/>
      <c r="O91" s="1108"/>
      <c r="P91" s="1108"/>
      <c r="Q91" s="1108"/>
      <c r="R91" s="1108"/>
      <c r="S91" s="1108"/>
      <c r="T91" s="1108"/>
      <c r="U91" s="1108"/>
      <c r="V91" s="1108"/>
      <c r="W91" s="1108"/>
      <c r="X91" s="1108"/>
      <c r="Y91" s="1108"/>
      <c r="Z91" s="1108"/>
      <c r="AA91" s="1108"/>
      <c r="AB91" s="1108"/>
      <c r="AC91" s="1108"/>
      <c r="AD91" s="1108"/>
      <c r="AE91" s="1108"/>
      <c r="AF91" s="1108"/>
      <c r="AG91" s="1108"/>
      <c r="AH91" s="1108"/>
      <c r="AI91" s="1108"/>
      <c r="AJ91" s="1108"/>
      <c r="AK91" s="1108"/>
      <c r="AL91" s="1108"/>
      <c r="AM91" s="1108"/>
      <c r="AN91" s="1108"/>
      <c r="AO91" s="1108"/>
      <c r="AP91" s="1108"/>
      <c r="AQ91" s="1108"/>
      <c r="AR91" s="1108"/>
      <c r="AS91" s="1108"/>
      <c r="AT91" s="1108"/>
      <c r="AU91" s="1108"/>
      <c r="AV91" s="1108"/>
      <c r="AW91" s="1108"/>
      <c r="AX91" s="1108"/>
      <c r="AY91" s="1108"/>
      <c r="AZ91" s="1108"/>
      <c r="BA91" s="1108"/>
      <c r="BB91" s="1108"/>
      <c r="BC91" s="1108"/>
      <c r="BD91" s="1108"/>
      <c r="BE91" s="1108"/>
      <c r="BF91" s="1108"/>
      <c r="BG91" s="1108"/>
      <c r="BH91" s="1108"/>
    </row>
    <row r="92" spans="1:60" x14ac:dyDescent="0.3">
      <c r="A92" s="1108"/>
      <c r="B92" s="1108">
        <v>325</v>
      </c>
      <c r="C92" s="1108" t="s">
        <v>1414</v>
      </c>
      <c r="D92" s="1108"/>
      <c r="E92" s="1108"/>
      <c r="F92" s="1108"/>
      <c r="G92" s="1108"/>
      <c r="H92" s="1108"/>
      <c r="I92" s="1108"/>
      <c r="J92" s="1108"/>
      <c r="K92" s="1108"/>
      <c r="L92" s="1108"/>
      <c r="M92" s="1108"/>
      <c r="N92" s="1108"/>
      <c r="O92" s="1108"/>
      <c r="P92" s="1108"/>
      <c r="Q92" s="1108"/>
      <c r="R92" s="1108"/>
      <c r="S92" s="1108"/>
      <c r="T92" s="1108"/>
      <c r="U92" s="1108"/>
      <c r="V92" s="1108"/>
      <c r="W92" s="1108"/>
      <c r="X92" s="1108"/>
      <c r="Y92" s="1108"/>
      <c r="Z92" s="1108"/>
      <c r="AA92" s="1108"/>
      <c r="AB92" s="1108"/>
      <c r="AC92" s="1108"/>
      <c r="AD92" s="1108"/>
      <c r="AE92" s="1108"/>
      <c r="AF92" s="1108"/>
      <c r="AG92" s="1108"/>
      <c r="AH92" s="1108"/>
      <c r="AI92" s="1108"/>
      <c r="AJ92" s="1108"/>
      <c r="AK92" s="1108"/>
      <c r="AL92" s="1108"/>
      <c r="AM92" s="1108"/>
      <c r="AN92" s="1108"/>
      <c r="AO92" s="1108"/>
      <c r="AP92" s="1108"/>
      <c r="AQ92" s="1108"/>
      <c r="AR92" s="1108"/>
      <c r="AS92" s="1108"/>
      <c r="AT92" s="1108"/>
      <c r="AU92" s="1108"/>
      <c r="AV92" s="1108"/>
      <c r="AW92" s="1108"/>
      <c r="AX92" s="1108"/>
      <c r="AY92" s="1108"/>
      <c r="AZ92" s="1108"/>
      <c r="BA92" s="1108"/>
      <c r="BB92" s="1108"/>
      <c r="BC92" s="1108"/>
      <c r="BD92" s="1108"/>
      <c r="BE92" s="1108"/>
      <c r="BF92" s="1108"/>
      <c r="BG92" s="1108"/>
      <c r="BH92" s="1108"/>
    </row>
    <row r="93" spans="1:60" x14ac:dyDescent="0.3">
      <c r="A93" s="1108"/>
      <c r="B93" s="1108">
        <v>326</v>
      </c>
      <c r="C93" s="1108" t="s">
        <v>1415</v>
      </c>
      <c r="D93" s="1108"/>
      <c r="E93" s="1108"/>
      <c r="F93" s="1108"/>
      <c r="G93" s="1108"/>
      <c r="H93" s="1108"/>
      <c r="I93" s="1108"/>
      <c r="J93" s="1108"/>
      <c r="K93" s="1108"/>
      <c r="L93" s="1108"/>
      <c r="M93" s="1108"/>
      <c r="N93" s="1108"/>
      <c r="O93" s="1108"/>
      <c r="P93" s="1108"/>
      <c r="Q93" s="1108"/>
      <c r="R93" s="1108"/>
      <c r="S93" s="1108"/>
      <c r="T93" s="1108"/>
      <c r="U93" s="1108"/>
      <c r="V93" s="1108"/>
      <c r="W93" s="1108"/>
      <c r="X93" s="1108"/>
      <c r="Y93" s="1108"/>
      <c r="Z93" s="1108"/>
      <c r="AA93" s="1108"/>
      <c r="AB93" s="1108"/>
      <c r="AC93" s="1108"/>
      <c r="AD93" s="1108"/>
      <c r="AE93" s="1108"/>
      <c r="AF93" s="1108"/>
      <c r="AG93" s="1108"/>
      <c r="AH93" s="1108"/>
      <c r="AI93" s="1108"/>
      <c r="AJ93" s="1108"/>
      <c r="AK93" s="1108"/>
      <c r="AL93" s="1108"/>
      <c r="AM93" s="1108"/>
      <c r="AN93" s="1108"/>
      <c r="AO93" s="1108"/>
      <c r="AP93" s="1108"/>
      <c r="AQ93" s="1108"/>
      <c r="AR93" s="1108"/>
      <c r="AS93" s="1108"/>
      <c r="AT93" s="1108"/>
      <c r="AU93" s="1108"/>
      <c r="AV93" s="1108"/>
      <c r="AW93" s="1108"/>
      <c r="AX93" s="1108"/>
      <c r="AY93" s="1108"/>
      <c r="AZ93" s="1108"/>
      <c r="BA93" s="1108"/>
      <c r="BB93" s="1108"/>
      <c r="BC93" s="1108"/>
      <c r="BD93" s="1108"/>
      <c r="BE93" s="1108"/>
      <c r="BF93" s="1108"/>
      <c r="BG93" s="1108"/>
      <c r="BH93" s="1108"/>
    </row>
    <row r="94" spans="1:60" x14ac:dyDescent="0.3">
      <c r="A94" s="1108"/>
      <c r="B94" s="1108">
        <v>327</v>
      </c>
      <c r="C94" s="1108" t="e">
        <v>#VALUE!</v>
      </c>
      <c r="D94" s="1108"/>
      <c r="E94" s="1108"/>
      <c r="F94" s="1108"/>
      <c r="G94" s="1108"/>
      <c r="H94" s="1108"/>
      <c r="I94" s="1108"/>
      <c r="J94" s="1108"/>
      <c r="K94" s="1108"/>
      <c r="L94" s="1108"/>
      <c r="M94" s="1108"/>
      <c r="N94" s="1108"/>
      <c r="O94" s="1108"/>
      <c r="P94" s="1108"/>
      <c r="Q94" s="1108"/>
      <c r="R94" s="1108"/>
      <c r="S94" s="1108"/>
      <c r="T94" s="1108"/>
      <c r="U94" s="1108"/>
      <c r="V94" s="1108"/>
      <c r="W94" s="1108"/>
      <c r="X94" s="1108"/>
      <c r="Y94" s="1108"/>
      <c r="Z94" s="1108"/>
      <c r="AA94" s="1108"/>
      <c r="AB94" s="1108"/>
      <c r="AC94" s="1108"/>
      <c r="AD94" s="1108"/>
      <c r="AE94" s="1108"/>
      <c r="AF94" s="1108"/>
      <c r="AG94" s="1108"/>
      <c r="AH94" s="1108"/>
      <c r="AI94" s="1108"/>
      <c r="AJ94" s="1108"/>
      <c r="AK94" s="1108"/>
      <c r="AL94" s="1108"/>
      <c r="AM94" s="1108"/>
      <c r="AN94" s="1108"/>
      <c r="AO94" s="1108"/>
      <c r="AP94" s="1108"/>
      <c r="AQ94" s="1108"/>
      <c r="AR94" s="1108"/>
      <c r="AS94" s="1108"/>
      <c r="AT94" s="1108"/>
      <c r="AU94" s="1108"/>
      <c r="AV94" s="1108"/>
      <c r="AW94" s="1108"/>
      <c r="AX94" s="1108"/>
      <c r="AY94" s="1108"/>
      <c r="AZ94" s="1108"/>
      <c r="BA94" s="1108"/>
      <c r="BB94" s="1108"/>
      <c r="BC94" s="1108"/>
      <c r="BD94" s="1108"/>
      <c r="BE94" s="1108"/>
      <c r="BF94" s="1108"/>
      <c r="BG94" s="1108"/>
      <c r="BH94" s="1108"/>
    </row>
    <row r="95" spans="1:60" x14ac:dyDescent="0.3">
      <c r="A95" s="1108"/>
      <c r="B95" s="1108">
        <v>328</v>
      </c>
      <c r="C95" s="1108" t="e">
        <v>#VALUE!</v>
      </c>
      <c r="D95" s="1108"/>
      <c r="E95" s="1108"/>
      <c r="F95" s="1108"/>
      <c r="G95" s="1108"/>
      <c r="H95" s="1108"/>
      <c r="I95" s="1108"/>
      <c r="J95" s="1108"/>
      <c r="K95" s="1108"/>
      <c r="L95" s="1108"/>
      <c r="M95" s="1108"/>
      <c r="N95" s="1108"/>
      <c r="O95" s="1108"/>
      <c r="P95" s="1108"/>
      <c r="Q95" s="1108"/>
      <c r="R95" s="1108"/>
      <c r="S95" s="1108"/>
      <c r="T95" s="1108"/>
      <c r="U95" s="1108"/>
      <c r="V95" s="1108"/>
      <c r="W95" s="1108"/>
      <c r="X95" s="1108"/>
      <c r="Y95" s="1108"/>
      <c r="Z95" s="1108"/>
      <c r="AA95" s="1108"/>
      <c r="AB95" s="1108"/>
      <c r="AC95" s="1108"/>
      <c r="AD95" s="1108"/>
      <c r="AE95" s="1108"/>
      <c r="AF95" s="1108"/>
      <c r="AG95" s="1108"/>
      <c r="AH95" s="1108"/>
      <c r="AI95" s="1108"/>
      <c r="AJ95" s="1108"/>
      <c r="AK95" s="1108"/>
      <c r="AL95" s="1108"/>
      <c r="AM95" s="1108"/>
      <c r="AN95" s="1108"/>
      <c r="AO95" s="1108"/>
      <c r="AP95" s="1108"/>
      <c r="AQ95" s="1108"/>
      <c r="AR95" s="1108"/>
      <c r="AS95" s="1108"/>
      <c r="AT95" s="1108"/>
      <c r="AU95" s="1108"/>
      <c r="AV95" s="1108"/>
      <c r="AW95" s="1108"/>
      <c r="AX95" s="1108"/>
      <c r="AY95" s="1108"/>
      <c r="AZ95" s="1108"/>
      <c r="BA95" s="1108"/>
      <c r="BB95" s="1108"/>
      <c r="BC95" s="1108"/>
      <c r="BD95" s="1108"/>
      <c r="BE95" s="1108"/>
      <c r="BF95" s="1108"/>
      <c r="BG95" s="1108"/>
      <c r="BH95" s="1108"/>
    </row>
    <row r="96" spans="1:60" x14ac:dyDescent="0.3">
      <c r="A96" s="1108"/>
      <c r="B96" s="1108">
        <v>330</v>
      </c>
      <c r="C96" s="1108" t="e">
        <v>#VALUE!</v>
      </c>
      <c r="D96" s="1108"/>
      <c r="E96" s="1108"/>
      <c r="F96" s="1108"/>
      <c r="G96" s="1108"/>
      <c r="H96" s="1108"/>
      <c r="I96" s="1108"/>
      <c r="J96" s="1108"/>
      <c r="K96" s="1108"/>
      <c r="L96" s="1108"/>
      <c r="M96" s="1108"/>
      <c r="N96" s="1108"/>
      <c r="O96" s="1108"/>
      <c r="P96" s="1108"/>
      <c r="Q96" s="1108"/>
      <c r="R96" s="1108"/>
      <c r="S96" s="1108"/>
      <c r="T96" s="1108"/>
      <c r="U96" s="1108"/>
      <c r="V96" s="1108"/>
      <c r="W96" s="1108"/>
      <c r="X96" s="1108"/>
      <c r="Y96" s="1108"/>
      <c r="Z96" s="1108"/>
      <c r="AA96" s="1108"/>
      <c r="AB96" s="1108"/>
      <c r="AC96" s="1108"/>
      <c r="AD96" s="1108"/>
      <c r="AE96" s="1108"/>
      <c r="AF96" s="1108"/>
      <c r="AG96" s="1108"/>
      <c r="AH96" s="1108"/>
      <c r="AI96" s="1108"/>
      <c r="AJ96" s="1108"/>
      <c r="AK96" s="1108"/>
      <c r="AL96" s="1108"/>
      <c r="AM96" s="1108"/>
      <c r="AN96" s="1108"/>
      <c r="AO96" s="1108"/>
      <c r="AP96" s="1108"/>
      <c r="AQ96" s="1108"/>
      <c r="AR96" s="1108"/>
      <c r="AS96" s="1108"/>
      <c r="AT96" s="1108"/>
      <c r="AU96" s="1108"/>
      <c r="AV96" s="1108"/>
      <c r="AW96" s="1108"/>
      <c r="AX96" s="1108"/>
      <c r="AY96" s="1108"/>
      <c r="AZ96" s="1108"/>
      <c r="BA96" s="1108"/>
      <c r="BB96" s="1108"/>
      <c r="BC96" s="1108"/>
      <c r="BD96" s="1108"/>
      <c r="BE96" s="1108"/>
      <c r="BF96" s="1108"/>
      <c r="BG96" s="1108"/>
      <c r="BH96" s="1108"/>
    </row>
    <row r="97" spans="1:60" x14ac:dyDescent="0.3">
      <c r="A97" s="1108"/>
      <c r="B97" s="1108">
        <v>331</v>
      </c>
      <c r="C97" s="1108" t="e">
        <v>#VALUE!</v>
      </c>
      <c r="D97" s="1108"/>
      <c r="E97" s="1108"/>
      <c r="F97" s="1108"/>
      <c r="G97" s="1108"/>
      <c r="H97" s="1108"/>
      <c r="I97" s="1108"/>
      <c r="J97" s="1108"/>
      <c r="K97" s="1108"/>
      <c r="L97" s="1108"/>
      <c r="M97" s="1108"/>
      <c r="N97" s="1108"/>
      <c r="O97" s="1108"/>
      <c r="P97" s="1108"/>
      <c r="Q97" s="1108"/>
      <c r="R97" s="1108"/>
      <c r="S97" s="1108"/>
      <c r="T97" s="1108"/>
      <c r="U97" s="1108"/>
      <c r="V97" s="1108"/>
      <c r="W97" s="1108"/>
      <c r="X97" s="1108"/>
      <c r="Y97" s="1108"/>
      <c r="Z97" s="1108"/>
      <c r="AA97" s="1108"/>
      <c r="AB97" s="1108"/>
      <c r="AC97" s="1108"/>
      <c r="AD97" s="1108"/>
      <c r="AE97" s="1108"/>
      <c r="AF97" s="1108"/>
      <c r="AG97" s="1108"/>
      <c r="AH97" s="1108"/>
      <c r="AI97" s="1108"/>
      <c r="AJ97" s="1108"/>
      <c r="AK97" s="1108"/>
      <c r="AL97" s="1108"/>
      <c r="AM97" s="1108"/>
      <c r="AN97" s="1108"/>
      <c r="AO97" s="1108"/>
      <c r="AP97" s="1108"/>
      <c r="AQ97" s="1108"/>
      <c r="AR97" s="1108"/>
      <c r="AS97" s="1108"/>
      <c r="AT97" s="1108"/>
      <c r="AU97" s="1108"/>
      <c r="AV97" s="1108"/>
      <c r="AW97" s="1108"/>
      <c r="AX97" s="1108"/>
      <c r="AY97" s="1108"/>
      <c r="AZ97" s="1108"/>
      <c r="BA97" s="1108"/>
      <c r="BB97" s="1108"/>
      <c r="BC97" s="1108"/>
      <c r="BD97" s="1108"/>
      <c r="BE97" s="1108"/>
      <c r="BF97" s="1108"/>
      <c r="BG97" s="1108"/>
      <c r="BH97" s="1108"/>
    </row>
    <row r="98" spans="1:60" x14ac:dyDescent="0.3">
      <c r="A98" s="1108"/>
      <c r="B98" s="1108">
        <v>332</v>
      </c>
      <c r="C98" s="1108" t="e">
        <v>#VALUE!</v>
      </c>
      <c r="D98" s="1108"/>
      <c r="E98" s="1108"/>
      <c r="F98" s="1108"/>
      <c r="G98" s="1108"/>
      <c r="H98" s="1108"/>
      <c r="I98" s="1108"/>
      <c r="J98" s="1108"/>
      <c r="K98" s="1108"/>
      <c r="L98" s="1108"/>
      <c r="M98" s="1108"/>
      <c r="N98" s="1108"/>
      <c r="O98" s="1108"/>
      <c r="P98" s="1108"/>
      <c r="Q98" s="1108"/>
      <c r="R98" s="1108"/>
      <c r="S98" s="1108"/>
      <c r="T98" s="1108"/>
      <c r="U98" s="1108"/>
      <c r="V98" s="1108"/>
      <c r="W98" s="1108"/>
      <c r="X98" s="1108"/>
      <c r="Y98" s="1108"/>
      <c r="Z98" s="1108"/>
      <c r="AA98" s="1108"/>
      <c r="AB98" s="1108"/>
      <c r="AC98" s="1108"/>
      <c r="AD98" s="1108"/>
      <c r="AE98" s="1108"/>
      <c r="AF98" s="1108"/>
      <c r="AG98" s="1108"/>
      <c r="AH98" s="1108"/>
      <c r="AI98" s="1108"/>
      <c r="AJ98" s="1108"/>
      <c r="AK98" s="1108"/>
      <c r="AL98" s="1108"/>
      <c r="AM98" s="1108"/>
      <c r="AN98" s="1108"/>
      <c r="AO98" s="1108"/>
      <c r="AP98" s="1108"/>
      <c r="AQ98" s="1108"/>
      <c r="AR98" s="1108"/>
      <c r="AS98" s="1108"/>
      <c r="AT98" s="1108"/>
      <c r="AU98" s="1108"/>
      <c r="AV98" s="1108"/>
      <c r="AW98" s="1108"/>
      <c r="AX98" s="1108"/>
      <c r="AY98" s="1108"/>
      <c r="AZ98" s="1108"/>
      <c r="BA98" s="1108"/>
      <c r="BB98" s="1108"/>
      <c r="BC98" s="1108"/>
      <c r="BD98" s="1108"/>
      <c r="BE98" s="1108"/>
      <c r="BF98" s="1108"/>
      <c r="BG98" s="1108"/>
      <c r="BH98" s="1108"/>
    </row>
    <row r="99" spans="1:60" x14ac:dyDescent="0.3">
      <c r="A99" s="1108">
        <v>333</v>
      </c>
      <c r="B99" s="1108">
        <v>333</v>
      </c>
      <c r="C99" s="1108" t="s">
        <v>184</v>
      </c>
      <c r="D99" s="1130">
        <v>806243</v>
      </c>
      <c r="E99" s="1130">
        <v>3629310</v>
      </c>
      <c r="F99" s="1130">
        <v>9474396</v>
      </c>
      <c r="G99" s="1130">
        <v>1706192</v>
      </c>
      <c r="H99" s="1130">
        <v>6112737</v>
      </c>
      <c r="I99" s="1130">
        <v>2332280</v>
      </c>
      <c r="J99" s="1130">
        <v>2870038</v>
      </c>
      <c r="K99" s="1130">
        <v>6583890</v>
      </c>
      <c r="L99" s="1130">
        <v>8300521</v>
      </c>
      <c r="M99" s="1130">
        <v>1819960</v>
      </c>
      <c r="N99" s="1130">
        <v>4151874</v>
      </c>
      <c r="O99" s="1130">
        <v>9970226</v>
      </c>
      <c r="P99" s="1130">
        <v>10357687</v>
      </c>
      <c r="Q99" s="1130">
        <v>2221261</v>
      </c>
      <c r="R99" s="1130">
        <v>654307</v>
      </c>
      <c r="S99" s="1130">
        <v>8754518</v>
      </c>
      <c r="T99" s="1130">
        <v>24666901</v>
      </c>
      <c r="U99" s="1130">
        <v>3181164</v>
      </c>
      <c r="V99" s="1130">
        <v>2782003</v>
      </c>
      <c r="W99" s="1130">
        <v>56465584</v>
      </c>
      <c r="X99" s="1130">
        <v>11373690</v>
      </c>
      <c r="Y99" s="1130">
        <v>1404072</v>
      </c>
      <c r="Z99" s="1130">
        <v>11461559</v>
      </c>
      <c r="AA99" s="1130">
        <v>824823</v>
      </c>
      <c r="AB99" s="1130">
        <v>1778850</v>
      </c>
      <c r="AC99" s="1130">
        <v>20066234</v>
      </c>
      <c r="AD99" s="1130">
        <v>1031805</v>
      </c>
      <c r="AE99" s="1130">
        <v>6523980</v>
      </c>
      <c r="AF99" s="1130">
        <v>7091957</v>
      </c>
      <c r="AG99" s="1130">
        <v>3294613</v>
      </c>
      <c r="AH99" s="1130">
        <v>17705390</v>
      </c>
      <c r="AI99" s="1130">
        <v>26740300</v>
      </c>
      <c r="AJ99" s="1130">
        <v>17683511</v>
      </c>
      <c r="AK99" s="1130">
        <v>9016714</v>
      </c>
      <c r="AL99" s="1130">
        <v>4148724</v>
      </c>
      <c r="AM99" s="1130">
        <v>2306926</v>
      </c>
      <c r="AN99" s="1130">
        <v>4417646</v>
      </c>
      <c r="AO99" s="1130">
        <v>3196726</v>
      </c>
      <c r="AP99" s="1130">
        <v>6091595</v>
      </c>
      <c r="AQ99" s="1130">
        <v>4153952</v>
      </c>
      <c r="AR99" s="1130">
        <v>107006</v>
      </c>
      <c r="AS99" s="1130">
        <v>3309553</v>
      </c>
      <c r="AT99" s="1130">
        <v>781767</v>
      </c>
      <c r="AU99" s="1130">
        <v>24144219</v>
      </c>
      <c r="AV99" s="1130">
        <v>3814202</v>
      </c>
      <c r="AW99" s="1130">
        <v>113817837</v>
      </c>
      <c r="AX99" s="1130">
        <v>1731219</v>
      </c>
      <c r="AY99" s="1130">
        <v>1222771</v>
      </c>
      <c r="AZ99" s="1130">
        <v>5025187</v>
      </c>
      <c r="BA99" s="1130">
        <v>3507602</v>
      </c>
      <c r="BB99" s="1130">
        <v>916777</v>
      </c>
      <c r="BC99" s="1130">
        <v>4359974</v>
      </c>
      <c r="BD99" s="1130">
        <v>10262788</v>
      </c>
      <c r="BE99" s="1130">
        <v>9170518</v>
      </c>
      <c r="BF99" s="1130">
        <v>20910209</v>
      </c>
      <c r="BG99" s="1130">
        <v>2989922</v>
      </c>
      <c r="BH99" s="1130">
        <v>2815874</v>
      </c>
    </row>
    <row r="100" spans="1:60" x14ac:dyDescent="0.3">
      <c r="A100" s="1108"/>
      <c r="B100" s="1108">
        <v>334</v>
      </c>
      <c r="C100" s="1108" t="s">
        <v>1416</v>
      </c>
      <c r="D100" s="1108"/>
      <c r="E100" s="1108"/>
      <c r="F100" s="1108"/>
      <c r="G100" s="1108"/>
      <c r="H100" s="1108"/>
      <c r="I100" s="1108"/>
      <c r="J100" s="1108"/>
      <c r="K100" s="1108"/>
      <c r="L100" s="1108"/>
      <c r="M100" s="1108"/>
      <c r="N100" s="1108"/>
      <c r="O100" s="1108"/>
      <c r="P100" s="1108"/>
      <c r="Q100" s="1108"/>
      <c r="R100" s="1108"/>
      <c r="S100" s="1108"/>
      <c r="T100" s="1108"/>
      <c r="U100" s="1108"/>
      <c r="V100" s="1108"/>
      <c r="W100" s="1108"/>
      <c r="X100" s="1108"/>
      <c r="Y100" s="1108"/>
      <c r="Z100" s="1108"/>
      <c r="AA100" s="1108"/>
      <c r="AB100" s="1108"/>
      <c r="AC100" s="1108"/>
      <c r="AD100" s="1108"/>
      <c r="AE100" s="1108"/>
      <c r="AF100" s="1108"/>
      <c r="AG100" s="1108"/>
      <c r="AH100" s="1108"/>
      <c r="AI100" s="1108"/>
      <c r="AJ100" s="1108"/>
      <c r="AK100" s="1108"/>
      <c r="AL100" s="1108"/>
      <c r="AM100" s="1108"/>
      <c r="AN100" s="1108"/>
      <c r="AO100" s="1108"/>
      <c r="AP100" s="1108"/>
      <c r="AQ100" s="1108"/>
      <c r="AR100" s="1108"/>
      <c r="AS100" s="1108"/>
      <c r="AT100" s="1108"/>
      <c r="AU100" s="1108"/>
      <c r="AV100" s="1108"/>
      <c r="AW100" s="1108"/>
      <c r="AX100" s="1108"/>
      <c r="AY100" s="1108"/>
      <c r="AZ100" s="1108"/>
      <c r="BA100" s="1108"/>
      <c r="BB100" s="1108"/>
      <c r="BC100" s="1108"/>
      <c r="BD100" s="1108"/>
      <c r="BE100" s="1108"/>
      <c r="BF100" s="1108"/>
      <c r="BG100" s="1108"/>
      <c r="BH100" s="1108"/>
    </row>
    <row r="101" spans="1:60" x14ac:dyDescent="0.3">
      <c r="A101" s="1108">
        <v>335</v>
      </c>
      <c r="B101" s="1108">
        <v>335</v>
      </c>
      <c r="C101" s="1108" t="s">
        <v>117</v>
      </c>
      <c r="D101" s="1108">
        <v>0</v>
      </c>
      <c r="E101" s="1108">
        <v>0</v>
      </c>
      <c r="F101" s="1108">
        <v>0</v>
      </c>
      <c r="G101" s="1108">
        <v>0</v>
      </c>
      <c r="H101" s="1130">
        <v>151848</v>
      </c>
      <c r="I101" s="1108">
        <v>0</v>
      </c>
      <c r="J101" s="1130">
        <v>34861</v>
      </c>
      <c r="K101" s="1108">
        <v>0</v>
      </c>
      <c r="L101" s="1108">
        <v>0</v>
      </c>
      <c r="M101" s="1108">
        <v>0</v>
      </c>
      <c r="N101" s="1108">
        <v>0</v>
      </c>
      <c r="O101" s="1108">
        <v>0</v>
      </c>
      <c r="P101" s="1108">
        <v>0</v>
      </c>
      <c r="Q101" s="1130">
        <v>7034</v>
      </c>
      <c r="R101" s="1108">
        <v>0</v>
      </c>
      <c r="S101" s="1130">
        <v>430828</v>
      </c>
      <c r="T101" s="1108">
        <v>0</v>
      </c>
      <c r="U101" s="1108">
        <v>0</v>
      </c>
      <c r="V101" s="1108">
        <v>0</v>
      </c>
      <c r="W101" s="1108">
        <v>0</v>
      </c>
      <c r="X101" s="1130">
        <v>41650</v>
      </c>
      <c r="Y101" s="1108">
        <v>0</v>
      </c>
      <c r="Z101" s="1108">
        <v>0</v>
      </c>
      <c r="AA101" s="1130">
        <v>1110</v>
      </c>
      <c r="AB101" s="1108">
        <v>0</v>
      </c>
      <c r="AC101" s="1108">
        <v>0</v>
      </c>
      <c r="AD101" s="1130">
        <v>17561</v>
      </c>
      <c r="AE101" s="1108">
        <v>0</v>
      </c>
      <c r="AF101" s="1108">
        <v>0</v>
      </c>
      <c r="AG101" s="1108">
        <v>0</v>
      </c>
      <c r="AH101" s="1108">
        <v>0</v>
      </c>
      <c r="AI101" s="1108">
        <v>0</v>
      </c>
      <c r="AJ101" s="1130">
        <v>41672</v>
      </c>
      <c r="AK101" s="1130">
        <v>1292169</v>
      </c>
      <c r="AL101" s="1130">
        <v>118754</v>
      </c>
      <c r="AM101" s="1108">
        <v>0</v>
      </c>
      <c r="AN101" s="1108">
        <v>0</v>
      </c>
      <c r="AO101" s="1130">
        <v>178291</v>
      </c>
      <c r="AP101" s="1108">
        <v>0</v>
      </c>
      <c r="AQ101" s="1108">
        <v>0</v>
      </c>
      <c r="AR101" s="1108">
        <v>0</v>
      </c>
      <c r="AS101" s="1108">
        <v>0</v>
      </c>
      <c r="AT101" s="1108">
        <v>0</v>
      </c>
      <c r="AU101" s="1108">
        <v>0</v>
      </c>
      <c r="AV101" s="1108">
        <v>0</v>
      </c>
      <c r="AW101" s="1108">
        <v>0</v>
      </c>
      <c r="AX101" s="1108">
        <v>0</v>
      </c>
      <c r="AY101" s="1108">
        <v>0</v>
      </c>
      <c r="AZ101" s="1108">
        <v>0</v>
      </c>
      <c r="BA101" s="1108">
        <v>0</v>
      </c>
      <c r="BB101" s="1108">
        <v>0</v>
      </c>
      <c r="BC101" s="1108">
        <v>0</v>
      </c>
      <c r="BD101" s="1130">
        <v>8606</v>
      </c>
      <c r="BE101" s="1108">
        <v>0</v>
      </c>
      <c r="BF101" s="1130">
        <v>6672373</v>
      </c>
      <c r="BG101" s="1130">
        <v>581729</v>
      </c>
      <c r="BH101" s="1108">
        <v>0</v>
      </c>
    </row>
    <row r="102" spans="1:60" x14ac:dyDescent="0.3">
      <c r="A102" s="1108">
        <v>336</v>
      </c>
      <c r="B102" s="1108">
        <v>336</v>
      </c>
      <c r="C102" s="1108" t="s">
        <v>382</v>
      </c>
      <c r="D102" s="1130">
        <v>385427</v>
      </c>
      <c r="E102" s="1130">
        <v>5407990</v>
      </c>
      <c r="F102" s="1130">
        <v>3465157</v>
      </c>
      <c r="G102" s="1130">
        <v>954266</v>
      </c>
      <c r="H102" s="1130">
        <v>5326018</v>
      </c>
      <c r="I102" s="1130">
        <v>1588563</v>
      </c>
      <c r="J102" s="1130">
        <v>998526</v>
      </c>
      <c r="K102" s="1130">
        <v>1690810</v>
      </c>
      <c r="L102" s="1130">
        <v>2052597</v>
      </c>
      <c r="M102" s="1130">
        <v>1228748</v>
      </c>
      <c r="N102" s="1130">
        <v>833377</v>
      </c>
      <c r="O102" s="1130">
        <v>3976061</v>
      </c>
      <c r="P102" s="1130">
        <v>4619829</v>
      </c>
      <c r="Q102" s="1130">
        <v>717065</v>
      </c>
      <c r="R102" s="1130">
        <v>105636</v>
      </c>
      <c r="S102" s="1130">
        <v>7281633</v>
      </c>
      <c r="T102" s="1130">
        <v>17871883</v>
      </c>
      <c r="U102" s="1130">
        <v>1216887</v>
      </c>
      <c r="V102" s="1130">
        <v>799139</v>
      </c>
      <c r="W102" s="1130">
        <v>8786594</v>
      </c>
      <c r="X102" s="1130">
        <v>5039302</v>
      </c>
      <c r="Y102" s="1130">
        <v>679949</v>
      </c>
      <c r="Z102" s="1130">
        <v>2957267</v>
      </c>
      <c r="AA102" s="1130">
        <v>786962</v>
      </c>
      <c r="AB102" s="1130">
        <v>2044442</v>
      </c>
      <c r="AC102" s="1130">
        <v>1127747</v>
      </c>
      <c r="AD102" s="1130">
        <v>715263</v>
      </c>
      <c r="AE102" s="1130">
        <v>5642003</v>
      </c>
      <c r="AF102" s="1130">
        <v>3254210</v>
      </c>
      <c r="AG102" s="1130">
        <v>854921</v>
      </c>
      <c r="AH102" s="1130">
        <v>12540491</v>
      </c>
      <c r="AI102" s="1130">
        <v>5589817</v>
      </c>
      <c r="AJ102" s="1130">
        <v>10263237</v>
      </c>
      <c r="AK102" s="1130">
        <v>1987543</v>
      </c>
      <c r="AL102" s="1130">
        <v>4106968</v>
      </c>
      <c r="AM102" s="1130">
        <v>5488023</v>
      </c>
      <c r="AN102" s="1130">
        <v>3415920</v>
      </c>
      <c r="AO102" s="1130">
        <v>3117646</v>
      </c>
      <c r="AP102" s="1130">
        <v>3833675</v>
      </c>
      <c r="AQ102" s="1130">
        <v>631068</v>
      </c>
      <c r="AR102" s="1130">
        <v>1467698</v>
      </c>
      <c r="AS102" s="1130">
        <v>1338299</v>
      </c>
      <c r="AT102" s="1130">
        <v>637121</v>
      </c>
      <c r="AU102" s="1130">
        <v>29031487</v>
      </c>
      <c r="AV102" s="1130">
        <v>2058525</v>
      </c>
      <c r="AW102" s="1130">
        <v>102797733</v>
      </c>
      <c r="AX102" s="1130">
        <v>674371</v>
      </c>
      <c r="AY102" s="1130">
        <v>1289728</v>
      </c>
      <c r="AZ102" s="1130">
        <v>2076769</v>
      </c>
      <c r="BA102" s="1130">
        <v>12610525</v>
      </c>
      <c r="BB102" s="1130">
        <v>268678</v>
      </c>
      <c r="BC102" s="1130">
        <v>940970</v>
      </c>
      <c r="BD102" s="1130">
        <v>3535441</v>
      </c>
      <c r="BE102" s="1130">
        <v>4568767</v>
      </c>
      <c r="BF102" s="1130">
        <v>41285602</v>
      </c>
      <c r="BG102" s="1130">
        <v>2541908</v>
      </c>
      <c r="BH102" s="1130">
        <v>566108</v>
      </c>
    </row>
    <row r="103" spans="1:60" x14ac:dyDescent="0.3">
      <c r="A103" s="1108"/>
      <c r="B103" s="1108">
        <v>337</v>
      </c>
      <c r="C103" s="1108" t="s">
        <v>1417</v>
      </c>
      <c r="D103" s="1108"/>
      <c r="E103" s="1108"/>
      <c r="F103" s="1108"/>
      <c r="G103" s="1108"/>
      <c r="H103" s="1108"/>
      <c r="I103" s="1108"/>
      <c r="J103" s="1108"/>
      <c r="K103" s="1108"/>
      <c r="L103" s="1108"/>
      <c r="M103" s="1108"/>
      <c r="N103" s="1108"/>
      <c r="O103" s="1108"/>
      <c r="P103" s="1108"/>
      <c r="Q103" s="1108"/>
      <c r="R103" s="1108"/>
      <c r="S103" s="1108"/>
      <c r="T103" s="1108"/>
      <c r="U103" s="1108"/>
      <c r="V103" s="1108"/>
      <c r="W103" s="1108"/>
      <c r="X103" s="1108"/>
      <c r="Y103" s="1108"/>
      <c r="Z103" s="1108"/>
      <c r="AA103" s="1108"/>
      <c r="AB103" s="1108"/>
      <c r="AC103" s="1108"/>
      <c r="AD103" s="1108"/>
      <c r="AE103" s="1108"/>
      <c r="AF103" s="1108"/>
      <c r="AG103" s="1108"/>
      <c r="AH103" s="1108"/>
      <c r="AI103" s="1108"/>
      <c r="AJ103" s="1108"/>
      <c r="AK103" s="1108"/>
      <c r="AL103" s="1108"/>
      <c r="AM103" s="1108"/>
      <c r="AN103" s="1108"/>
      <c r="AO103" s="1108"/>
      <c r="AP103" s="1108"/>
      <c r="AQ103" s="1108"/>
      <c r="AR103" s="1108"/>
      <c r="AS103" s="1108"/>
      <c r="AT103" s="1108"/>
      <c r="AU103" s="1108"/>
      <c r="AV103" s="1108"/>
      <c r="AW103" s="1108"/>
      <c r="AX103" s="1108"/>
      <c r="AY103" s="1108"/>
      <c r="AZ103" s="1108"/>
      <c r="BA103" s="1108"/>
      <c r="BB103" s="1108"/>
      <c r="BC103" s="1108"/>
      <c r="BD103" s="1108"/>
      <c r="BE103" s="1108"/>
      <c r="BF103" s="1108"/>
      <c r="BG103" s="1108"/>
      <c r="BH103" s="1108"/>
    </row>
    <row r="104" spans="1:60" x14ac:dyDescent="0.3">
      <c r="A104" s="1108">
        <v>338</v>
      </c>
      <c r="B104" s="1108">
        <v>338</v>
      </c>
      <c r="C104" s="1108" t="s">
        <v>116</v>
      </c>
      <c r="D104" s="1130">
        <v>107362113</v>
      </c>
      <c r="E104" s="1130">
        <v>205482437</v>
      </c>
      <c r="F104" s="1130">
        <v>151513733</v>
      </c>
      <c r="G104" s="1130">
        <v>60459180</v>
      </c>
      <c r="H104" s="1130">
        <v>206934326</v>
      </c>
      <c r="I104" s="1130">
        <v>86403564</v>
      </c>
      <c r="J104" s="1130">
        <v>49045567</v>
      </c>
      <c r="K104" s="1130">
        <v>66246896</v>
      </c>
      <c r="L104" s="1130">
        <v>122459471</v>
      </c>
      <c r="M104" s="1130">
        <v>38389161</v>
      </c>
      <c r="N104" s="1130">
        <v>77808764</v>
      </c>
      <c r="O104" s="1130">
        <v>254313548</v>
      </c>
      <c r="P104" s="1130">
        <v>118709535</v>
      </c>
      <c r="Q104" s="1130">
        <v>30528742</v>
      </c>
      <c r="R104" s="1130">
        <v>3792813</v>
      </c>
      <c r="S104" s="1130">
        <v>281977173</v>
      </c>
      <c r="T104" s="1130">
        <v>556271708</v>
      </c>
      <c r="U104" s="1130">
        <v>64405725</v>
      </c>
      <c r="V104" s="1130">
        <v>38215167</v>
      </c>
      <c r="W104" s="1130">
        <v>468184143</v>
      </c>
      <c r="X104" s="1130">
        <v>177994524</v>
      </c>
      <c r="Y104" s="1130">
        <v>32974545</v>
      </c>
      <c r="Z104" s="1130">
        <v>166453180</v>
      </c>
      <c r="AA104" s="1130">
        <v>35469403</v>
      </c>
      <c r="AB104" s="1130">
        <v>95397578</v>
      </c>
      <c r="AC104" s="1130">
        <v>457363221</v>
      </c>
      <c r="AD104" s="1130">
        <v>51091760</v>
      </c>
      <c r="AE104" s="1130">
        <v>316162449</v>
      </c>
      <c r="AF104" s="1130">
        <v>132751254</v>
      </c>
      <c r="AG104" s="1130">
        <v>55389549</v>
      </c>
      <c r="AH104" s="1130">
        <v>401582930</v>
      </c>
      <c r="AI104" s="1130">
        <v>218539728</v>
      </c>
      <c r="AJ104" s="1130">
        <v>365446433</v>
      </c>
      <c r="AK104" s="1130">
        <v>157971423</v>
      </c>
      <c r="AL104" s="1130">
        <v>156020792</v>
      </c>
      <c r="AM104" s="1130">
        <v>124874000</v>
      </c>
      <c r="AN104" s="1130">
        <v>152155124</v>
      </c>
      <c r="AO104" s="1130">
        <v>122247267</v>
      </c>
      <c r="AP104" s="1130">
        <v>151559707</v>
      </c>
      <c r="AQ104" s="1130">
        <v>44183803</v>
      </c>
      <c r="AR104" s="1130">
        <v>51253844</v>
      </c>
      <c r="AS104" s="1130">
        <v>75924549</v>
      </c>
      <c r="AT104" s="1130">
        <v>16406968</v>
      </c>
      <c r="AU104" s="1130">
        <v>813871054</v>
      </c>
      <c r="AV104" s="1130">
        <v>118297789</v>
      </c>
      <c r="AW104" s="1130">
        <v>3386613807</v>
      </c>
      <c r="AX104" s="1130">
        <v>44146041</v>
      </c>
      <c r="AY104" s="1130">
        <v>31007750</v>
      </c>
      <c r="AZ104" s="1130">
        <v>99693129</v>
      </c>
      <c r="BA104" s="1130">
        <v>328740312</v>
      </c>
      <c r="BB104" s="1130">
        <v>22392950</v>
      </c>
      <c r="BC104" s="1130">
        <v>42382200</v>
      </c>
      <c r="BD104" s="1130">
        <v>188862304</v>
      </c>
      <c r="BE104" s="1130">
        <v>209382652</v>
      </c>
      <c r="BF104" s="1130">
        <v>1105679725</v>
      </c>
      <c r="BG104" s="1130">
        <v>103781429</v>
      </c>
      <c r="BH104" s="1130">
        <v>49506429</v>
      </c>
    </row>
    <row r="105" spans="1:60" x14ac:dyDescent="0.3">
      <c r="A105" s="1108">
        <v>339</v>
      </c>
      <c r="B105" s="1108">
        <v>339</v>
      </c>
      <c r="C105" s="1108" t="s">
        <v>189</v>
      </c>
      <c r="D105" s="1130">
        <v>151675</v>
      </c>
      <c r="E105" s="1130">
        <v>185972</v>
      </c>
      <c r="F105" s="1130">
        <v>1456228</v>
      </c>
      <c r="G105" s="1130">
        <v>481186</v>
      </c>
      <c r="H105" s="1130">
        <v>4495114</v>
      </c>
      <c r="I105" s="1130">
        <v>355014</v>
      </c>
      <c r="J105" s="1130">
        <v>55463</v>
      </c>
      <c r="K105" s="1130">
        <v>61246</v>
      </c>
      <c r="L105" s="1130">
        <v>408820</v>
      </c>
      <c r="M105" s="1130">
        <v>1053177</v>
      </c>
      <c r="N105" s="1130">
        <v>1118612</v>
      </c>
      <c r="O105" s="1130">
        <v>5509758</v>
      </c>
      <c r="P105" s="1130">
        <v>93956</v>
      </c>
      <c r="Q105" s="1130">
        <v>168184</v>
      </c>
      <c r="R105" s="1108">
        <v>0</v>
      </c>
      <c r="S105" s="1130">
        <v>2690176</v>
      </c>
      <c r="T105" s="1130">
        <v>111387</v>
      </c>
      <c r="U105" s="1130">
        <v>1203513</v>
      </c>
      <c r="V105" s="1130">
        <v>274156</v>
      </c>
      <c r="W105" s="1130">
        <v>5274858</v>
      </c>
      <c r="X105" s="1130">
        <v>1716518</v>
      </c>
      <c r="Y105" s="1130">
        <v>568793</v>
      </c>
      <c r="Z105" s="1130">
        <v>1737547</v>
      </c>
      <c r="AA105" s="1130">
        <v>339058</v>
      </c>
      <c r="AB105" s="1130">
        <v>146754</v>
      </c>
      <c r="AC105" s="1108">
        <v>0</v>
      </c>
      <c r="AD105" s="1108">
        <v>0</v>
      </c>
      <c r="AE105" s="1130">
        <v>2463819</v>
      </c>
      <c r="AF105" s="1130">
        <v>2180496</v>
      </c>
      <c r="AG105" s="1130">
        <v>566361</v>
      </c>
      <c r="AH105" s="1130">
        <v>12285616</v>
      </c>
      <c r="AI105" s="1130">
        <v>1248216</v>
      </c>
      <c r="AJ105" s="1130">
        <v>5830835</v>
      </c>
      <c r="AK105" s="1130">
        <v>154826</v>
      </c>
      <c r="AL105" s="1130">
        <v>4064657</v>
      </c>
      <c r="AM105" s="1130">
        <v>1131681</v>
      </c>
      <c r="AN105" s="1130">
        <v>175466</v>
      </c>
      <c r="AO105" s="1130">
        <v>44324</v>
      </c>
      <c r="AP105" s="1130">
        <v>41963</v>
      </c>
      <c r="AQ105" s="1130">
        <v>138418</v>
      </c>
      <c r="AR105" s="1130">
        <v>603179</v>
      </c>
      <c r="AS105" s="1130">
        <v>1487100</v>
      </c>
      <c r="AT105" s="1130">
        <v>180247</v>
      </c>
      <c r="AU105" s="1130">
        <v>11718204</v>
      </c>
      <c r="AV105" s="1130">
        <v>563744</v>
      </c>
      <c r="AW105" s="1130">
        <v>1661930</v>
      </c>
      <c r="AX105" s="1130">
        <v>6735</v>
      </c>
      <c r="AY105" s="1130">
        <v>175320</v>
      </c>
      <c r="AZ105" s="1130">
        <v>1865524</v>
      </c>
      <c r="BA105" s="1108">
        <v>0</v>
      </c>
      <c r="BB105" s="1130">
        <v>211049</v>
      </c>
      <c r="BC105" s="1130">
        <v>758236</v>
      </c>
      <c r="BD105" s="1130">
        <v>3921520</v>
      </c>
      <c r="BE105" s="1130">
        <v>2401893</v>
      </c>
      <c r="BF105" s="1130">
        <v>979966</v>
      </c>
      <c r="BG105" s="1130">
        <v>2136894</v>
      </c>
      <c r="BH105" s="1130">
        <v>807675</v>
      </c>
    </row>
    <row r="106" spans="1:60" x14ac:dyDescent="0.3">
      <c r="A106" s="1108"/>
      <c r="B106" s="1108">
        <v>340</v>
      </c>
      <c r="C106" s="1108" t="s">
        <v>1418</v>
      </c>
      <c r="D106" s="1108"/>
      <c r="E106" s="1108"/>
      <c r="F106" s="1108"/>
      <c r="G106" s="1108"/>
      <c r="H106" s="1108"/>
      <c r="I106" s="1108"/>
      <c r="J106" s="1108"/>
      <c r="K106" s="1108"/>
      <c r="L106" s="1108"/>
      <c r="M106" s="1108"/>
      <c r="N106" s="1108"/>
      <c r="O106" s="1108"/>
      <c r="P106" s="1108"/>
      <c r="Q106" s="1108"/>
      <c r="R106" s="1108"/>
      <c r="S106" s="1108"/>
      <c r="T106" s="1108"/>
      <c r="U106" s="1108"/>
      <c r="V106" s="1108"/>
      <c r="W106" s="1108"/>
      <c r="X106" s="1108"/>
      <c r="Y106" s="1108"/>
      <c r="Z106" s="1108"/>
      <c r="AA106" s="1108"/>
      <c r="AB106" s="1108"/>
      <c r="AC106" s="1108"/>
      <c r="AD106" s="1108"/>
      <c r="AE106" s="1108"/>
      <c r="AF106" s="1108"/>
      <c r="AG106" s="1108"/>
      <c r="AH106" s="1108"/>
      <c r="AI106" s="1108"/>
      <c r="AJ106" s="1108"/>
      <c r="AK106" s="1108"/>
      <c r="AL106" s="1108"/>
      <c r="AM106" s="1108"/>
      <c r="AN106" s="1108"/>
      <c r="AO106" s="1108"/>
      <c r="AP106" s="1108"/>
      <c r="AQ106" s="1108"/>
      <c r="AR106" s="1108"/>
      <c r="AS106" s="1108"/>
      <c r="AT106" s="1108"/>
      <c r="AU106" s="1108"/>
      <c r="AV106" s="1108"/>
      <c r="AW106" s="1108"/>
      <c r="AX106" s="1108"/>
      <c r="AY106" s="1108"/>
      <c r="AZ106" s="1108"/>
      <c r="BA106" s="1108"/>
      <c r="BB106" s="1108"/>
      <c r="BC106" s="1108"/>
      <c r="BD106" s="1108"/>
      <c r="BE106" s="1108"/>
      <c r="BF106" s="1108"/>
      <c r="BG106" s="1108"/>
      <c r="BH106" s="1108"/>
    </row>
    <row r="107" spans="1:60" x14ac:dyDescent="0.3">
      <c r="A107" s="1108">
        <v>341</v>
      </c>
      <c r="B107" s="1108">
        <v>341</v>
      </c>
      <c r="C107" s="1108" t="s">
        <v>192</v>
      </c>
      <c r="D107" s="1130">
        <v>15073099</v>
      </c>
      <c r="E107" s="1130">
        <v>39531632</v>
      </c>
      <c r="F107" s="1130">
        <v>15273604</v>
      </c>
      <c r="G107" s="1130">
        <v>7904318</v>
      </c>
      <c r="H107" s="1130">
        <v>22782653</v>
      </c>
      <c r="I107" s="1130">
        <v>14510317</v>
      </c>
      <c r="J107" s="1130">
        <v>5616135</v>
      </c>
      <c r="K107" s="1130">
        <v>8112439</v>
      </c>
      <c r="L107" s="1130">
        <v>16635008</v>
      </c>
      <c r="M107" s="1130">
        <v>5299343</v>
      </c>
      <c r="N107" s="1130">
        <v>7280175</v>
      </c>
      <c r="O107" s="1130">
        <v>65490790</v>
      </c>
      <c r="P107" s="1130">
        <v>23201038</v>
      </c>
      <c r="Q107" s="1130">
        <v>5563615</v>
      </c>
      <c r="R107" s="1130">
        <v>383895</v>
      </c>
      <c r="S107" s="1130">
        <v>33265800</v>
      </c>
      <c r="T107" s="1130">
        <v>129596833</v>
      </c>
      <c r="U107" s="1130">
        <v>6084737</v>
      </c>
      <c r="V107" s="1130">
        <v>5694343</v>
      </c>
      <c r="W107" s="1130">
        <v>88854742</v>
      </c>
      <c r="X107" s="1130">
        <v>45855946</v>
      </c>
      <c r="Y107" s="1130">
        <v>4467968</v>
      </c>
      <c r="Z107" s="1130">
        <v>26566962</v>
      </c>
      <c r="AA107" s="1130">
        <v>5223654</v>
      </c>
      <c r="AB107" s="1130">
        <v>12104593</v>
      </c>
      <c r="AC107" s="1130">
        <v>49488545</v>
      </c>
      <c r="AD107" s="1130">
        <v>7744142</v>
      </c>
      <c r="AE107" s="1130">
        <v>29586513</v>
      </c>
      <c r="AF107" s="1130">
        <v>15129687</v>
      </c>
      <c r="AG107" s="1130">
        <v>6805583</v>
      </c>
      <c r="AH107" s="1130">
        <v>21180948</v>
      </c>
      <c r="AI107" s="1130">
        <v>18308263</v>
      </c>
      <c r="AJ107" s="1130">
        <v>50967807</v>
      </c>
      <c r="AK107" s="1130">
        <v>22258281</v>
      </c>
      <c r="AL107" s="1130">
        <v>14799500</v>
      </c>
      <c r="AM107" s="1130">
        <v>31508079</v>
      </c>
      <c r="AN107" s="1130">
        <v>17991311</v>
      </c>
      <c r="AO107" s="1130">
        <v>14443601</v>
      </c>
      <c r="AP107" s="1130">
        <v>18098809</v>
      </c>
      <c r="AQ107" s="1130">
        <v>7866181</v>
      </c>
      <c r="AR107" s="1130">
        <v>6181718</v>
      </c>
      <c r="AS107" s="1130">
        <v>14375088</v>
      </c>
      <c r="AT107" s="1130">
        <v>3007320</v>
      </c>
      <c r="AU107" s="1130">
        <v>136476633</v>
      </c>
      <c r="AV107" s="1130">
        <v>14730693</v>
      </c>
      <c r="AW107" s="1130">
        <v>806822826</v>
      </c>
      <c r="AX107" s="1130">
        <v>5832530</v>
      </c>
      <c r="AY107" s="1130">
        <v>4220989</v>
      </c>
      <c r="AZ107" s="1130">
        <v>15764529</v>
      </c>
      <c r="BA107" s="1130">
        <v>28432873</v>
      </c>
      <c r="BB107" s="1130">
        <v>3189192</v>
      </c>
      <c r="BC107" s="1130">
        <v>3804469</v>
      </c>
      <c r="BD107" s="1130">
        <v>21373519</v>
      </c>
      <c r="BE107" s="1130">
        <v>27093745</v>
      </c>
      <c r="BF107" s="1130">
        <v>191026645</v>
      </c>
      <c r="BG107" s="1130">
        <v>9860501</v>
      </c>
      <c r="BH107" s="1130">
        <v>12775423</v>
      </c>
    </row>
    <row r="108" spans="1:60" x14ac:dyDescent="0.3">
      <c r="A108" s="1108"/>
      <c r="B108" s="1108">
        <v>342</v>
      </c>
      <c r="C108" s="1108" t="s">
        <v>1486</v>
      </c>
      <c r="D108" s="1108"/>
      <c r="E108" s="1108"/>
      <c r="F108" s="1108"/>
      <c r="G108" s="1108"/>
      <c r="H108" s="1108"/>
      <c r="I108" s="1108"/>
      <c r="J108" s="1108"/>
      <c r="K108" s="1108"/>
      <c r="L108" s="1108"/>
      <c r="M108" s="1108"/>
      <c r="N108" s="1108"/>
      <c r="O108" s="1108"/>
      <c r="P108" s="1108"/>
      <c r="Q108" s="1108"/>
      <c r="R108" s="1108"/>
      <c r="S108" s="1108"/>
      <c r="T108" s="1108"/>
      <c r="U108" s="1108"/>
      <c r="V108" s="1108"/>
      <c r="W108" s="1108"/>
      <c r="X108" s="1108"/>
      <c r="Y108" s="1108"/>
      <c r="Z108" s="1108"/>
      <c r="AA108" s="1108"/>
      <c r="AB108" s="1108"/>
      <c r="AC108" s="1108"/>
      <c r="AD108" s="1108"/>
      <c r="AE108" s="1108"/>
      <c r="AF108" s="1108"/>
      <c r="AG108" s="1108"/>
      <c r="AH108" s="1108"/>
      <c r="AI108" s="1108"/>
      <c r="AJ108" s="1108"/>
      <c r="AK108" s="1108"/>
      <c r="AL108" s="1108"/>
      <c r="AM108" s="1108"/>
      <c r="AN108" s="1108"/>
      <c r="AO108" s="1108"/>
      <c r="AP108" s="1108"/>
      <c r="AQ108" s="1108"/>
      <c r="AR108" s="1108"/>
      <c r="AS108" s="1108"/>
      <c r="AT108" s="1108"/>
      <c r="AU108" s="1108"/>
      <c r="AV108" s="1108"/>
      <c r="AW108" s="1108"/>
      <c r="AX108" s="1108"/>
      <c r="AY108" s="1108"/>
      <c r="AZ108" s="1108"/>
      <c r="BA108" s="1108"/>
      <c r="BB108" s="1108"/>
      <c r="BC108" s="1108"/>
      <c r="BD108" s="1108"/>
      <c r="BE108" s="1108"/>
      <c r="BF108" s="1108"/>
      <c r="BG108" s="1108"/>
      <c r="BH108" s="1108"/>
    </row>
    <row r="109" spans="1:60" x14ac:dyDescent="0.3">
      <c r="A109" s="1108"/>
      <c r="B109" s="1108">
        <v>343</v>
      </c>
      <c r="C109" s="1108" t="s">
        <v>1487</v>
      </c>
      <c r="D109" s="1108"/>
      <c r="E109" s="1108"/>
      <c r="F109" s="1108"/>
      <c r="G109" s="1108"/>
      <c r="H109" s="1108"/>
      <c r="I109" s="1108"/>
      <c r="J109" s="1108"/>
      <c r="K109" s="1108"/>
      <c r="L109" s="1108"/>
      <c r="M109" s="1108"/>
      <c r="N109" s="1108"/>
      <c r="O109" s="1108"/>
      <c r="P109" s="1108"/>
      <c r="Q109" s="1108"/>
      <c r="R109" s="1108"/>
      <c r="S109" s="1108"/>
      <c r="T109" s="1108"/>
      <c r="U109" s="1108"/>
      <c r="V109" s="1108"/>
      <c r="W109" s="1108"/>
      <c r="X109" s="1108"/>
      <c r="Y109" s="1108"/>
      <c r="Z109" s="1108"/>
      <c r="AA109" s="1108"/>
      <c r="AB109" s="1108"/>
      <c r="AC109" s="1108"/>
      <c r="AD109" s="1108"/>
      <c r="AE109" s="1108"/>
      <c r="AF109" s="1108"/>
      <c r="AG109" s="1108"/>
      <c r="AH109" s="1108"/>
      <c r="AI109" s="1108"/>
      <c r="AJ109" s="1108"/>
      <c r="AK109" s="1108"/>
      <c r="AL109" s="1108"/>
      <c r="AM109" s="1108"/>
      <c r="AN109" s="1108"/>
      <c r="AO109" s="1108"/>
      <c r="AP109" s="1108"/>
      <c r="AQ109" s="1108"/>
      <c r="AR109" s="1108"/>
      <c r="AS109" s="1108"/>
      <c r="AT109" s="1108"/>
      <c r="AU109" s="1108"/>
      <c r="AV109" s="1108"/>
      <c r="AW109" s="1108"/>
      <c r="AX109" s="1108"/>
      <c r="AY109" s="1108"/>
      <c r="AZ109" s="1108"/>
      <c r="BA109" s="1108"/>
      <c r="BB109" s="1108"/>
      <c r="BC109" s="1108"/>
      <c r="BD109" s="1108"/>
      <c r="BE109" s="1108"/>
      <c r="BF109" s="1108"/>
      <c r="BG109" s="1108"/>
      <c r="BH109" s="1108"/>
    </row>
    <row r="110" spans="1:60" x14ac:dyDescent="0.3">
      <c r="A110" s="1108"/>
      <c r="B110" s="1108">
        <v>344</v>
      </c>
      <c r="C110" s="1108" t="s">
        <v>1488</v>
      </c>
      <c r="D110" s="1108"/>
      <c r="E110" s="1108"/>
      <c r="F110" s="1108"/>
      <c r="G110" s="1108"/>
      <c r="H110" s="1108"/>
      <c r="I110" s="1108"/>
      <c r="J110" s="1108"/>
      <c r="K110" s="1108"/>
      <c r="L110" s="1108"/>
      <c r="M110" s="1108"/>
      <c r="N110" s="1108"/>
      <c r="O110" s="1108"/>
      <c r="P110" s="1108"/>
      <c r="Q110" s="1108"/>
      <c r="R110" s="1108"/>
      <c r="S110" s="1108"/>
      <c r="T110" s="1108"/>
      <c r="U110" s="1108"/>
      <c r="V110" s="1108"/>
      <c r="W110" s="1108"/>
      <c r="X110" s="1108"/>
      <c r="Y110" s="1108"/>
      <c r="Z110" s="1108"/>
      <c r="AA110" s="1108"/>
      <c r="AB110" s="1108"/>
      <c r="AC110" s="1108"/>
      <c r="AD110" s="1108"/>
      <c r="AE110" s="1108"/>
      <c r="AF110" s="1108"/>
      <c r="AG110" s="1108"/>
      <c r="AH110" s="1108"/>
      <c r="AI110" s="1108"/>
      <c r="AJ110" s="1108"/>
      <c r="AK110" s="1108"/>
      <c r="AL110" s="1108"/>
      <c r="AM110" s="1108"/>
      <c r="AN110" s="1108"/>
      <c r="AO110" s="1108"/>
      <c r="AP110" s="1108"/>
      <c r="AQ110" s="1108"/>
      <c r="AR110" s="1108"/>
      <c r="AS110" s="1108"/>
      <c r="AT110" s="1108"/>
      <c r="AU110" s="1108"/>
      <c r="AV110" s="1108"/>
      <c r="AW110" s="1108"/>
      <c r="AX110" s="1108"/>
      <c r="AY110" s="1108"/>
      <c r="AZ110" s="1108"/>
      <c r="BA110" s="1108"/>
      <c r="BB110" s="1108"/>
      <c r="BC110" s="1108"/>
      <c r="BD110" s="1108"/>
      <c r="BE110" s="1108"/>
      <c r="BF110" s="1108"/>
      <c r="BG110" s="1108"/>
      <c r="BH110" s="1108"/>
    </row>
    <row r="111" spans="1:60" x14ac:dyDescent="0.3">
      <c r="A111" s="1108"/>
      <c r="B111" s="1108">
        <v>346</v>
      </c>
      <c r="C111" s="1108" t="s">
        <v>1489</v>
      </c>
      <c r="D111" s="1108"/>
      <c r="E111" s="1108"/>
      <c r="F111" s="1108"/>
      <c r="G111" s="1108"/>
      <c r="H111" s="1108"/>
      <c r="I111" s="1108"/>
      <c r="J111" s="1108"/>
      <c r="K111" s="1108"/>
      <c r="L111" s="1108"/>
      <c r="M111" s="1108"/>
      <c r="N111" s="1108"/>
      <c r="O111" s="1108"/>
      <c r="P111" s="1108"/>
      <c r="Q111" s="1108"/>
      <c r="R111" s="1108"/>
      <c r="S111" s="1108"/>
      <c r="T111" s="1108"/>
      <c r="U111" s="1108"/>
      <c r="V111" s="1108"/>
      <c r="W111" s="1108"/>
      <c r="X111" s="1108"/>
      <c r="Y111" s="1108"/>
      <c r="Z111" s="1108"/>
      <c r="AA111" s="1108"/>
      <c r="AB111" s="1108"/>
      <c r="AC111" s="1108"/>
      <c r="AD111" s="1108"/>
      <c r="AE111" s="1108"/>
      <c r="AF111" s="1108"/>
      <c r="AG111" s="1108"/>
      <c r="AH111" s="1108"/>
      <c r="AI111" s="1108"/>
      <c r="AJ111" s="1108"/>
      <c r="AK111" s="1108"/>
      <c r="AL111" s="1108"/>
      <c r="AM111" s="1108"/>
      <c r="AN111" s="1108"/>
      <c r="AO111" s="1108"/>
      <c r="AP111" s="1108"/>
      <c r="AQ111" s="1108"/>
      <c r="AR111" s="1108"/>
      <c r="AS111" s="1108"/>
      <c r="AT111" s="1108"/>
      <c r="AU111" s="1108"/>
      <c r="AV111" s="1108"/>
      <c r="AW111" s="1108"/>
      <c r="AX111" s="1108"/>
      <c r="AY111" s="1108"/>
      <c r="AZ111" s="1108"/>
      <c r="BA111" s="1108"/>
      <c r="BB111" s="1108"/>
      <c r="BC111" s="1108"/>
      <c r="BD111" s="1108"/>
      <c r="BE111" s="1108"/>
      <c r="BF111" s="1108"/>
      <c r="BG111" s="1108"/>
      <c r="BH111" s="1108"/>
    </row>
    <row r="112" spans="1:60" x14ac:dyDescent="0.3">
      <c r="A112" s="1108"/>
      <c r="B112" s="1108">
        <v>347</v>
      </c>
      <c r="C112" s="1108" t="s">
        <v>1490</v>
      </c>
      <c r="D112" s="1108"/>
      <c r="E112" s="1108"/>
      <c r="F112" s="1108"/>
      <c r="G112" s="1108"/>
      <c r="H112" s="1108"/>
      <c r="I112" s="1108"/>
      <c r="J112" s="1108"/>
      <c r="K112" s="1108"/>
      <c r="L112" s="1108"/>
      <c r="M112" s="1108"/>
      <c r="N112" s="1108"/>
      <c r="O112" s="1108"/>
      <c r="P112" s="1108"/>
      <c r="Q112" s="1108"/>
      <c r="R112" s="1108"/>
      <c r="S112" s="1108"/>
      <c r="T112" s="1108"/>
      <c r="U112" s="1108"/>
      <c r="V112" s="1108"/>
      <c r="W112" s="1108"/>
      <c r="X112" s="1108"/>
      <c r="Y112" s="1108"/>
      <c r="Z112" s="1108"/>
      <c r="AA112" s="1108"/>
      <c r="AB112" s="1108"/>
      <c r="AC112" s="1108"/>
      <c r="AD112" s="1108"/>
      <c r="AE112" s="1108"/>
      <c r="AF112" s="1108"/>
      <c r="AG112" s="1108"/>
      <c r="AH112" s="1108"/>
      <c r="AI112" s="1108"/>
      <c r="AJ112" s="1108"/>
      <c r="AK112" s="1108"/>
      <c r="AL112" s="1108"/>
      <c r="AM112" s="1108"/>
      <c r="AN112" s="1108"/>
      <c r="AO112" s="1108"/>
      <c r="AP112" s="1108"/>
      <c r="AQ112" s="1108"/>
      <c r="AR112" s="1108"/>
      <c r="AS112" s="1108"/>
      <c r="AT112" s="1108"/>
      <c r="AU112" s="1108"/>
      <c r="AV112" s="1108"/>
      <c r="AW112" s="1108"/>
      <c r="AX112" s="1108"/>
      <c r="AY112" s="1108"/>
      <c r="AZ112" s="1108"/>
      <c r="BA112" s="1108"/>
      <c r="BB112" s="1108"/>
      <c r="BC112" s="1108"/>
      <c r="BD112" s="1108"/>
      <c r="BE112" s="1108"/>
      <c r="BF112" s="1108"/>
      <c r="BG112" s="1108"/>
      <c r="BH112" s="1108"/>
    </row>
    <row r="113" spans="1:60" x14ac:dyDescent="0.3">
      <c r="A113" s="1108"/>
      <c r="B113" s="1108">
        <v>349</v>
      </c>
      <c r="C113" s="1108" t="s">
        <v>1491</v>
      </c>
      <c r="D113" s="1108"/>
      <c r="E113" s="1108"/>
      <c r="F113" s="1108"/>
      <c r="G113" s="1108"/>
      <c r="H113" s="1108"/>
      <c r="I113" s="1108"/>
      <c r="J113" s="1108"/>
      <c r="K113" s="1108"/>
      <c r="L113" s="1108"/>
      <c r="M113" s="1108"/>
      <c r="N113" s="1108"/>
      <c r="O113" s="1108"/>
      <c r="P113" s="1108"/>
      <c r="Q113" s="1108"/>
      <c r="R113" s="1108"/>
      <c r="S113" s="1108"/>
      <c r="T113" s="1108"/>
      <c r="U113" s="1108"/>
      <c r="V113" s="1108"/>
      <c r="W113" s="1108"/>
      <c r="X113" s="1108"/>
      <c r="Y113" s="1108"/>
      <c r="Z113" s="1108"/>
      <c r="AA113" s="1108"/>
      <c r="AB113" s="1108"/>
      <c r="AC113" s="1108"/>
      <c r="AD113" s="1108"/>
      <c r="AE113" s="1108"/>
      <c r="AF113" s="1108"/>
      <c r="AG113" s="1108"/>
      <c r="AH113" s="1108"/>
      <c r="AI113" s="1108"/>
      <c r="AJ113" s="1108"/>
      <c r="AK113" s="1108"/>
      <c r="AL113" s="1108"/>
      <c r="AM113" s="1108"/>
      <c r="AN113" s="1108"/>
      <c r="AO113" s="1108"/>
      <c r="AP113" s="1108"/>
      <c r="AQ113" s="1108"/>
      <c r="AR113" s="1108"/>
      <c r="AS113" s="1108"/>
      <c r="AT113" s="1108"/>
      <c r="AU113" s="1108"/>
      <c r="AV113" s="1108"/>
      <c r="AW113" s="1108"/>
      <c r="AX113" s="1108"/>
      <c r="AY113" s="1108"/>
      <c r="AZ113" s="1108"/>
      <c r="BA113" s="1108"/>
      <c r="BB113" s="1108"/>
      <c r="BC113" s="1108"/>
      <c r="BD113" s="1108"/>
      <c r="BE113" s="1108"/>
      <c r="BF113" s="1108"/>
      <c r="BG113" s="1108"/>
      <c r="BH113" s="1108"/>
    </row>
    <row r="114" spans="1:60" x14ac:dyDescent="0.3">
      <c r="A114" s="1108"/>
      <c r="B114" s="1108">
        <v>350</v>
      </c>
      <c r="C114" s="1108" t="s">
        <v>1492</v>
      </c>
      <c r="D114" s="1108"/>
      <c r="E114" s="1108"/>
      <c r="F114" s="1108"/>
      <c r="G114" s="1108"/>
      <c r="H114" s="1108"/>
      <c r="I114" s="1108"/>
      <c r="J114" s="1108"/>
      <c r="K114" s="1108"/>
      <c r="L114" s="1108"/>
      <c r="M114" s="1108"/>
      <c r="N114" s="1108"/>
      <c r="O114" s="1108"/>
      <c r="P114" s="1108"/>
      <c r="Q114" s="1108"/>
      <c r="R114" s="1108"/>
      <c r="S114" s="1108"/>
      <c r="T114" s="1108"/>
      <c r="U114" s="1108"/>
      <c r="V114" s="1108"/>
      <c r="W114" s="1108"/>
      <c r="X114" s="1108"/>
      <c r="Y114" s="1108"/>
      <c r="Z114" s="1108"/>
      <c r="AA114" s="1108"/>
      <c r="AB114" s="1108"/>
      <c r="AC114" s="1108"/>
      <c r="AD114" s="1108"/>
      <c r="AE114" s="1108"/>
      <c r="AF114" s="1108"/>
      <c r="AG114" s="1108"/>
      <c r="AH114" s="1108"/>
      <c r="AI114" s="1108"/>
      <c r="AJ114" s="1108"/>
      <c r="AK114" s="1108"/>
      <c r="AL114" s="1108"/>
      <c r="AM114" s="1108"/>
      <c r="AN114" s="1108"/>
      <c r="AO114" s="1108"/>
      <c r="AP114" s="1108"/>
      <c r="AQ114" s="1108"/>
      <c r="AR114" s="1108"/>
      <c r="AS114" s="1108"/>
      <c r="AT114" s="1108"/>
      <c r="AU114" s="1108"/>
      <c r="AV114" s="1108"/>
      <c r="AW114" s="1108"/>
      <c r="AX114" s="1108"/>
      <c r="AY114" s="1108"/>
      <c r="AZ114" s="1108"/>
      <c r="BA114" s="1108"/>
      <c r="BB114" s="1108"/>
      <c r="BC114" s="1108"/>
      <c r="BD114" s="1108"/>
      <c r="BE114" s="1108"/>
      <c r="BF114" s="1108"/>
      <c r="BG114" s="1108"/>
      <c r="BH114" s="1108"/>
    </row>
    <row r="115" spans="1:60" x14ac:dyDescent="0.3">
      <c r="A115" s="1108"/>
      <c r="B115" s="1108">
        <v>351</v>
      </c>
      <c r="C115" s="1108" t="s">
        <v>1493</v>
      </c>
      <c r="D115" s="1108"/>
      <c r="E115" s="1108"/>
      <c r="F115" s="1108"/>
      <c r="G115" s="1108"/>
      <c r="H115" s="1108"/>
      <c r="I115" s="1108"/>
      <c r="J115" s="1108"/>
      <c r="K115" s="1108"/>
      <c r="L115" s="1108"/>
      <c r="M115" s="1108"/>
      <c r="N115" s="1108"/>
      <c r="O115" s="1108"/>
      <c r="P115" s="1108"/>
      <c r="Q115" s="1108"/>
      <c r="R115" s="1108"/>
      <c r="S115" s="1108"/>
      <c r="T115" s="1108"/>
      <c r="U115" s="1108"/>
      <c r="V115" s="1108"/>
      <c r="W115" s="1108"/>
      <c r="X115" s="1108"/>
      <c r="Y115" s="1108"/>
      <c r="Z115" s="1108"/>
      <c r="AA115" s="1108"/>
      <c r="AB115" s="1108"/>
      <c r="AC115" s="1108"/>
      <c r="AD115" s="1108"/>
      <c r="AE115" s="1108"/>
      <c r="AF115" s="1108"/>
      <c r="AG115" s="1108"/>
      <c r="AH115" s="1108"/>
      <c r="AI115" s="1108"/>
      <c r="AJ115" s="1108"/>
      <c r="AK115" s="1108"/>
      <c r="AL115" s="1108"/>
      <c r="AM115" s="1108"/>
      <c r="AN115" s="1108"/>
      <c r="AO115" s="1108"/>
      <c r="AP115" s="1108"/>
      <c r="AQ115" s="1108"/>
      <c r="AR115" s="1108"/>
      <c r="AS115" s="1108"/>
      <c r="AT115" s="1108"/>
      <c r="AU115" s="1108"/>
      <c r="AV115" s="1108"/>
      <c r="AW115" s="1108"/>
      <c r="AX115" s="1108"/>
      <c r="AY115" s="1108"/>
      <c r="AZ115" s="1108"/>
      <c r="BA115" s="1108"/>
      <c r="BB115" s="1108"/>
      <c r="BC115" s="1108"/>
      <c r="BD115" s="1108"/>
      <c r="BE115" s="1108"/>
      <c r="BF115" s="1108"/>
      <c r="BG115" s="1108"/>
      <c r="BH115" s="1108"/>
    </row>
    <row r="116" spans="1:60" x14ac:dyDescent="0.3">
      <c r="A116" s="1108"/>
      <c r="B116" s="1108">
        <v>352</v>
      </c>
      <c r="C116" s="1108" t="s">
        <v>1494</v>
      </c>
      <c r="D116" s="1108"/>
      <c r="E116" s="1108"/>
      <c r="F116" s="1108"/>
      <c r="G116" s="1108"/>
      <c r="H116" s="1108"/>
      <c r="I116" s="1108"/>
      <c r="J116" s="1108"/>
      <c r="K116" s="1108"/>
      <c r="L116" s="1108"/>
      <c r="M116" s="1108"/>
      <c r="N116" s="1108"/>
      <c r="O116" s="1108"/>
      <c r="P116" s="1108"/>
      <c r="Q116" s="1108"/>
      <c r="R116" s="1108"/>
      <c r="S116" s="1108"/>
      <c r="T116" s="1108"/>
      <c r="U116" s="1108"/>
      <c r="V116" s="1108"/>
      <c r="W116" s="1108"/>
      <c r="X116" s="1108"/>
      <c r="Y116" s="1108"/>
      <c r="Z116" s="1108"/>
      <c r="AA116" s="1108"/>
      <c r="AB116" s="1108"/>
      <c r="AC116" s="1108"/>
      <c r="AD116" s="1108"/>
      <c r="AE116" s="1108"/>
      <c r="AF116" s="1108"/>
      <c r="AG116" s="1108"/>
      <c r="AH116" s="1108"/>
      <c r="AI116" s="1108"/>
      <c r="AJ116" s="1108"/>
      <c r="AK116" s="1108"/>
      <c r="AL116" s="1108"/>
      <c r="AM116" s="1108"/>
      <c r="AN116" s="1108"/>
      <c r="AO116" s="1108"/>
      <c r="AP116" s="1108"/>
      <c r="AQ116" s="1108"/>
      <c r="AR116" s="1108"/>
      <c r="AS116" s="1108"/>
      <c r="AT116" s="1108"/>
      <c r="AU116" s="1108"/>
      <c r="AV116" s="1108"/>
      <c r="AW116" s="1108"/>
      <c r="AX116" s="1108"/>
      <c r="AY116" s="1108"/>
      <c r="AZ116" s="1108"/>
      <c r="BA116" s="1108"/>
      <c r="BB116" s="1108"/>
      <c r="BC116" s="1108"/>
      <c r="BD116" s="1108"/>
      <c r="BE116" s="1108"/>
      <c r="BF116" s="1108"/>
      <c r="BG116" s="1108"/>
      <c r="BH116" s="1108"/>
    </row>
    <row r="117" spans="1:60" x14ac:dyDescent="0.3">
      <c r="A117" s="1108"/>
      <c r="B117" s="1108">
        <v>353</v>
      </c>
      <c r="C117" s="1108" t="s">
        <v>1495</v>
      </c>
      <c r="D117" s="1108"/>
      <c r="E117" s="1108"/>
      <c r="F117" s="1108"/>
      <c r="G117" s="1108"/>
      <c r="H117" s="1108"/>
      <c r="I117" s="1108"/>
      <c r="J117" s="1108"/>
      <c r="K117" s="1108"/>
      <c r="L117" s="1108"/>
      <c r="M117" s="1108"/>
      <c r="N117" s="1108"/>
      <c r="O117" s="1108"/>
      <c r="P117" s="1108"/>
      <c r="Q117" s="1108"/>
      <c r="R117" s="1108"/>
      <c r="S117" s="1108"/>
      <c r="T117" s="1108"/>
      <c r="U117" s="1108"/>
      <c r="V117" s="1108"/>
      <c r="W117" s="1108"/>
      <c r="X117" s="1108"/>
      <c r="Y117" s="1108"/>
      <c r="Z117" s="1108"/>
      <c r="AA117" s="1108"/>
      <c r="AB117" s="1108"/>
      <c r="AC117" s="1108"/>
      <c r="AD117" s="1108"/>
      <c r="AE117" s="1108"/>
      <c r="AF117" s="1108"/>
      <c r="AG117" s="1108"/>
      <c r="AH117" s="1108"/>
      <c r="AI117" s="1108"/>
      <c r="AJ117" s="1108"/>
      <c r="AK117" s="1108"/>
      <c r="AL117" s="1108"/>
      <c r="AM117" s="1108"/>
      <c r="AN117" s="1108"/>
      <c r="AO117" s="1108"/>
      <c r="AP117" s="1108"/>
      <c r="AQ117" s="1108"/>
      <c r="AR117" s="1108"/>
      <c r="AS117" s="1108"/>
      <c r="AT117" s="1108"/>
      <c r="AU117" s="1108"/>
      <c r="AV117" s="1108"/>
      <c r="AW117" s="1108"/>
      <c r="AX117" s="1108"/>
      <c r="AY117" s="1108"/>
      <c r="AZ117" s="1108"/>
      <c r="BA117" s="1108"/>
      <c r="BB117" s="1108"/>
      <c r="BC117" s="1108"/>
      <c r="BD117" s="1108"/>
      <c r="BE117" s="1108"/>
      <c r="BF117" s="1108"/>
      <c r="BG117" s="1108"/>
      <c r="BH117" s="1108"/>
    </row>
    <row r="118" spans="1:60" x14ac:dyDescent="0.3">
      <c r="A118" s="1108"/>
      <c r="B118" s="1108">
        <v>356</v>
      </c>
      <c r="C118" s="1108" t="s">
        <v>1496</v>
      </c>
      <c r="D118" s="1108"/>
      <c r="E118" s="1108"/>
      <c r="F118" s="1108"/>
      <c r="G118" s="1108"/>
      <c r="H118" s="1108"/>
      <c r="I118" s="1108"/>
      <c r="J118" s="1108"/>
      <c r="K118" s="1108"/>
      <c r="L118" s="1108"/>
      <c r="M118" s="1108"/>
      <c r="N118" s="1108"/>
      <c r="O118" s="1108"/>
      <c r="P118" s="1108"/>
      <c r="Q118" s="1108"/>
      <c r="R118" s="1108"/>
      <c r="S118" s="1108"/>
      <c r="T118" s="1108"/>
      <c r="U118" s="1108"/>
      <c r="V118" s="1108"/>
      <c r="W118" s="1108"/>
      <c r="X118" s="1108"/>
      <c r="Y118" s="1108"/>
      <c r="Z118" s="1108"/>
      <c r="AA118" s="1108"/>
      <c r="AB118" s="1108"/>
      <c r="AC118" s="1108"/>
      <c r="AD118" s="1108"/>
      <c r="AE118" s="1108"/>
      <c r="AF118" s="1108"/>
      <c r="AG118" s="1108"/>
      <c r="AH118" s="1108"/>
      <c r="AI118" s="1108"/>
      <c r="AJ118" s="1108"/>
      <c r="AK118" s="1108"/>
      <c r="AL118" s="1108"/>
      <c r="AM118" s="1108"/>
      <c r="AN118" s="1108"/>
      <c r="AO118" s="1108"/>
      <c r="AP118" s="1108"/>
      <c r="AQ118" s="1108"/>
      <c r="AR118" s="1108"/>
      <c r="AS118" s="1108"/>
      <c r="AT118" s="1108"/>
      <c r="AU118" s="1108"/>
      <c r="AV118" s="1108"/>
      <c r="AW118" s="1108"/>
      <c r="AX118" s="1108"/>
      <c r="AY118" s="1108"/>
      <c r="AZ118" s="1108"/>
      <c r="BA118" s="1108"/>
      <c r="BB118" s="1108"/>
      <c r="BC118" s="1108"/>
      <c r="BD118" s="1108"/>
      <c r="BE118" s="1108"/>
      <c r="BF118" s="1108"/>
      <c r="BG118" s="1108"/>
      <c r="BH118" s="1108"/>
    </row>
    <row r="119" spans="1:60" x14ac:dyDescent="0.3">
      <c r="A119" s="1108"/>
      <c r="B119" s="1108">
        <v>357</v>
      </c>
      <c r="C119" s="1108" t="s">
        <v>1497</v>
      </c>
      <c r="D119" s="1108"/>
      <c r="E119" s="1108"/>
      <c r="F119" s="1108"/>
      <c r="G119" s="1108"/>
      <c r="H119" s="1108"/>
      <c r="I119" s="1108"/>
      <c r="J119" s="1108"/>
      <c r="K119" s="1108"/>
      <c r="L119" s="1108"/>
      <c r="M119" s="1108"/>
      <c r="N119" s="1108"/>
      <c r="O119" s="1108"/>
      <c r="P119" s="1108"/>
      <c r="Q119" s="1108"/>
      <c r="R119" s="1108"/>
      <c r="S119" s="1108"/>
      <c r="T119" s="1108"/>
      <c r="U119" s="1108"/>
      <c r="V119" s="1108"/>
      <c r="W119" s="1108"/>
      <c r="X119" s="1108"/>
      <c r="Y119" s="1108"/>
      <c r="Z119" s="1108"/>
      <c r="AA119" s="1108"/>
      <c r="AB119" s="1108"/>
      <c r="AC119" s="1108"/>
      <c r="AD119" s="1108"/>
      <c r="AE119" s="1108"/>
      <c r="AF119" s="1108"/>
      <c r="AG119" s="1108"/>
      <c r="AH119" s="1108"/>
      <c r="AI119" s="1108"/>
      <c r="AJ119" s="1108"/>
      <c r="AK119" s="1108"/>
      <c r="AL119" s="1108"/>
      <c r="AM119" s="1108"/>
      <c r="AN119" s="1108"/>
      <c r="AO119" s="1108"/>
      <c r="AP119" s="1108"/>
      <c r="AQ119" s="1108"/>
      <c r="AR119" s="1108"/>
      <c r="AS119" s="1108"/>
      <c r="AT119" s="1108"/>
      <c r="AU119" s="1108"/>
      <c r="AV119" s="1108"/>
      <c r="AW119" s="1108"/>
      <c r="AX119" s="1108"/>
      <c r="AY119" s="1108"/>
      <c r="AZ119" s="1108"/>
      <c r="BA119" s="1108"/>
      <c r="BB119" s="1108"/>
      <c r="BC119" s="1108"/>
      <c r="BD119" s="1108"/>
      <c r="BE119" s="1108"/>
      <c r="BF119" s="1108"/>
      <c r="BG119" s="1108"/>
      <c r="BH119" s="1108"/>
    </row>
    <row r="120" spans="1:60" x14ac:dyDescent="0.3">
      <c r="A120" s="1108"/>
      <c r="B120" s="1108">
        <v>359</v>
      </c>
      <c r="C120" s="1108" t="s">
        <v>1498</v>
      </c>
      <c r="D120" s="1108"/>
      <c r="E120" s="1108"/>
      <c r="F120" s="1108"/>
      <c r="G120" s="1108"/>
      <c r="H120" s="1108"/>
      <c r="I120" s="1108"/>
      <c r="J120" s="1108"/>
      <c r="K120" s="1108"/>
      <c r="L120" s="1108"/>
      <c r="M120" s="1108"/>
      <c r="N120" s="1108"/>
      <c r="O120" s="1108"/>
      <c r="P120" s="1108"/>
      <c r="Q120" s="1108"/>
      <c r="R120" s="1108"/>
      <c r="S120" s="1108"/>
      <c r="T120" s="1108"/>
      <c r="U120" s="1108"/>
      <c r="V120" s="1108"/>
      <c r="W120" s="1108"/>
      <c r="X120" s="1108"/>
      <c r="Y120" s="1108"/>
      <c r="Z120" s="1108"/>
      <c r="AA120" s="1108"/>
      <c r="AB120" s="1108"/>
      <c r="AC120" s="1108"/>
      <c r="AD120" s="1108"/>
      <c r="AE120" s="1108"/>
      <c r="AF120" s="1108"/>
      <c r="AG120" s="1108"/>
      <c r="AH120" s="1108"/>
      <c r="AI120" s="1108"/>
      <c r="AJ120" s="1108"/>
      <c r="AK120" s="1108"/>
      <c r="AL120" s="1108"/>
      <c r="AM120" s="1108"/>
      <c r="AN120" s="1108"/>
      <c r="AO120" s="1108"/>
      <c r="AP120" s="1108"/>
      <c r="AQ120" s="1108"/>
      <c r="AR120" s="1108"/>
      <c r="AS120" s="1108"/>
      <c r="AT120" s="1108"/>
      <c r="AU120" s="1108"/>
      <c r="AV120" s="1108"/>
      <c r="AW120" s="1108"/>
      <c r="AX120" s="1108"/>
      <c r="AY120" s="1108"/>
      <c r="AZ120" s="1108"/>
      <c r="BA120" s="1108"/>
      <c r="BB120" s="1108"/>
      <c r="BC120" s="1108"/>
      <c r="BD120" s="1108"/>
      <c r="BE120" s="1108"/>
      <c r="BF120" s="1108"/>
      <c r="BG120" s="1108"/>
      <c r="BH120" s="1108"/>
    </row>
    <row r="121" spans="1:60" x14ac:dyDescent="0.3">
      <c r="A121" s="1108"/>
      <c r="B121" s="1108">
        <v>360</v>
      </c>
      <c r="C121" s="1108" t="s">
        <v>1499</v>
      </c>
      <c r="D121" s="1108"/>
      <c r="E121" s="1108"/>
      <c r="F121" s="1108"/>
      <c r="G121" s="1108"/>
      <c r="H121" s="1108"/>
      <c r="I121" s="1108"/>
      <c r="J121" s="1108"/>
      <c r="K121" s="1108"/>
      <c r="L121" s="1108"/>
      <c r="M121" s="1108"/>
      <c r="N121" s="1108"/>
      <c r="O121" s="1108"/>
      <c r="P121" s="1108"/>
      <c r="Q121" s="1108"/>
      <c r="R121" s="1108"/>
      <c r="S121" s="1108"/>
      <c r="T121" s="1108"/>
      <c r="U121" s="1108"/>
      <c r="V121" s="1108"/>
      <c r="W121" s="1108"/>
      <c r="X121" s="1108"/>
      <c r="Y121" s="1108"/>
      <c r="Z121" s="1108"/>
      <c r="AA121" s="1108"/>
      <c r="AB121" s="1108"/>
      <c r="AC121" s="1108"/>
      <c r="AD121" s="1108"/>
      <c r="AE121" s="1108"/>
      <c r="AF121" s="1108"/>
      <c r="AG121" s="1108"/>
      <c r="AH121" s="1108"/>
      <c r="AI121" s="1108"/>
      <c r="AJ121" s="1108"/>
      <c r="AK121" s="1108"/>
      <c r="AL121" s="1108"/>
      <c r="AM121" s="1108"/>
      <c r="AN121" s="1108"/>
      <c r="AO121" s="1108"/>
      <c r="AP121" s="1108"/>
      <c r="AQ121" s="1108"/>
      <c r="AR121" s="1108"/>
      <c r="AS121" s="1108"/>
      <c r="AT121" s="1108"/>
      <c r="AU121" s="1108"/>
      <c r="AV121" s="1108"/>
      <c r="AW121" s="1108"/>
      <c r="AX121" s="1108"/>
      <c r="AY121" s="1108"/>
      <c r="AZ121" s="1108"/>
      <c r="BA121" s="1108"/>
      <c r="BB121" s="1108"/>
      <c r="BC121" s="1108"/>
      <c r="BD121" s="1108"/>
      <c r="BE121" s="1108"/>
      <c r="BF121" s="1108"/>
      <c r="BG121" s="1108"/>
      <c r="BH121" s="1108"/>
    </row>
    <row r="122" spans="1:60" x14ac:dyDescent="0.3">
      <c r="A122" s="1108"/>
      <c r="B122" s="1108">
        <v>361</v>
      </c>
      <c r="C122" s="1108" t="s">
        <v>1500</v>
      </c>
      <c r="D122" s="1108"/>
      <c r="E122" s="1108"/>
      <c r="F122" s="1108"/>
      <c r="G122" s="1108"/>
      <c r="H122" s="1108"/>
      <c r="I122" s="1108"/>
      <c r="J122" s="1108"/>
      <c r="K122" s="1108"/>
      <c r="L122" s="1108"/>
      <c r="M122" s="1108"/>
      <c r="N122" s="1108"/>
      <c r="O122" s="1108"/>
      <c r="P122" s="1108"/>
      <c r="Q122" s="1108"/>
      <c r="R122" s="1108"/>
      <c r="S122" s="1108"/>
      <c r="T122" s="1108"/>
      <c r="U122" s="1108"/>
      <c r="V122" s="1108"/>
      <c r="W122" s="1108"/>
      <c r="X122" s="1108"/>
      <c r="Y122" s="1108"/>
      <c r="Z122" s="1108"/>
      <c r="AA122" s="1108"/>
      <c r="AB122" s="1108"/>
      <c r="AC122" s="1108"/>
      <c r="AD122" s="1108"/>
      <c r="AE122" s="1108"/>
      <c r="AF122" s="1108"/>
      <c r="AG122" s="1108"/>
      <c r="AH122" s="1108"/>
      <c r="AI122" s="1108"/>
      <c r="AJ122" s="1108"/>
      <c r="AK122" s="1108"/>
      <c r="AL122" s="1108"/>
      <c r="AM122" s="1108"/>
      <c r="AN122" s="1108"/>
      <c r="AO122" s="1108"/>
      <c r="AP122" s="1108"/>
      <c r="AQ122" s="1108"/>
      <c r="AR122" s="1108"/>
      <c r="AS122" s="1108"/>
      <c r="AT122" s="1108"/>
      <c r="AU122" s="1108"/>
      <c r="AV122" s="1108"/>
      <c r="AW122" s="1108"/>
      <c r="AX122" s="1108"/>
      <c r="AY122" s="1108"/>
      <c r="AZ122" s="1108"/>
      <c r="BA122" s="1108"/>
      <c r="BB122" s="1108"/>
      <c r="BC122" s="1108"/>
      <c r="BD122" s="1108"/>
      <c r="BE122" s="1108"/>
      <c r="BF122" s="1108"/>
      <c r="BG122" s="1108"/>
      <c r="BH122" s="1108"/>
    </row>
    <row r="123" spans="1:60" x14ac:dyDescent="0.3">
      <c r="A123" s="1108"/>
      <c r="B123" s="1108">
        <v>362</v>
      </c>
      <c r="C123" s="1108" t="s">
        <v>1501</v>
      </c>
      <c r="D123" s="1108"/>
      <c r="E123" s="1108"/>
      <c r="F123" s="1108"/>
      <c r="G123" s="1108"/>
      <c r="H123" s="1108"/>
      <c r="I123" s="1108"/>
      <c r="J123" s="1108"/>
      <c r="K123" s="1108"/>
      <c r="L123" s="1108"/>
      <c r="M123" s="1108"/>
      <c r="N123" s="1108"/>
      <c r="O123" s="1108"/>
      <c r="P123" s="1108"/>
      <c r="Q123" s="1108"/>
      <c r="R123" s="1108"/>
      <c r="S123" s="1108"/>
      <c r="T123" s="1108"/>
      <c r="U123" s="1108"/>
      <c r="V123" s="1108"/>
      <c r="W123" s="1108"/>
      <c r="X123" s="1108"/>
      <c r="Y123" s="1108"/>
      <c r="Z123" s="1108"/>
      <c r="AA123" s="1108"/>
      <c r="AB123" s="1108"/>
      <c r="AC123" s="1108"/>
      <c r="AD123" s="1108"/>
      <c r="AE123" s="1108"/>
      <c r="AF123" s="1108"/>
      <c r="AG123" s="1108"/>
      <c r="AH123" s="1108"/>
      <c r="AI123" s="1108"/>
      <c r="AJ123" s="1108"/>
      <c r="AK123" s="1108"/>
      <c r="AL123" s="1108"/>
      <c r="AM123" s="1108"/>
      <c r="AN123" s="1108"/>
      <c r="AO123" s="1108"/>
      <c r="AP123" s="1108"/>
      <c r="AQ123" s="1108"/>
      <c r="AR123" s="1108"/>
      <c r="AS123" s="1108"/>
      <c r="AT123" s="1108"/>
      <c r="AU123" s="1108"/>
      <c r="AV123" s="1108"/>
      <c r="AW123" s="1108"/>
      <c r="AX123" s="1108"/>
      <c r="AY123" s="1108"/>
      <c r="AZ123" s="1108"/>
      <c r="BA123" s="1108"/>
      <c r="BB123" s="1108"/>
      <c r="BC123" s="1108"/>
      <c r="BD123" s="1108"/>
      <c r="BE123" s="1108"/>
      <c r="BF123" s="1108"/>
      <c r="BG123" s="1108"/>
      <c r="BH123" s="1108"/>
    </row>
    <row r="124" spans="1:60" x14ac:dyDescent="0.3">
      <c r="A124" s="1108"/>
      <c r="B124" s="1108">
        <v>363</v>
      </c>
      <c r="C124" s="1108" t="s">
        <v>1502</v>
      </c>
      <c r="D124" s="1108"/>
      <c r="E124" s="1108"/>
      <c r="F124" s="1108"/>
      <c r="G124" s="1108"/>
      <c r="H124" s="1108"/>
      <c r="I124" s="1108"/>
      <c r="J124" s="1108"/>
      <c r="K124" s="1108"/>
      <c r="L124" s="1108"/>
      <c r="M124" s="1108"/>
      <c r="N124" s="1108"/>
      <c r="O124" s="1108"/>
      <c r="P124" s="1108"/>
      <c r="Q124" s="1108"/>
      <c r="R124" s="1108"/>
      <c r="S124" s="1108"/>
      <c r="T124" s="1108"/>
      <c r="U124" s="1108"/>
      <c r="V124" s="1108"/>
      <c r="W124" s="1108"/>
      <c r="X124" s="1108"/>
      <c r="Y124" s="1108"/>
      <c r="Z124" s="1108"/>
      <c r="AA124" s="1108"/>
      <c r="AB124" s="1108"/>
      <c r="AC124" s="1108"/>
      <c r="AD124" s="1108"/>
      <c r="AE124" s="1108"/>
      <c r="AF124" s="1108"/>
      <c r="AG124" s="1108"/>
      <c r="AH124" s="1108"/>
      <c r="AI124" s="1108"/>
      <c r="AJ124" s="1108"/>
      <c r="AK124" s="1108"/>
      <c r="AL124" s="1108"/>
      <c r="AM124" s="1108"/>
      <c r="AN124" s="1108"/>
      <c r="AO124" s="1108"/>
      <c r="AP124" s="1108"/>
      <c r="AQ124" s="1108"/>
      <c r="AR124" s="1108"/>
      <c r="AS124" s="1108"/>
      <c r="AT124" s="1108"/>
      <c r="AU124" s="1108"/>
      <c r="AV124" s="1108"/>
      <c r="AW124" s="1108"/>
      <c r="AX124" s="1108"/>
      <c r="AY124" s="1108"/>
      <c r="AZ124" s="1108"/>
      <c r="BA124" s="1108"/>
      <c r="BB124" s="1108"/>
      <c r="BC124" s="1108"/>
      <c r="BD124" s="1108"/>
      <c r="BE124" s="1108"/>
      <c r="BF124" s="1108"/>
      <c r="BG124" s="1108"/>
      <c r="BH124" s="1108"/>
    </row>
    <row r="125" spans="1:60" x14ac:dyDescent="0.3">
      <c r="A125" s="1108"/>
      <c r="B125" s="1108">
        <v>364</v>
      </c>
      <c r="C125" s="1108" t="s">
        <v>1503</v>
      </c>
      <c r="D125" s="1108"/>
      <c r="E125" s="1108"/>
      <c r="F125" s="1108"/>
      <c r="G125" s="1108"/>
      <c r="H125" s="1108"/>
      <c r="I125" s="1108"/>
      <c r="J125" s="1108"/>
      <c r="K125" s="1108"/>
      <c r="L125" s="1108"/>
      <c r="M125" s="1108"/>
      <c r="N125" s="1108"/>
      <c r="O125" s="1108"/>
      <c r="P125" s="1108"/>
      <c r="Q125" s="1108"/>
      <c r="R125" s="1108"/>
      <c r="S125" s="1108"/>
      <c r="T125" s="1108"/>
      <c r="U125" s="1108"/>
      <c r="V125" s="1108"/>
      <c r="W125" s="1108"/>
      <c r="X125" s="1108"/>
      <c r="Y125" s="1108"/>
      <c r="Z125" s="1108"/>
      <c r="AA125" s="1108"/>
      <c r="AB125" s="1108"/>
      <c r="AC125" s="1108"/>
      <c r="AD125" s="1108"/>
      <c r="AE125" s="1108"/>
      <c r="AF125" s="1108"/>
      <c r="AG125" s="1108"/>
      <c r="AH125" s="1108"/>
      <c r="AI125" s="1108"/>
      <c r="AJ125" s="1108"/>
      <c r="AK125" s="1108"/>
      <c r="AL125" s="1108"/>
      <c r="AM125" s="1108"/>
      <c r="AN125" s="1108"/>
      <c r="AO125" s="1108"/>
      <c r="AP125" s="1108"/>
      <c r="AQ125" s="1108"/>
      <c r="AR125" s="1108"/>
      <c r="AS125" s="1108"/>
      <c r="AT125" s="1108"/>
      <c r="AU125" s="1108"/>
      <c r="AV125" s="1108"/>
      <c r="AW125" s="1108"/>
      <c r="AX125" s="1108"/>
      <c r="AY125" s="1108"/>
      <c r="AZ125" s="1108"/>
      <c r="BA125" s="1108"/>
      <c r="BB125" s="1108"/>
      <c r="BC125" s="1108"/>
      <c r="BD125" s="1108"/>
      <c r="BE125" s="1108"/>
      <c r="BF125" s="1108"/>
      <c r="BG125" s="1108"/>
      <c r="BH125" s="1108"/>
    </row>
    <row r="126" spans="1:60" x14ac:dyDescent="0.3">
      <c r="A126" s="1108"/>
      <c r="B126" s="1108">
        <v>365</v>
      </c>
      <c r="C126" s="1108" t="s">
        <v>1504</v>
      </c>
      <c r="D126" s="1108"/>
      <c r="E126" s="1108"/>
      <c r="F126" s="1108"/>
      <c r="G126" s="1108"/>
      <c r="H126" s="1108"/>
      <c r="I126" s="1108"/>
      <c r="J126" s="1108"/>
      <c r="K126" s="1108"/>
      <c r="L126" s="1108"/>
      <c r="M126" s="1108"/>
      <c r="N126" s="1108"/>
      <c r="O126" s="1108"/>
      <c r="P126" s="1108"/>
      <c r="Q126" s="1108"/>
      <c r="R126" s="1108"/>
      <c r="S126" s="1108"/>
      <c r="T126" s="1108"/>
      <c r="U126" s="1108"/>
      <c r="V126" s="1108"/>
      <c r="W126" s="1108"/>
      <c r="X126" s="1108"/>
      <c r="Y126" s="1108"/>
      <c r="Z126" s="1108"/>
      <c r="AA126" s="1108"/>
      <c r="AB126" s="1108"/>
      <c r="AC126" s="1108"/>
      <c r="AD126" s="1108"/>
      <c r="AE126" s="1108"/>
      <c r="AF126" s="1108"/>
      <c r="AG126" s="1108"/>
      <c r="AH126" s="1108"/>
      <c r="AI126" s="1108"/>
      <c r="AJ126" s="1108"/>
      <c r="AK126" s="1108"/>
      <c r="AL126" s="1108"/>
      <c r="AM126" s="1108"/>
      <c r="AN126" s="1108"/>
      <c r="AO126" s="1108"/>
      <c r="AP126" s="1108"/>
      <c r="AQ126" s="1108"/>
      <c r="AR126" s="1108"/>
      <c r="AS126" s="1108"/>
      <c r="AT126" s="1108"/>
      <c r="AU126" s="1108"/>
      <c r="AV126" s="1108"/>
      <c r="AW126" s="1108"/>
      <c r="AX126" s="1108"/>
      <c r="AY126" s="1108"/>
      <c r="AZ126" s="1108"/>
      <c r="BA126" s="1108"/>
      <c r="BB126" s="1108"/>
      <c r="BC126" s="1108"/>
      <c r="BD126" s="1108"/>
      <c r="BE126" s="1108"/>
      <c r="BF126" s="1108"/>
      <c r="BG126" s="1108"/>
      <c r="BH126" s="1108"/>
    </row>
    <row r="127" spans="1:60" x14ac:dyDescent="0.3">
      <c r="A127" s="1108"/>
      <c r="B127" s="1108">
        <v>366</v>
      </c>
      <c r="C127" s="1108" t="s">
        <v>1505</v>
      </c>
      <c r="D127" s="1108"/>
      <c r="E127" s="1108"/>
      <c r="F127" s="1108"/>
      <c r="G127" s="1108"/>
      <c r="H127" s="1108"/>
      <c r="I127" s="1108"/>
      <c r="J127" s="1108"/>
      <c r="K127" s="1108"/>
      <c r="L127" s="1108"/>
      <c r="M127" s="1108"/>
      <c r="N127" s="1108"/>
      <c r="O127" s="1108"/>
      <c r="P127" s="1108"/>
      <c r="Q127" s="1108"/>
      <c r="R127" s="1108"/>
      <c r="S127" s="1108"/>
      <c r="T127" s="1108"/>
      <c r="U127" s="1108"/>
      <c r="V127" s="1108"/>
      <c r="W127" s="1108"/>
      <c r="X127" s="1108"/>
      <c r="Y127" s="1108"/>
      <c r="Z127" s="1108"/>
      <c r="AA127" s="1108"/>
      <c r="AB127" s="1108"/>
      <c r="AC127" s="1108"/>
      <c r="AD127" s="1108"/>
      <c r="AE127" s="1108"/>
      <c r="AF127" s="1108"/>
      <c r="AG127" s="1108"/>
      <c r="AH127" s="1108"/>
      <c r="AI127" s="1108"/>
      <c r="AJ127" s="1108"/>
      <c r="AK127" s="1108"/>
      <c r="AL127" s="1108"/>
      <c r="AM127" s="1108"/>
      <c r="AN127" s="1108"/>
      <c r="AO127" s="1108"/>
      <c r="AP127" s="1108"/>
      <c r="AQ127" s="1108"/>
      <c r="AR127" s="1108"/>
      <c r="AS127" s="1108"/>
      <c r="AT127" s="1108"/>
      <c r="AU127" s="1108"/>
      <c r="AV127" s="1108"/>
      <c r="AW127" s="1108"/>
      <c r="AX127" s="1108"/>
      <c r="AY127" s="1108"/>
      <c r="AZ127" s="1108"/>
      <c r="BA127" s="1108"/>
      <c r="BB127" s="1108"/>
      <c r="BC127" s="1108"/>
      <c r="BD127" s="1108"/>
      <c r="BE127" s="1108"/>
      <c r="BF127" s="1108"/>
      <c r="BG127" s="1108"/>
      <c r="BH127" s="1108"/>
    </row>
    <row r="128" spans="1:60" x14ac:dyDescent="0.3">
      <c r="A128" s="1108"/>
      <c r="B128" s="1108">
        <v>367</v>
      </c>
      <c r="C128" s="1108" t="s">
        <v>1506</v>
      </c>
      <c r="D128" s="1108"/>
      <c r="E128" s="1108"/>
      <c r="F128" s="1108"/>
      <c r="G128" s="1108"/>
      <c r="H128" s="1108"/>
      <c r="I128" s="1108"/>
      <c r="J128" s="1108"/>
      <c r="K128" s="1108"/>
      <c r="L128" s="1108"/>
      <c r="M128" s="1108"/>
      <c r="N128" s="1108"/>
      <c r="O128" s="1108"/>
      <c r="P128" s="1108"/>
      <c r="Q128" s="1108"/>
      <c r="R128" s="1108"/>
      <c r="S128" s="1108"/>
      <c r="T128" s="1108"/>
      <c r="U128" s="1108"/>
      <c r="V128" s="1108"/>
      <c r="W128" s="1108"/>
      <c r="X128" s="1108"/>
      <c r="Y128" s="1108"/>
      <c r="Z128" s="1108"/>
      <c r="AA128" s="1108"/>
      <c r="AB128" s="1108"/>
      <c r="AC128" s="1108"/>
      <c r="AD128" s="1108"/>
      <c r="AE128" s="1108"/>
      <c r="AF128" s="1108"/>
      <c r="AG128" s="1108"/>
      <c r="AH128" s="1108"/>
      <c r="AI128" s="1108"/>
      <c r="AJ128" s="1108"/>
      <c r="AK128" s="1108"/>
      <c r="AL128" s="1108"/>
      <c r="AM128" s="1108"/>
      <c r="AN128" s="1108"/>
      <c r="AO128" s="1108"/>
      <c r="AP128" s="1108"/>
      <c r="AQ128" s="1108"/>
      <c r="AR128" s="1108"/>
      <c r="AS128" s="1108"/>
      <c r="AT128" s="1108"/>
      <c r="AU128" s="1108"/>
      <c r="AV128" s="1108"/>
      <c r="AW128" s="1108"/>
      <c r="AX128" s="1108"/>
      <c r="AY128" s="1108"/>
      <c r="AZ128" s="1108"/>
      <c r="BA128" s="1108"/>
      <c r="BB128" s="1108"/>
      <c r="BC128" s="1108"/>
      <c r="BD128" s="1108"/>
      <c r="BE128" s="1108"/>
      <c r="BF128" s="1108"/>
      <c r="BG128" s="1108"/>
      <c r="BH128" s="1108"/>
    </row>
    <row r="129" spans="1:61" x14ac:dyDescent="0.3">
      <c r="A129" s="1108"/>
      <c r="B129" s="1108">
        <v>368</v>
      </c>
      <c r="C129" s="1108" t="s">
        <v>1507</v>
      </c>
      <c r="D129" s="1108"/>
      <c r="E129" s="1108"/>
      <c r="F129" s="1108"/>
      <c r="G129" s="1108"/>
      <c r="H129" s="1108"/>
      <c r="I129" s="1108"/>
      <c r="J129" s="1108"/>
      <c r="K129" s="1108"/>
      <c r="L129" s="1108"/>
      <c r="M129" s="1108"/>
      <c r="N129" s="1108"/>
      <c r="O129" s="1108"/>
      <c r="P129" s="1108"/>
      <c r="Q129" s="1108"/>
      <c r="R129" s="1108"/>
      <c r="S129" s="1108"/>
      <c r="T129" s="1108"/>
      <c r="U129" s="1108"/>
      <c r="V129" s="1108"/>
      <c r="W129" s="1108"/>
      <c r="X129" s="1108"/>
      <c r="Y129" s="1108"/>
      <c r="Z129" s="1108"/>
      <c r="AA129" s="1108"/>
      <c r="AB129" s="1108"/>
      <c r="AC129" s="1108"/>
      <c r="AD129" s="1108"/>
      <c r="AE129" s="1108"/>
      <c r="AF129" s="1108"/>
      <c r="AG129" s="1108"/>
      <c r="AH129" s="1108"/>
      <c r="AI129" s="1108"/>
      <c r="AJ129" s="1108"/>
      <c r="AK129" s="1108"/>
      <c r="AL129" s="1108"/>
      <c r="AM129" s="1108"/>
      <c r="AN129" s="1108"/>
      <c r="AO129" s="1108"/>
      <c r="AP129" s="1108"/>
      <c r="AQ129" s="1108"/>
      <c r="AR129" s="1108"/>
      <c r="AS129" s="1108"/>
      <c r="AT129" s="1108"/>
      <c r="AU129" s="1108"/>
      <c r="AV129" s="1108"/>
      <c r="AW129" s="1108"/>
      <c r="AX129" s="1108"/>
      <c r="AY129" s="1108"/>
      <c r="AZ129" s="1108"/>
      <c r="BA129" s="1108"/>
      <c r="BB129" s="1108"/>
      <c r="BC129" s="1108"/>
      <c r="BD129" s="1108"/>
      <c r="BE129" s="1108"/>
      <c r="BF129" s="1108"/>
      <c r="BG129" s="1108"/>
      <c r="BH129" s="1108"/>
      <c r="BI129" s="1096"/>
    </row>
    <row r="130" spans="1:61" x14ac:dyDescent="0.3">
      <c r="A130" s="1108"/>
      <c r="B130" s="1108">
        <v>369</v>
      </c>
      <c r="C130" s="1108" t="s">
        <v>1508</v>
      </c>
      <c r="D130" s="1108"/>
      <c r="E130" s="1108"/>
      <c r="F130" s="1108"/>
      <c r="G130" s="1108"/>
      <c r="H130" s="1108"/>
      <c r="I130" s="1108"/>
      <c r="J130" s="1108"/>
      <c r="K130" s="1108"/>
      <c r="L130" s="1108"/>
      <c r="M130" s="1108"/>
      <c r="N130" s="1108"/>
      <c r="O130" s="1108"/>
      <c r="P130" s="1108"/>
      <c r="Q130" s="1108"/>
      <c r="R130" s="1108"/>
      <c r="S130" s="1108"/>
      <c r="T130" s="1108"/>
      <c r="U130" s="1108"/>
      <c r="V130" s="1108"/>
      <c r="W130" s="1108"/>
      <c r="X130" s="1108"/>
      <c r="Y130" s="1108"/>
      <c r="Z130" s="1108"/>
      <c r="AA130" s="1108"/>
      <c r="AB130" s="1108"/>
      <c r="AC130" s="1108"/>
      <c r="AD130" s="1108"/>
      <c r="AE130" s="1108"/>
      <c r="AF130" s="1108"/>
      <c r="AG130" s="1108"/>
      <c r="AH130" s="1108"/>
      <c r="AI130" s="1108"/>
      <c r="AJ130" s="1108"/>
      <c r="AK130" s="1108"/>
      <c r="AL130" s="1108"/>
      <c r="AM130" s="1108"/>
      <c r="AN130" s="1108"/>
      <c r="AO130" s="1108"/>
      <c r="AP130" s="1108"/>
      <c r="AQ130" s="1108"/>
      <c r="AR130" s="1108"/>
      <c r="AS130" s="1108"/>
      <c r="AT130" s="1108"/>
      <c r="AU130" s="1108"/>
      <c r="AV130" s="1108"/>
      <c r="AW130" s="1108"/>
      <c r="AX130" s="1108"/>
      <c r="AY130" s="1108"/>
      <c r="AZ130" s="1108"/>
      <c r="BA130" s="1108"/>
      <c r="BB130" s="1108"/>
      <c r="BC130" s="1108"/>
      <c r="BD130" s="1108"/>
      <c r="BE130" s="1108"/>
      <c r="BF130" s="1108"/>
      <c r="BG130" s="1108"/>
      <c r="BH130" s="1108"/>
      <c r="BI130" s="1096"/>
    </row>
    <row r="131" spans="1:61" x14ac:dyDescent="0.3">
      <c r="A131" s="1108"/>
      <c r="B131" s="1108">
        <v>370</v>
      </c>
      <c r="C131" s="1108" t="s">
        <v>1509</v>
      </c>
      <c r="D131" s="1108"/>
      <c r="E131" s="1108"/>
      <c r="F131" s="1108"/>
      <c r="G131" s="1108"/>
      <c r="H131" s="1108"/>
      <c r="I131" s="1108"/>
      <c r="J131" s="1108"/>
      <c r="K131" s="1108"/>
      <c r="L131" s="1108"/>
      <c r="M131" s="1108"/>
      <c r="N131" s="1108"/>
      <c r="O131" s="1108"/>
      <c r="P131" s="1108"/>
      <c r="Q131" s="1108"/>
      <c r="R131" s="1108"/>
      <c r="S131" s="1108"/>
      <c r="T131" s="1108"/>
      <c r="U131" s="1108"/>
      <c r="V131" s="1108"/>
      <c r="W131" s="1108"/>
      <c r="X131" s="1108"/>
      <c r="Y131" s="1108"/>
      <c r="Z131" s="1108"/>
      <c r="AA131" s="1108"/>
      <c r="AB131" s="1108"/>
      <c r="AC131" s="1108"/>
      <c r="AD131" s="1108"/>
      <c r="AE131" s="1108"/>
      <c r="AF131" s="1108"/>
      <c r="AG131" s="1108"/>
      <c r="AH131" s="1108"/>
      <c r="AI131" s="1108"/>
      <c r="AJ131" s="1108"/>
      <c r="AK131" s="1108"/>
      <c r="AL131" s="1108"/>
      <c r="AM131" s="1108"/>
      <c r="AN131" s="1108"/>
      <c r="AO131" s="1108"/>
      <c r="AP131" s="1108"/>
      <c r="AQ131" s="1108"/>
      <c r="AR131" s="1108"/>
      <c r="AS131" s="1108"/>
      <c r="AT131" s="1108"/>
      <c r="AU131" s="1108"/>
      <c r="AV131" s="1108"/>
      <c r="AW131" s="1108"/>
      <c r="AX131" s="1108"/>
      <c r="AY131" s="1108"/>
      <c r="AZ131" s="1108"/>
      <c r="BA131" s="1108"/>
      <c r="BB131" s="1108"/>
      <c r="BC131" s="1108"/>
      <c r="BD131" s="1108"/>
      <c r="BE131" s="1108"/>
      <c r="BF131" s="1108"/>
      <c r="BG131" s="1108"/>
      <c r="BH131" s="1108"/>
      <c r="BI131" s="1096"/>
    </row>
    <row r="132" spans="1:61" x14ac:dyDescent="0.3">
      <c r="A132" s="1108"/>
      <c r="B132" s="1108">
        <v>371</v>
      </c>
      <c r="C132" s="1108" t="s">
        <v>1510</v>
      </c>
      <c r="D132" s="1108"/>
      <c r="E132" s="1108"/>
      <c r="F132" s="1108"/>
      <c r="G132" s="1108"/>
      <c r="H132" s="1108"/>
      <c r="I132" s="1108"/>
      <c r="J132" s="1108"/>
      <c r="K132" s="1108"/>
      <c r="L132" s="1108"/>
      <c r="M132" s="1108"/>
      <c r="N132" s="1108"/>
      <c r="O132" s="1108"/>
      <c r="P132" s="1108"/>
      <c r="Q132" s="1108"/>
      <c r="R132" s="1108"/>
      <c r="S132" s="1108"/>
      <c r="T132" s="1108"/>
      <c r="U132" s="1108"/>
      <c r="V132" s="1108"/>
      <c r="W132" s="1108"/>
      <c r="X132" s="1108"/>
      <c r="Y132" s="1108"/>
      <c r="Z132" s="1108"/>
      <c r="AA132" s="1108"/>
      <c r="AB132" s="1108"/>
      <c r="AC132" s="1108"/>
      <c r="AD132" s="1108"/>
      <c r="AE132" s="1108"/>
      <c r="AF132" s="1108"/>
      <c r="AG132" s="1108"/>
      <c r="AH132" s="1108"/>
      <c r="AI132" s="1108"/>
      <c r="AJ132" s="1108"/>
      <c r="AK132" s="1108"/>
      <c r="AL132" s="1108"/>
      <c r="AM132" s="1108"/>
      <c r="AN132" s="1108"/>
      <c r="AO132" s="1108"/>
      <c r="AP132" s="1108"/>
      <c r="AQ132" s="1108"/>
      <c r="AR132" s="1108"/>
      <c r="AS132" s="1108"/>
      <c r="AT132" s="1108"/>
      <c r="AU132" s="1108"/>
      <c r="AV132" s="1108"/>
      <c r="AW132" s="1108"/>
      <c r="AX132" s="1108"/>
      <c r="AY132" s="1108"/>
      <c r="AZ132" s="1108"/>
      <c r="BA132" s="1108"/>
      <c r="BB132" s="1108"/>
      <c r="BC132" s="1108"/>
      <c r="BD132" s="1108"/>
      <c r="BE132" s="1108"/>
      <c r="BF132" s="1108"/>
      <c r="BG132" s="1108"/>
      <c r="BH132" s="1108"/>
      <c r="BI132" s="1096"/>
    </row>
    <row r="133" spans="1:61" x14ac:dyDescent="0.3">
      <c r="A133" s="1108"/>
      <c r="B133" s="1108">
        <v>373</v>
      </c>
      <c r="C133" s="1108" t="s">
        <v>1511</v>
      </c>
      <c r="D133" s="1108"/>
      <c r="E133" s="1108"/>
      <c r="F133" s="1108"/>
      <c r="G133" s="1108"/>
      <c r="H133" s="1108"/>
      <c r="I133" s="1108"/>
      <c r="J133" s="1108"/>
      <c r="K133" s="1108"/>
      <c r="L133" s="1108"/>
      <c r="M133" s="1108"/>
      <c r="N133" s="1108"/>
      <c r="O133" s="1108"/>
      <c r="P133" s="1108"/>
      <c r="Q133" s="1108"/>
      <c r="R133" s="1108"/>
      <c r="S133" s="1108"/>
      <c r="T133" s="1108"/>
      <c r="U133" s="1108"/>
      <c r="V133" s="1108"/>
      <c r="W133" s="1108"/>
      <c r="X133" s="1108"/>
      <c r="Y133" s="1108"/>
      <c r="Z133" s="1108"/>
      <c r="AA133" s="1108"/>
      <c r="AB133" s="1108"/>
      <c r="AC133" s="1108"/>
      <c r="AD133" s="1108"/>
      <c r="AE133" s="1108"/>
      <c r="AF133" s="1108"/>
      <c r="AG133" s="1108"/>
      <c r="AH133" s="1108"/>
      <c r="AI133" s="1108"/>
      <c r="AJ133" s="1108"/>
      <c r="AK133" s="1108"/>
      <c r="AL133" s="1108"/>
      <c r="AM133" s="1108"/>
      <c r="AN133" s="1108"/>
      <c r="AO133" s="1108"/>
      <c r="AP133" s="1108"/>
      <c r="AQ133" s="1108"/>
      <c r="AR133" s="1108"/>
      <c r="AS133" s="1108"/>
      <c r="AT133" s="1108"/>
      <c r="AU133" s="1108"/>
      <c r="AV133" s="1108"/>
      <c r="AW133" s="1108"/>
      <c r="AX133" s="1108"/>
      <c r="AY133" s="1108"/>
      <c r="AZ133" s="1108"/>
      <c r="BA133" s="1108"/>
      <c r="BB133" s="1108"/>
      <c r="BC133" s="1108"/>
      <c r="BD133" s="1108"/>
      <c r="BE133" s="1108"/>
      <c r="BF133" s="1108"/>
      <c r="BG133" s="1108"/>
      <c r="BH133" s="1108"/>
      <c r="BI133" s="1096"/>
    </row>
    <row r="134" spans="1:61" x14ac:dyDescent="0.3">
      <c r="A134" s="1108"/>
      <c r="B134" s="1108">
        <v>375</v>
      </c>
      <c r="C134" s="1108" t="s">
        <v>1512</v>
      </c>
      <c r="D134" s="1108"/>
      <c r="E134" s="1108"/>
      <c r="F134" s="1108"/>
      <c r="G134" s="1108"/>
      <c r="H134" s="1108"/>
      <c r="I134" s="1108"/>
      <c r="J134" s="1108"/>
      <c r="K134" s="1108"/>
      <c r="L134" s="1108"/>
      <c r="M134" s="1108"/>
      <c r="N134" s="1108"/>
      <c r="O134" s="1108"/>
      <c r="P134" s="1108"/>
      <c r="Q134" s="1108"/>
      <c r="R134" s="1108"/>
      <c r="S134" s="1108"/>
      <c r="T134" s="1108"/>
      <c r="U134" s="1108"/>
      <c r="V134" s="1108"/>
      <c r="W134" s="1108"/>
      <c r="X134" s="1108"/>
      <c r="Y134" s="1108"/>
      <c r="Z134" s="1108"/>
      <c r="AA134" s="1108"/>
      <c r="AB134" s="1108"/>
      <c r="AC134" s="1108"/>
      <c r="AD134" s="1108"/>
      <c r="AE134" s="1108"/>
      <c r="AF134" s="1108"/>
      <c r="AG134" s="1108"/>
      <c r="AH134" s="1108"/>
      <c r="AI134" s="1108"/>
      <c r="AJ134" s="1108"/>
      <c r="AK134" s="1108"/>
      <c r="AL134" s="1108"/>
      <c r="AM134" s="1108"/>
      <c r="AN134" s="1108"/>
      <c r="AO134" s="1108"/>
      <c r="AP134" s="1108"/>
      <c r="AQ134" s="1108"/>
      <c r="AR134" s="1108"/>
      <c r="AS134" s="1108"/>
      <c r="AT134" s="1108"/>
      <c r="AU134" s="1108"/>
      <c r="AV134" s="1108"/>
      <c r="AW134" s="1108"/>
      <c r="AX134" s="1108"/>
      <c r="AY134" s="1108"/>
      <c r="AZ134" s="1108"/>
      <c r="BA134" s="1108"/>
      <c r="BB134" s="1108"/>
      <c r="BC134" s="1108"/>
      <c r="BD134" s="1108"/>
      <c r="BE134" s="1108"/>
      <c r="BF134" s="1108"/>
      <c r="BG134" s="1108"/>
      <c r="BH134" s="1108"/>
      <c r="BI134" s="1096"/>
    </row>
    <row r="135" spans="1:61" x14ac:dyDescent="0.3">
      <c r="A135" s="1108">
        <v>376</v>
      </c>
      <c r="B135" s="1108">
        <v>376</v>
      </c>
      <c r="C135" s="1108" t="s">
        <v>108</v>
      </c>
      <c r="D135" s="1108">
        <v>0</v>
      </c>
      <c r="E135" s="1108">
        <v>0</v>
      </c>
      <c r="F135" s="1108">
        <v>0</v>
      </c>
      <c r="G135" s="1108">
        <v>0</v>
      </c>
      <c r="H135" s="1108">
        <v>0</v>
      </c>
      <c r="I135" s="1130">
        <v>86897</v>
      </c>
      <c r="J135" s="1130">
        <v>3181499</v>
      </c>
      <c r="K135" s="1108">
        <v>0</v>
      </c>
      <c r="L135" s="1108">
        <v>0</v>
      </c>
      <c r="M135" s="1108">
        <v>0</v>
      </c>
      <c r="N135" s="1108">
        <v>0</v>
      </c>
      <c r="O135" s="1108">
        <v>0</v>
      </c>
      <c r="P135" s="1108">
        <v>0</v>
      </c>
      <c r="Q135" s="1108">
        <v>0</v>
      </c>
      <c r="R135" s="1108">
        <v>0</v>
      </c>
      <c r="S135" s="1108">
        <v>0</v>
      </c>
      <c r="T135" s="1108">
        <v>0</v>
      </c>
      <c r="U135" s="1108">
        <v>0</v>
      </c>
      <c r="V135" s="1108">
        <v>0</v>
      </c>
      <c r="W135" s="1108">
        <v>0</v>
      </c>
      <c r="X135" s="1108">
        <v>0</v>
      </c>
      <c r="Y135" s="1108">
        <v>0</v>
      </c>
      <c r="Z135" s="1108">
        <v>0</v>
      </c>
      <c r="AA135" s="1108">
        <v>0</v>
      </c>
      <c r="AB135" s="1108">
        <v>0</v>
      </c>
      <c r="AC135" s="1108">
        <v>0</v>
      </c>
      <c r="AD135" s="1108">
        <v>0</v>
      </c>
      <c r="AE135" s="1108">
        <v>0</v>
      </c>
      <c r="AF135" s="1108">
        <v>0</v>
      </c>
      <c r="AG135" s="1108">
        <v>0</v>
      </c>
      <c r="AH135" s="1108">
        <v>0</v>
      </c>
      <c r="AI135" s="1108">
        <v>0</v>
      </c>
      <c r="AJ135" s="1108">
        <v>0</v>
      </c>
      <c r="AK135" s="1108">
        <v>0</v>
      </c>
      <c r="AL135" s="1108">
        <v>0</v>
      </c>
      <c r="AM135" s="1108">
        <v>0</v>
      </c>
      <c r="AN135" s="1108">
        <v>0</v>
      </c>
      <c r="AO135" s="1108">
        <v>0</v>
      </c>
      <c r="AP135" s="1108">
        <v>0</v>
      </c>
      <c r="AQ135" s="1108">
        <v>0</v>
      </c>
      <c r="AR135" s="1108">
        <v>0</v>
      </c>
      <c r="AS135" s="1108">
        <v>0</v>
      </c>
      <c r="AT135" s="1108">
        <v>0</v>
      </c>
      <c r="AU135" s="1108">
        <v>0</v>
      </c>
      <c r="AV135" s="1108">
        <v>0</v>
      </c>
      <c r="AW135" s="1108">
        <v>0</v>
      </c>
      <c r="AX135" s="1108">
        <v>0</v>
      </c>
      <c r="AY135" s="1108">
        <v>0</v>
      </c>
      <c r="AZ135" s="1108">
        <v>0</v>
      </c>
      <c r="BA135" s="1130">
        <v>221495</v>
      </c>
      <c r="BB135" s="1108">
        <v>0</v>
      </c>
      <c r="BC135" s="1108">
        <v>0</v>
      </c>
      <c r="BD135" s="1108">
        <v>0</v>
      </c>
      <c r="BE135" s="1130">
        <v>864678</v>
      </c>
      <c r="BF135" s="1108">
        <v>0</v>
      </c>
      <c r="BG135" s="1108">
        <v>0</v>
      </c>
      <c r="BH135" s="1108">
        <v>0</v>
      </c>
      <c r="BI135" s="1096"/>
    </row>
    <row r="136" spans="1:61" x14ac:dyDescent="0.3">
      <c r="A136" s="1108"/>
      <c r="B136" s="1108">
        <v>377</v>
      </c>
      <c r="C136" s="1108" t="e">
        <v>#VALUE!</v>
      </c>
      <c r="D136" s="1108"/>
      <c r="E136" s="1108"/>
      <c r="F136" s="1108"/>
      <c r="G136" s="1108"/>
      <c r="H136" s="1108"/>
      <c r="I136" s="1108"/>
      <c r="J136" s="1108"/>
      <c r="K136" s="1108"/>
      <c r="L136" s="1108"/>
      <c r="M136" s="1108"/>
      <c r="N136" s="1108"/>
      <c r="O136" s="1108"/>
      <c r="P136" s="1108"/>
      <c r="Q136" s="1108"/>
      <c r="R136" s="1108"/>
      <c r="S136" s="1108"/>
      <c r="T136" s="1108"/>
      <c r="U136" s="1108"/>
      <c r="V136" s="1108"/>
      <c r="W136" s="1108"/>
      <c r="X136" s="1108"/>
      <c r="Y136" s="1108"/>
      <c r="Z136" s="1108"/>
      <c r="AA136" s="1108"/>
      <c r="AB136" s="1108"/>
      <c r="AC136" s="1108"/>
      <c r="AD136" s="1108"/>
      <c r="AE136" s="1108"/>
      <c r="AF136" s="1108"/>
      <c r="AG136" s="1108"/>
      <c r="AH136" s="1108"/>
      <c r="AI136" s="1108"/>
      <c r="AJ136" s="1108"/>
      <c r="AK136" s="1108"/>
      <c r="AL136" s="1108"/>
      <c r="AM136" s="1108"/>
      <c r="AN136" s="1108"/>
      <c r="AO136" s="1108"/>
      <c r="AP136" s="1108"/>
      <c r="AQ136" s="1108"/>
      <c r="AR136" s="1108"/>
      <c r="AS136" s="1108"/>
      <c r="AT136" s="1108"/>
      <c r="AU136" s="1108"/>
      <c r="AV136" s="1108"/>
      <c r="AW136" s="1108"/>
      <c r="AX136" s="1108"/>
      <c r="AY136" s="1108"/>
      <c r="AZ136" s="1108"/>
      <c r="BA136" s="1108"/>
      <c r="BB136" s="1108"/>
      <c r="BC136" s="1108"/>
      <c r="BD136" s="1108"/>
      <c r="BE136" s="1108"/>
      <c r="BF136" s="1108"/>
      <c r="BG136" s="1108"/>
      <c r="BH136" s="1108"/>
      <c r="BI136" s="1099"/>
    </row>
    <row r="137" spans="1:61" x14ac:dyDescent="0.3">
      <c r="A137" s="1108"/>
      <c r="B137" s="1108">
        <v>378</v>
      </c>
      <c r="C137" s="1108" t="s">
        <v>1513</v>
      </c>
      <c r="D137" s="1108"/>
      <c r="E137" s="1108"/>
      <c r="F137" s="1108"/>
      <c r="G137" s="1108"/>
      <c r="H137" s="1108"/>
      <c r="I137" s="1108"/>
      <c r="J137" s="1108"/>
      <c r="K137" s="1108"/>
      <c r="L137" s="1108"/>
      <c r="M137" s="1108"/>
      <c r="N137" s="1108"/>
      <c r="O137" s="1108"/>
      <c r="P137" s="1108"/>
      <c r="Q137" s="1108"/>
      <c r="R137" s="1108"/>
      <c r="S137" s="1108"/>
      <c r="T137" s="1108"/>
      <c r="U137" s="1108"/>
      <c r="V137" s="1108"/>
      <c r="W137" s="1108"/>
      <c r="X137" s="1108"/>
      <c r="Y137" s="1108"/>
      <c r="Z137" s="1108"/>
      <c r="AA137" s="1108"/>
      <c r="AB137" s="1108"/>
      <c r="AC137" s="1108"/>
      <c r="AD137" s="1108"/>
      <c r="AE137" s="1108"/>
      <c r="AF137" s="1108"/>
      <c r="AG137" s="1108"/>
      <c r="AH137" s="1108"/>
      <c r="AI137" s="1108"/>
      <c r="AJ137" s="1108"/>
      <c r="AK137" s="1108"/>
      <c r="AL137" s="1108"/>
      <c r="AM137" s="1108"/>
      <c r="AN137" s="1108"/>
      <c r="AO137" s="1108"/>
      <c r="AP137" s="1108"/>
      <c r="AQ137" s="1108"/>
      <c r="AR137" s="1108"/>
      <c r="AS137" s="1108"/>
      <c r="AT137" s="1108"/>
      <c r="AU137" s="1108"/>
      <c r="AV137" s="1108"/>
      <c r="AW137" s="1108"/>
      <c r="AX137" s="1108"/>
      <c r="AY137" s="1108"/>
      <c r="AZ137" s="1108"/>
      <c r="BA137" s="1108"/>
      <c r="BB137" s="1108"/>
      <c r="BC137" s="1108"/>
      <c r="BD137" s="1108"/>
      <c r="BE137" s="1108"/>
      <c r="BF137" s="1108"/>
      <c r="BG137" s="1108"/>
      <c r="BH137" s="1108"/>
      <c r="BI137" s="1099"/>
    </row>
    <row r="138" spans="1:61" x14ac:dyDescent="0.3">
      <c r="A138" s="1108">
        <v>379</v>
      </c>
      <c r="B138" s="1108">
        <v>379</v>
      </c>
      <c r="C138" s="1108" t="s">
        <v>118</v>
      </c>
      <c r="D138" s="1130">
        <v>505143</v>
      </c>
      <c r="E138" s="1130">
        <v>2753695</v>
      </c>
      <c r="F138" s="1130">
        <v>3201702</v>
      </c>
      <c r="G138" s="1130">
        <v>1327504</v>
      </c>
      <c r="H138" s="1130">
        <v>3070302</v>
      </c>
      <c r="I138" s="1130">
        <v>1351431</v>
      </c>
      <c r="J138" s="1130">
        <v>1002175</v>
      </c>
      <c r="K138" s="1130">
        <v>3700422</v>
      </c>
      <c r="L138" s="1130">
        <v>6374671</v>
      </c>
      <c r="M138" s="1130">
        <v>676147</v>
      </c>
      <c r="N138" s="1130">
        <v>2831506</v>
      </c>
      <c r="O138" s="1130">
        <v>3778429</v>
      </c>
      <c r="P138" s="1130">
        <v>1565191</v>
      </c>
      <c r="Q138" s="1130">
        <v>1299459</v>
      </c>
      <c r="R138" s="1130">
        <v>609055</v>
      </c>
      <c r="S138" s="1130">
        <v>4748805</v>
      </c>
      <c r="T138" s="1130">
        <v>25540297</v>
      </c>
      <c r="U138" s="1130">
        <v>2514569</v>
      </c>
      <c r="V138" s="1130">
        <v>1100227</v>
      </c>
      <c r="W138" s="1130">
        <v>17415811</v>
      </c>
      <c r="X138" s="1130">
        <v>6605053</v>
      </c>
      <c r="Y138" s="1130">
        <v>370011</v>
      </c>
      <c r="Z138" s="1130">
        <v>3533339</v>
      </c>
      <c r="AA138" s="1130">
        <v>327356</v>
      </c>
      <c r="AB138" s="1130">
        <v>1150721</v>
      </c>
      <c r="AC138" s="1130">
        <v>8697628</v>
      </c>
      <c r="AD138" s="1130">
        <v>738090</v>
      </c>
      <c r="AE138" s="1130">
        <v>7505344</v>
      </c>
      <c r="AF138" s="1130">
        <v>3615331</v>
      </c>
      <c r="AG138" s="1130">
        <v>1583943</v>
      </c>
      <c r="AH138" s="1130">
        <v>6654122</v>
      </c>
      <c r="AI138" s="1130">
        <v>16496375</v>
      </c>
      <c r="AJ138" s="1130">
        <v>8290016</v>
      </c>
      <c r="AK138" s="1130">
        <v>2219295</v>
      </c>
      <c r="AL138" s="1130">
        <v>3919177</v>
      </c>
      <c r="AM138" s="1130">
        <v>2759024</v>
      </c>
      <c r="AN138" s="1130">
        <v>1732204</v>
      </c>
      <c r="AO138" s="1130">
        <v>777002</v>
      </c>
      <c r="AP138" s="1130">
        <v>3651651</v>
      </c>
      <c r="AQ138" s="1130">
        <v>50492</v>
      </c>
      <c r="AR138" s="1130">
        <v>242449</v>
      </c>
      <c r="AS138" s="1130">
        <v>1098537</v>
      </c>
      <c r="AT138" s="1130">
        <v>326294</v>
      </c>
      <c r="AU138" s="1130">
        <v>5913115</v>
      </c>
      <c r="AV138" s="1130">
        <v>1160572</v>
      </c>
      <c r="AW138" s="1130">
        <v>100976387</v>
      </c>
      <c r="AX138" s="1130">
        <v>992313</v>
      </c>
      <c r="AY138" s="1130">
        <v>764828</v>
      </c>
      <c r="AZ138" s="1130">
        <v>4483474</v>
      </c>
      <c r="BA138" s="1130">
        <v>3467448</v>
      </c>
      <c r="BB138" s="1130">
        <v>347655</v>
      </c>
      <c r="BC138" s="1130">
        <v>1228867</v>
      </c>
      <c r="BD138" s="1130">
        <v>8617476</v>
      </c>
      <c r="BE138" s="1130">
        <v>6315638</v>
      </c>
      <c r="BF138" s="1130">
        <v>11413819</v>
      </c>
      <c r="BG138" s="1130">
        <v>864760</v>
      </c>
      <c r="BH138" s="1130">
        <v>1120552</v>
      </c>
      <c r="BI138" s="1096"/>
    </row>
    <row r="139" spans="1:61" x14ac:dyDescent="0.3">
      <c r="A139" s="1108"/>
      <c r="B139" s="1108">
        <v>380</v>
      </c>
      <c r="C139" s="1108" t="s">
        <v>121</v>
      </c>
      <c r="D139" s="1108">
        <v>0</v>
      </c>
      <c r="E139" s="1108">
        <v>0</v>
      </c>
      <c r="F139" s="1108">
        <v>0</v>
      </c>
      <c r="G139" s="1108">
        <v>0</v>
      </c>
      <c r="H139" s="1108">
        <v>0</v>
      </c>
      <c r="I139" s="1108">
        <v>0</v>
      </c>
      <c r="J139" s="1108">
        <v>0</v>
      </c>
      <c r="K139" s="1108">
        <v>0</v>
      </c>
      <c r="L139" s="1108">
        <v>0</v>
      </c>
      <c r="M139" s="1108">
        <v>0</v>
      </c>
      <c r="N139" s="1108">
        <v>0</v>
      </c>
      <c r="O139" s="1108">
        <v>0</v>
      </c>
      <c r="P139" s="1108">
        <v>0</v>
      </c>
      <c r="Q139" s="1108">
        <v>0</v>
      </c>
      <c r="R139" s="1108">
        <v>0</v>
      </c>
      <c r="S139" s="1108">
        <v>0</v>
      </c>
      <c r="T139" s="1108">
        <v>0</v>
      </c>
      <c r="U139" s="1108">
        <v>0</v>
      </c>
      <c r="V139" s="1108">
        <v>0</v>
      </c>
      <c r="W139" s="1108">
        <v>0</v>
      </c>
      <c r="X139" s="1108">
        <v>0</v>
      </c>
      <c r="Y139" s="1108">
        <v>0</v>
      </c>
      <c r="Z139" s="1108">
        <v>0</v>
      </c>
      <c r="AA139" s="1108">
        <v>0</v>
      </c>
      <c r="AB139" s="1108">
        <v>0</v>
      </c>
      <c r="AC139" s="1108">
        <v>0</v>
      </c>
      <c r="AD139" s="1108">
        <v>0</v>
      </c>
      <c r="AE139" s="1130">
        <v>32422</v>
      </c>
      <c r="AF139" s="1108">
        <v>0</v>
      </c>
      <c r="AG139" s="1130">
        <v>63688</v>
      </c>
      <c r="AH139" s="1108">
        <v>0</v>
      </c>
      <c r="AI139" s="1108">
        <v>0</v>
      </c>
      <c r="AJ139" s="1108">
        <v>0</v>
      </c>
      <c r="AK139" s="1108">
        <v>0</v>
      </c>
      <c r="AL139" s="1108">
        <v>0</v>
      </c>
      <c r="AM139" s="1108">
        <v>0</v>
      </c>
      <c r="AN139" s="1108">
        <v>0</v>
      </c>
      <c r="AO139" s="1108">
        <v>0</v>
      </c>
      <c r="AP139" s="1108">
        <v>0</v>
      </c>
      <c r="AQ139" s="1108">
        <v>0</v>
      </c>
      <c r="AR139" s="1108">
        <v>0</v>
      </c>
      <c r="AS139" s="1108">
        <v>0</v>
      </c>
      <c r="AT139" s="1108">
        <v>0</v>
      </c>
      <c r="AU139" s="1108">
        <v>0</v>
      </c>
      <c r="AV139" s="1108">
        <v>0</v>
      </c>
      <c r="AW139" s="1108">
        <v>0</v>
      </c>
      <c r="AX139" s="1108">
        <v>0</v>
      </c>
      <c r="AY139" s="1130">
        <v>18404</v>
      </c>
      <c r="AZ139" s="1108">
        <v>0</v>
      </c>
      <c r="BA139" s="1108">
        <v>0</v>
      </c>
      <c r="BB139" s="1108">
        <v>0</v>
      </c>
      <c r="BC139" s="1108">
        <v>0</v>
      </c>
      <c r="BD139" s="1108">
        <v>0</v>
      </c>
      <c r="BE139" s="1108">
        <v>0</v>
      </c>
      <c r="BF139" s="1108">
        <v>0</v>
      </c>
      <c r="BG139" s="1108">
        <v>0</v>
      </c>
      <c r="BH139" s="1108">
        <v>0</v>
      </c>
      <c r="BI139" s="1096"/>
    </row>
    <row r="140" spans="1:61" x14ac:dyDescent="0.3">
      <c r="A140" s="1108"/>
      <c r="B140" s="1108">
        <v>381</v>
      </c>
      <c r="C140" s="1108" t="e">
        <v>#VALUE!</v>
      </c>
      <c r="D140" s="1108"/>
      <c r="E140" s="1108"/>
      <c r="F140" s="1108"/>
      <c r="G140" s="1108"/>
      <c r="H140" s="1108"/>
      <c r="I140" s="1108"/>
      <c r="J140" s="1108"/>
      <c r="K140" s="1108"/>
      <c r="L140" s="1108"/>
      <c r="M140" s="1108"/>
      <c r="N140" s="1108"/>
      <c r="O140" s="1108"/>
      <c r="P140" s="1108"/>
      <c r="Q140" s="1108"/>
      <c r="R140" s="1108"/>
      <c r="S140" s="1108"/>
      <c r="T140" s="1108"/>
      <c r="U140" s="1108"/>
      <c r="V140" s="1108"/>
      <c r="W140" s="1108"/>
      <c r="X140" s="1108"/>
      <c r="Y140" s="1108"/>
      <c r="Z140" s="1108"/>
      <c r="AA140" s="1108"/>
      <c r="AB140" s="1108"/>
      <c r="AC140" s="1108"/>
      <c r="AD140" s="1108"/>
      <c r="AE140" s="1108"/>
      <c r="AF140" s="1108"/>
      <c r="AG140" s="1108"/>
      <c r="AH140" s="1108"/>
      <c r="AI140" s="1108"/>
      <c r="AJ140" s="1108"/>
      <c r="AK140" s="1108"/>
      <c r="AL140" s="1108"/>
      <c r="AM140" s="1108"/>
      <c r="AN140" s="1108"/>
      <c r="AO140" s="1108"/>
      <c r="AP140" s="1108"/>
      <c r="AQ140" s="1108"/>
      <c r="AR140" s="1108"/>
      <c r="AS140" s="1108"/>
      <c r="AT140" s="1108"/>
      <c r="AU140" s="1108"/>
      <c r="AV140" s="1108"/>
      <c r="AW140" s="1108"/>
      <c r="AX140" s="1108"/>
      <c r="AY140" s="1108"/>
      <c r="AZ140" s="1108"/>
      <c r="BA140" s="1108"/>
      <c r="BB140" s="1108"/>
      <c r="BC140" s="1108"/>
      <c r="BD140" s="1108"/>
      <c r="BE140" s="1108"/>
      <c r="BF140" s="1108"/>
      <c r="BG140" s="1108"/>
      <c r="BH140" s="1108"/>
      <c r="BI140" s="1096"/>
    </row>
    <row r="141" spans="1:61" x14ac:dyDescent="0.3">
      <c r="A141" s="1108"/>
      <c r="B141" s="1108">
        <v>382</v>
      </c>
      <c r="C141" s="1108" t="s">
        <v>1419</v>
      </c>
      <c r="D141" s="1108"/>
      <c r="E141" s="1108"/>
      <c r="F141" s="1108"/>
      <c r="G141" s="1108"/>
      <c r="H141" s="1108"/>
      <c r="I141" s="1108"/>
      <c r="J141" s="1108"/>
      <c r="K141" s="1108"/>
      <c r="L141" s="1108"/>
      <c r="M141" s="1108"/>
      <c r="N141" s="1108"/>
      <c r="O141" s="1108"/>
      <c r="P141" s="1108"/>
      <c r="Q141" s="1108"/>
      <c r="R141" s="1108"/>
      <c r="S141" s="1108"/>
      <c r="T141" s="1108"/>
      <c r="U141" s="1108"/>
      <c r="V141" s="1108"/>
      <c r="W141" s="1108"/>
      <c r="X141" s="1108"/>
      <c r="Y141" s="1108"/>
      <c r="Z141" s="1108"/>
      <c r="AA141" s="1108"/>
      <c r="AB141" s="1108"/>
      <c r="AC141" s="1108"/>
      <c r="AD141" s="1108"/>
      <c r="AE141" s="1108"/>
      <c r="AF141" s="1108"/>
      <c r="AG141" s="1108"/>
      <c r="AH141" s="1108"/>
      <c r="AI141" s="1108"/>
      <c r="AJ141" s="1108"/>
      <c r="AK141" s="1108"/>
      <c r="AL141" s="1108"/>
      <c r="AM141" s="1108"/>
      <c r="AN141" s="1108"/>
      <c r="AO141" s="1108"/>
      <c r="AP141" s="1108"/>
      <c r="AQ141" s="1108"/>
      <c r="AR141" s="1108"/>
      <c r="AS141" s="1108"/>
      <c r="AT141" s="1108"/>
      <c r="AU141" s="1108"/>
      <c r="AV141" s="1108"/>
      <c r="AW141" s="1108"/>
      <c r="AX141" s="1108"/>
      <c r="AY141" s="1108"/>
      <c r="AZ141" s="1108"/>
      <c r="BA141" s="1108"/>
      <c r="BB141" s="1108"/>
      <c r="BC141" s="1108"/>
      <c r="BD141" s="1108"/>
      <c r="BE141" s="1108"/>
      <c r="BF141" s="1108"/>
      <c r="BG141" s="1108"/>
      <c r="BH141" s="1108"/>
      <c r="BI141" s="1096"/>
    </row>
    <row r="142" spans="1:61" x14ac:dyDescent="0.3">
      <c r="A142" s="1108"/>
      <c r="B142" s="1108">
        <v>383</v>
      </c>
      <c r="C142" s="1108" t="e">
        <v>#VALUE!</v>
      </c>
      <c r="D142" s="1108"/>
      <c r="E142" s="1108"/>
      <c r="F142" s="1108"/>
      <c r="G142" s="1108"/>
      <c r="H142" s="1108"/>
      <c r="I142" s="1108"/>
      <c r="J142" s="1108"/>
      <c r="K142" s="1108"/>
      <c r="L142" s="1108"/>
      <c r="M142" s="1108"/>
      <c r="N142" s="1108"/>
      <c r="O142" s="1108"/>
      <c r="P142" s="1108"/>
      <c r="Q142" s="1108"/>
      <c r="R142" s="1108"/>
      <c r="S142" s="1108"/>
      <c r="T142" s="1108"/>
      <c r="U142" s="1108"/>
      <c r="V142" s="1108"/>
      <c r="W142" s="1108"/>
      <c r="X142" s="1108"/>
      <c r="Y142" s="1108"/>
      <c r="Z142" s="1108"/>
      <c r="AA142" s="1108"/>
      <c r="AB142" s="1108"/>
      <c r="AC142" s="1108"/>
      <c r="AD142" s="1108"/>
      <c r="AE142" s="1108"/>
      <c r="AF142" s="1108"/>
      <c r="AG142" s="1108"/>
      <c r="AH142" s="1108"/>
      <c r="AI142" s="1108"/>
      <c r="AJ142" s="1108"/>
      <c r="AK142" s="1108"/>
      <c r="AL142" s="1108"/>
      <c r="AM142" s="1108"/>
      <c r="AN142" s="1108"/>
      <c r="AO142" s="1108"/>
      <c r="AP142" s="1108"/>
      <c r="AQ142" s="1108"/>
      <c r="AR142" s="1108"/>
      <c r="AS142" s="1108"/>
      <c r="AT142" s="1108"/>
      <c r="AU142" s="1108"/>
      <c r="AV142" s="1108"/>
      <c r="AW142" s="1108"/>
      <c r="AX142" s="1108"/>
      <c r="AY142" s="1108"/>
      <c r="AZ142" s="1108"/>
      <c r="BA142" s="1108"/>
      <c r="BB142" s="1108"/>
      <c r="BC142" s="1108"/>
      <c r="BD142" s="1108"/>
      <c r="BE142" s="1108"/>
      <c r="BF142" s="1108"/>
      <c r="BG142" s="1108"/>
      <c r="BH142" s="1108"/>
      <c r="BI142" s="1096"/>
    </row>
    <row r="143" spans="1:61" x14ac:dyDescent="0.3">
      <c r="A143" s="1108"/>
      <c r="B143" s="1108">
        <v>384</v>
      </c>
      <c r="C143" s="1108" t="s">
        <v>124</v>
      </c>
      <c r="D143" s="1108"/>
      <c r="E143" s="1108"/>
      <c r="F143" s="1108"/>
      <c r="G143" s="1108"/>
      <c r="H143" s="1108"/>
      <c r="I143" s="1108"/>
      <c r="J143" s="1108"/>
      <c r="K143" s="1108"/>
      <c r="L143" s="1108"/>
      <c r="M143" s="1108"/>
      <c r="N143" s="1108"/>
      <c r="O143" s="1108"/>
      <c r="P143" s="1108"/>
      <c r="Q143" s="1108"/>
      <c r="R143" s="1108"/>
      <c r="S143" s="1108"/>
      <c r="T143" s="1108"/>
      <c r="U143" s="1108"/>
      <c r="V143" s="1108"/>
      <c r="W143" s="1108"/>
      <c r="X143" s="1108"/>
      <c r="Y143" s="1108"/>
      <c r="Z143" s="1108"/>
      <c r="AA143" s="1108"/>
      <c r="AB143" s="1108"/>
      <c r="AC143" s="1108"/>
      <c r="AD143" s="1108"/>
      <c r="AE143" s="1108"/>
      <c r="AF143" s="1108"/>
      <c r="AG143" s="1108"/>
      <c r="AH143" s="1108"/>
      <c r="AI143" s="1108"/>
      <c r="AJ143" s="1108"/>
      <c r="AK143" s="1108"/>
      <c r="AL143" s="1108"/>
      <c r="AM143" s="1108"/>
      <c r="AN143" s="1108"/>
      <c r="AO143" s="1108"/>
      <c r="AP143" s="1108"/>
      <c r="AQ143" s="1108"/>
      <c r="AR143" s="1108"/>
      <c r="AS143" s="1108"/>
      <c r="AT143" s="1108"/>
      <c r="AU143" s="1108"/>
      <c r="AV143" s="1108"/>
      <c r="AW143" s="1108"/>
      <c r="AX143" s="1108"/>
      <c r="AY143" s="1108"/>
      <c r="AZ143" s="1108"/>
      <c r="BA143" s="1108"/>
      <c r="BB143" s="1108"/>
      <c r="BC143" s="1108"/>
      <c r="BD143" s="1108"/>
      <c r="BE143" s="1108"/>
      <c r="BF143" s="1108"/>
      <c r="BG143" s="1108"/>
      <c r="BH143" s="1108"/>
      <c r="BI143" s="1096"/>
    </row>
    <row r="144" spans="1:61" x14ac:dyDescent="0.3">
      <c r="A144" s="1108">
        <v>385</v>
      </c>
      <c r="B144" s="1108">
        <v>385</v>
      </c>
      <c r="C144" s="1108" t="s">
        <v>115</v>
      </c>
      <c r="D144" s="1130">
        <v>97787350</v>
      </c>
      <c r="E144" s="1130">
        <v>153579695</v>
      </c>
      <c r="F144" s="1130">
        <v>110236867</v>
      </c>
      <c r="G144" s="1130">
        <v>33198112</v>
      </c>
      <c r="H144" s="1130">
        <v>145100138</v>
      </c>
      <c r="I144" s="1130">
        <v>82495384</v>
      </c>
      <c r="J144" s="1130">
        <v>44676803</v>
      </c>
      <c r="K144" s="1130">
        <v>44856076</v>
      </c>
      <c r="L144" s="1130">
        <v>90731338</v>
      </c>
      <c r="M144" s="1130">
        <v>29849451</v>
      </c>
      <c r="N144" s="1130">
        <v>53706659</v>
      </c>
      <c r="O144" s="1130">
        <v>183540759</v>
      </c>
      <c r="P144" s="1130">
        <v>85304067</v>
      </c>
      <c r="Q144" s="1130">
        <v>35037436</v>
      </c>
      <c r="R144" s="1130">
        <v>1501881</v>
      </c>
      <c r="S144" s="1130">
        <v>203318119</v>
      </c>
      <c r="T144" s="1130">
        <v>420893676</v>
      </c>
      <c r="U144" s="1130">
        <v>60497468</v>
      </c>
      <c r="V144" s="1130">
        <v>30817142</v>
      </c>
      <c r="W144" s="1130">
        <v>366137633</v>
      </c>
      <c r="X144" s="1130">
        <v>113513656</v>
      </c>
      <c r="Y144" s="1130">
        <v>13418372</v>
      </c>
      <c r="Z144" s="1130">
        <v>217379583</v>
      </c>
      <c r="AA144" s="1130">
        <v>30311143</v>
      </c>
      <c r="AB144" s="1130">
        <v>40981951</v>
      </c>
      <c r="AC144" s="1130">
        <v>289714487</v>
      </c>
      <c r="AD144" s="1130">
        <v>23779646</v>
      </c>
      <c r="AE144" s="1130">
        <v>198716011</v>
      </c>
      <c r="AF144" s="1130">
        <v>80166448</v>
      </c>
      <c r="AG144" s="1130">
        <v>45747431</v>
      </c>
      <c r="AH144" s="1130">
        <v>207778226</v>
      </c>
      <c r="AI144" s="1130">
        <v>130076993</v>
      </c>
      <c r="AJ144" s="1130">
        <v>210324545</v>
      </c>
      <c r="AK144" s="1130">
        <v>114406518</v>
      </c>
      <c r="AL144" s="1130">
        <v>131062451</v>
      </c>
      <c r="AM144" s="1130">
        <v>78147214</v>
      </c>
      <c r="AN144" s="1130">
        <v>80356467</v>
      </c>
      <c r="AO144" s="1130">
        <v>95647194</v>
      </c>
      <c r="AP144" s="1130">
        <v>104047718</v>
      </c>
      <c r="AQ144" s="1130">
        <v>32753447</v>
      </c>
      <c r="AR144" s="1130">
        <v>27960702</v>
      </c>
      <c r="AS144" s="1130">
        <v>51697576</v>
      </c>
      <c r="AT144" s="1130">
        <v>10058399</v>
      </c>
      <c r="AU144" s="1130">
        <v>784634438</v>
      </c>
      <c r="AV144" s="1130">
        <v>60792434</v>
      </c>
      <c r="AW144" s="1130">
        <v>4272231090</v>
      </c>
      <c r="AX144" s="1130">
        <v>22174487</v>
      </c>
      <c r="AY144" s="1130">
        <v>21214107</v>
      </c>
      <c r="AZ144" s="1130">
        <v>41377223</v>
      </c>
      <c r="BA144" s="1130">
        <v>152998306</v>
      </c>
      <c r="BB144" s="1130">
        <v>7254807</v>
      </c>
      <c r="BC144" s="1130">
        <v>20910577</v>
      </c>
      <c r="BD144" s="1130">
        <v>107751403</v>
      </c>
      <c r="BE144" s="1130">
        <v>119985701</v>
      </c>
      <c r="BF144" s="1130">
        <v>871231612</v>
      </c>
      <c r="BG144" s="1130">
        <v>60383948</v>
      </c>
      <c r="BH144" s="1130">
        <v>36938309</v>
      </c>
      <c r="BI144" s="1096"/>
    </row>
    <row r="145" spans="1:60" x14ac:dyDescent="0.3">
      <c r="A145" s="1108">
        <v>386</v>
      </c>
      <c r="B145" s="1108">
        <v>386</v>
      </c>
      <c r="C145" s="1108" t="s">
        <v>193</v>
      </c>
      <c r="D145" s="1108">
        <v>0</v>
      </c>
      <c r="E145" s="1108">
        <v>0</v>
      </c>
      <c r="F145" s="1108">
        <v>0</v>
      </c>
      <c r="G145" s="1108">
        <v>0</v>
      </c>
      <c r="H145" s="1108">
        <v>0</v>
      </c>
      <c r="I145" s="1108">
        <v>0</v>
      </c>
      <c r="J145" s="1108">
        <v>0</v>
      </c>
      <c r="K145" s="1108">
        <v>0</v>
      </c>
      <c r="L145" s="1108">
        <v>0</v>
      </c>
      <c r="M145" s="1108">
        <v>0</v>
      </c>
      <c r="N145" s="1108">
        <v>0</v>
      </c>
      <c r="O145" s="1130">
        <v>231489</v>
      </c>
      <c r="P145" s="1108">
        <v>0</v>
      </c>
      <c r="Q145" s="1108">
        <v>0</v>
      </c>
      <c r="R145" s="1108">
        <v>0</v>
      </c>
      <c r="S145" s="1108">
        <v>0</v>
      </c>
      <c r="T145" s="1108">
        <v>0</v>
      </c>
      <c r="U145" s="1108">
        <v>0</v>
      </c>
      <c r="V145" s="1108">
        <v>0</v>
      </c>
      <c r="W145" s="1108">
        <v>0</v>
      </c>
      <c r="X145" s="1108">
        <v>0</v>
      </c>
      <c r="Y145" s="1108">
        <v>0</v>
      </c>
      <c r="Z145" s="1108">
        <v>0</v>
      </c>
      <c r="AA145" s="1108">
        <v>0</v>
      </c>
      <c r="AB145" s="1108">
        <v>0</v>
      </c>
      <c r="AC145" s="1108">
        <v>0</v>
      </c>
      <c r="AD145" s="1108">
        <v>0</v>
      </c>
      <c r="AE145" s="1108">
        <v>0</v>
      </c>
      <c r="AF145" s="1108">
        <v>0</v>
      </c>
      <c r="AG145" s="1108">
        <v>0</v>
      </c>
      <c r="AH145" s="1108">
        <v>0</v>
      </c>
      <c r="AI145" s="1108">
        <v>0</v>
      </c>
      <c r="AJ145" s="1108">
        <v>0</v>
      </c>
      <c r="AK145" s="1108">
        <v>0</v>
      </c>
      <c r="AL145" s="1108">
        <v>0</v>
      </c>
      <c r="AM145" s="1108">
        <v>0</v>
      </c>
      <c r="AN145" s="1108">
        <v>0</v>
      </c>
      <c r="AO145" s="1108">
        <v>0</v>
      </c>
      <c r="AP145" s="1108">
        <v>0</v>
      </c>
      <c r="AQ145" s="1108">
        <v>0</v>
      </c>
      <c r="AR145" s="1108">
        <v>0</v>
      </c>
      <c r="AS145" s="1108">
        <v>0</v>
      </c>
      <c r="AT145" s="1108">
        <v>0</v>
      </c>
      <c r="AU145" s="1108">
        <v>0</v>
      </c>
      <c r="AV145" s="1108">
        <v>0</v>
      </c>
      <c r="AW145" s="1108">
        <v>0</v>
      </c>
      <c r="AX145" s="1108">
        <v>0</v>
      </c>
      <c r="AY145" s="1108">
        <v>0</v>
      </c>
      <c r="AZ145" s="1108">
        <v>0</v>
      </c>
      <c r="BA145" s="1108">
        <v>0</v>
      </c>
      <c r="BB145" s="1108">
        <v>0</v>
      </c>
      <c r="BC145" s="1108">
        <v>0</v>
      </c>
      <c r="BD145" s="1108">
        <v>0</v>
      </c>
      <c r="BE145" s="1108">
        <v>0</v>
      </c>
      <c r="BF145" s="1108">
        <v>0</v>
      </c>
      <c r="BG145" s="1108">
        <v>0</v>
      </c>
      <c r="BH145" s="1108">
        <v>0</v>
      </c>
    </row>
    <row r="146" spans="1:60" x14ac:dyDescent="0.3">
      <c r="A146" s="1108">
        <v>387</v>
      </c>
      <c r="B146" s="1108">
        <v>387</v>
      </c>
      <c r="C146" s="1108" t="s">
        <v>194</v>
      </c>
      <c r="D146" s="1130">
        <v>48067</v>
      </c>
      <c r="E146" s="1130">
        <v>44733</v>
      </c>
      <c r="F146" s="1130">
        <v>139757</v>
      </c>
      <c r="G146" s="1130">
        <v>45483</v>
      </c>
      <c r="H146" s="1130">
        <v>167853</v>
      </c>
      <c r="I146" s="1130">
        <v>45017</v>
      </c>
      <c r="J146" s="1130">
        <v>63239</v>
      </c>
      <c r="K146" s="1108">
        <v>0</v>
      </c>
      <c r="L146" s="1130">
        <v>56815</v>
      </c>
      <c r="M146" s="1130">
        <v>65258</v>
      </c>
      <c r="N146" s="1130">
        <v>86125</v>
      </c>
      <c r="O146" s="1108">
        <v>0</v>
      </c>
      <c r="P146" s="1130">
        <v>96897</v>
      </c>
      <c r="Q146" s="1108">
        <v>0</v>
      </c>
      <c r="R146" s="1108">
        <v>0</v>
      </c>
      <c r="S146" s="1130">
        <v>69952</v>
      </c>
      <c r="T146" s="1130">
        <v>55720</v>
      </c>
      <c r="U146" s="1130">
        <v>45030</v>
      </c>
      <c r="V146" s="1130">
        <v>94497</v>
      </c>
      <c r="W146" s="1130">
        <v>625895</v>
      </c>
      <c r="X146" s="1130">
        <v>293725</v>
      </c>
      <c r="Y146" s="1108">
        <v>0</v>
      </c>
      <c r="Z146" s="1130">
        <v>270640</v>
      </c>
      <c r="AA146" s="1130">
        <v>51983</v>
      </c>
      <c r="AB146" s="1130">
        <v>47907</v>
      </c>
      <c r="AC146" s="1130">
        <v>76976</v>
      </c>
      <c r="AD146" s="1130">
        <v>109414</v>
      </c>
      <c r="AE146" s="1130">
        <v>255094</v>
      </c>
      <c r="AF146" s="1130">
        <v>57482</v>
      </c>
      <c r="AG146" s="1130">
        <v>46183</v>
      </c>
      <c r="AH146" s="1108">
        <v>0</v>
      </c>
      <c r="AI146" s="1108">
        <v>0</v>
      </c>
      <c r="AJ146" s="1130">
        <v>105564</v>
      </c>
      <c r="AK146" s="1130">
        <v>45000</v>
      </c>
      <c r="AL146" s="1130">
        <v>186955</v>
      </c>
      <c r="AM146" s="1130">
        <v>57068</v>
      </c>
      <c r="AN146" s="1130">
        <v>131268</v>
      </c>
      <c r="AO146" s="1108">
        <v>0</v>
      </c>
      <c r="AP146" s="1130">
        <v>72647</v>
      </c>
      <c r="AQ146" s="1130">
        <v>66803</v>
      </c>
      <c r="AR146" s="1130">
        <v>47486</v>
      </c>
      <c r="AS146" s="1130">
        <v>171169</v>
      </c>
      <c r="AT146" s="1130">
        <v>51236</v>
      </c>
      <c r="AU146" s="1130">
        <v>115169</v>
      </c>
      <c r="AV146" s="1108">
        <v>0</v>
      </c>
      <c r="AW146" s="1130">
        <v>68730</v>
      </c>
      <c r="AX146" s="1130">
        <v>45494</v>
      </c>
      <c r="AY146" s="1130">
        <v>75210</v>
      </c>
      <c r="AZ146" s="1130">
        <v>161311</v>
      </c>
      <c r="BA146" s="1108">
        <v>0</v>
      </c>
      <c r="BB146" s="1130">
        <v>52613</v>
      </c>
      <c r="BC146" s="1130">
        <v>33247</v>
      </c>
      <c r="BD146" s="1130">
        <v>91118</v>
      </c>
      <c r="BE146" s="1130">
        <v>51442</v>
      </c>
      <c r="BF146" s="1108">
        <v>0</v>
      </c>
      <c r="BG146" s="1130">
        <v>79026</v>
      </c>
      <c r="BH146" s="1130">
        <v>52719</v>
      </c>
    </row>
    <row r="147" spans="1:60" x14ac:dyDescent="0.3">
      <c r="A147" s="1108">
        <v>388</v>
      </c>
      <c r="B147" s="1108">
        <v>388</v>
      </c>
      <c r="C147" s="1108" t="s">
        <v>188</v>
      </c>
      <c r="D147" s="1130">
        <v>54822727</v>
      </c>
      <c r="E147" s="1130">
        <v>95300029</v>
      </c>
      <c r="F147" s="1130">
        <v>79021123</v>
      </c>
      <c r="G147" s="1130">
        <v>32144657</v>
      </c>
      <c r="H147" s="1130">
        <v>98757269</v>
      </c>
      <c r="I147" s="1130">
        <v>46463284</v>
      </c>
      <c r="J147" s="1130">
        <v>26697216</v>
      </c>
      <c r="K147" s="1130">
        <v>34504662</v>
      </c>
      <c r="L147" s="1130">
        <v>61997615</v>
      </c>
      <c r="M147" s="1130">
        <v>20856040</v>
      </c>
      <c r="N147" s="1130">
        <v>41320357</v>
      </c>
      <c r="O147" s="1130">
        <v>123318932</v>
      </c>
      <c r="P147" s="1130">
        <v>61490627</v>
      </c>
      <c r="Q147" s="1130">
        <v>17819614</v>
      </c>
      <c r="R147" s="1130">
        <v>2481912</v>
      </c>
      <c r="S147" s="1130">
        <v>141315790</v>
      </c>
      <c r="T147" s="1130">
        <v>298496572</v>
      </c>
      <c r="U147" s="1130">
        <v>29081627</v>
      </c>
      <c r="V147" s="1130">
        <v>23495311</v>
      </c>
      <c r="W147" s="1130">
        <v>267913191</v>
      </c>
      <c r="X147" s="1130">
        <v>91145330</v>
      </c>
      <c r="Y147" s="1130">
        <v>20603142</v>
      </c>
      <c r="Z147" s="1130">
        <v>99517789</v>
      </c>
      <c r="AA147" s="1130">
        <v>19012893</v>
      </c>
      <c r="AB147" s="1130">
        <v>48252611</v>
      </c>
      <c r="AC147" s="1130">
        <v>229263131</v>
      </c>
      <c r="AD147" s="1130">
        <v>26619451</v>
      </c>
      <c r="AE147" s="1130">
        <v>146266633</v>
      </c>
      <c r="AF147" s="1130">
        <v>72568755</v>
      </c>
      <c r="AG147" s="1130">
        <v>28021095</v>
      </c>
      <c r="AH147" s="1130">
        <v>228138700</v>
      </c>
      <c r="AI147" s="1130">
        <v>107247300</v>
      </c>
      <c r="AJ147" s="1130">
        <v>192634156</v>
      </c>
      <c r="AK147" s="1130">
        <v>84022675</v>
      </c>
      <c r="AL147" s="1130">
        <v>77225058</v>
      </c>
      <c r="AM147" s="1130">
        <v>64315421</v>
      </c>
      <c r="AN147" s="1130">
        <v>76543256</v>
      </c>
      <c r="AO147" s="1130">
        <v>59007115</v>
      </c>
      <c r="AP147" s="1130">
        <v>75521744</v>
      </c>
      <c r="AQ147" s="1130">
        <v>22568036</v>
      </c>
      <c r="AR147" s="1130">
        <v>26160168</v>
      </c>
      <c r="AS147" s="1130">
        <v>39177238</v>
      </c>
      <c r="AT147" s="1130">
        <v>9380107</v>
      </c>
      <c r="AU147" s="1130">
        <v>400764132</v>
      </c>
      <c r="AV147" s="1130">
        <v>60829108</v>
      </c>
      <c r="AW147" s="1130">
        <v>1629240370</v>
      </c>
      <c r="AX147" s="1130">
        <v>25147242</v>
      </c>
      <c r="AY147" s="1130">
        <v>18490358</v>
      </c>
      <c r="AZ147" s="1130">
        <v>52003172</v>
      </c>
      <c r="BA147" s="1130">
        <v>168536437</v>
      </c>
      <c r="BB147" s="1130">
        <v>11217037</v>
      </c>
      <c r="BC147" s="1130">
        <v>22421757</v>
      </c>
      <c r="BD147" s="1130">
        <v>89248109</v>
      </c>
      <c r="BE147" s="1130">
        <v>105635414</v>
      </c>
      <c r="BF147" s="1130">
        <v>538658621</v>
      </c>
      <c r="BG147" s="1130">
        <v>50363773</v>
      </c>
      <c r="BH147" s="1130">
        <v>23282689</v>
      </c>
    </row>
    <row r="148" spans="1:60" x14ac:dyDescent="0.3">
      <c r="A148" s="1108">
        <v>389</v>
      </c>
      <c r="B148" s="1108">
        <v>389</v>
      </c>
      <c r="C148" s="1108" t="s">
        <v>195</v>
      </c>
      <c r="D148" s="1108">
        <v>0</v>
      </c>
      <c r="E148" s="1108">
        <v>0</v>
      </c>
      <c r="F148" s="1108">
        <v>0</v>
      </c>
      <c r="G148" s="1108">
        <v>0</v>
      </c>
      <c r="H148" s="1108">
        <v>0</v>
      </c>
      <c r="I148" s="1108">
        <v>0</v>
      </c>
      <c r="J148" s="1108">
        <v>0</v>
      </c>
      <c r="K148" s="1130">
        <v>1758734</v>
      </c>
      <c r="L148" s="1108">
        <v>0</v>
      </c>
      <c r="M148" s="1108">
        <v>0</v>
      </c>
      <c r="N148" s="1108">
        <v>0</v>
      </c>
      <c r="O148" s="1108">
        <v>0</v>
      </c>
      <c r="P148" s="1108">
        <v>0</v>
      </c>
      <c r="Q148" s="1108">
        <v>0</v>
      </c>
      <c r="R148" s="1108">
        <v>0</v>
      </c>
      <c r="S148" s="1108">
        <v>0</v>
      </c>
      <c r="T148" s="1108">
        <v>0</v>
      </c>
      <c r="U148" s="1108">
        <v>0</v>
      </c>
      <c r="V148" s="1108">
        <v>0</v>
      </c>
      <c r="W148" s="1108">
        <v>0</v>
      </c>
      <c r="X148" s="1108">
        <v>0</v>
      </c>
      <c r="Y148" s="1108">
        <v>0</v>
      </c>
      <c r="Z148" s="1108">
        <v>0</v>
      </c>
      <c r="AA148" s="1108">
        <v>0</v>
      </c>
      <c r="AB148" s="1108">
        <v>0</v>
      </c>
      <c r="AC148" s="1108">
        <v>0</v>
      </c>
      <c r="AD148" s="1108">
        <v>0</v>
      </c>
      <c r="AE148" s="1108">
        <v>0</v>
      </c>
      <c r="AF148" s="1108">
        <v>0</v>
      </c>
      <c r="AG148" s="1108">
        <v>0</v>
      </c>
      <c r="AH148" s="1108">
        <v>0</v>
      </c>
      <c r="AI148" s="1108">
        <v>0</v>
      </c>
      <c r="AJ148" s="1108">
        <v>0</v>
      </c>
      <c r="AK148" s="1108">
        <v>0</v>
      </c>
      <c r="AL148" s="1108">
        <v>0</v>
      </c>
      <c r="AM148" s="1108">
        <v>0</v>
      </c>
      <c r="AN148" s="1108">
        <v>0</v>
      </c>
      <c r="AO148" s="1108">
        <v>0</v>
      </c>
      <c r="AP148" s="1108">
        <v>0</v>
      </c>
      <c r="AQ148" s="1108">
        <v>0</v>
      </c>
      <c r="AR148" s="1108">
        <v>0</v>
      </c>
      <c r="AS148" s="1108">
        <v>0</v>
      </c>
      <c r="AT148" s="1108">
        <v>0</v>
      </c>
      <c r="AU148" s="1108">
        <v>0</v>
      </c>
      <c r="AV148" s="1108">
        <v>0</v>
      </c>
      <c r="AW148" s="1108">
        <v>0</v>
      </c>
      <c r="AX148" s="1108">
        <v>0</v>
      </c>
      <c r="AY148" s="1108">
        <v>0</v>
      </c>
      <c r="AZ148" s="1108">
        <v>0</v>
      </c>
      <c r="BA148" s="1108">
        <v>0</v>
      </c>
      <c r="BB148" s="1108">
        <v>0</v>
      </c>
      <c r="BC148" s="1108">
        <v>0</v>
      </c>
      <c r="BD148" s="1108">
        <v>0</v>
      </c>
      <c r="BE148" s="1108">
        <v>0</v>
      </c>
      <c r="BF148" s="1108">
        <v>0</v>
      </c>
      <c r="BG148" s="1108">
        <v>0</v>
      </c>
      <c r="BH148" s="1108">
        <v>0</v>
      </c>
    </row>
    <row r="149" spans="1:60" x14ac:dyDescent="0.3">
      <c r="A149" s="1108">
        <v>391</v>
      </c>
      <c r="B149" s="1108">
        <v>391</v>
      </c>
      <c r="C149" s="1108" t="s">
        <v>200</v>
      </c>
      <c r="D149" s="1130">
        <v>32631</v>
      </c>
      <c r="E149" s="1130">
        <v>461073</v>
      </c>
      <c r="F149" s="1130">
        <v>21579</v>
      </c>
      <c r="G149" s="1130">
        <v>62332</v>
      </c>
      <c r="H149" s="1130">
        <v>506230</v>
      </c>
      <c r="I149" s="1130">
        <v>12316</v>
      </c>
      <c r="J149" s="1130">
        <v>13145</v>
      </c>
      <c r="K149" s="1130">
        <v>45491</v>
      </c>
      <c r="L149" s="1130">
        <v>101187</v>
      </c>
      <c r="M149" s="1130">
        <v>9782</v>
      </c>
      <c r="N149" s="1130">
        <v>44792</v>
      </c>
      <c r="O149" s="1130">
        <v>16253</v>
      </c>
      <c r="P149" s="1130">
        <v>84167</v>
      </c>
      <c r="Q149" s="1130">
        <v>33293</v>
      </c>
      <c r="R149" s="1130">
        <v>3175</v>
      </c>
      <c r="S149" s="1130">
        <v>128978</v>
      </c>
      <c r="T149" s="1130">
        <v>3341303</v>
      </c>
      <c r="U149" s="1130">
        <v>105814</v>
      </c>
      <c r="V149" s="1130">
        <v>330595</v>
      </c>
      <c r="W149" s="1130">
        <v>97950</v>
      </c>
      <c r="X149" s="1130">
        <v>19530</v>
      </c>
      <c r="Y149" s="1108">
        <v>0</v>
      </c>
      <c r="Z149" s="1130">
        <v>69664</v>
      </c>
      <c r="AA149" s="1130">
        <v>88308</v>
      </c>
      <c r="AB149" s="1108">
        <v>0</v>
      </c>
      <c r="AC149" s="1130">
        <v>133959</v>
      </c>
      <c r="AD149" s="1130">
        <v>262449</v>
      </c>
      <c r="AE149" s="1130">
        <v>389716</v>
      </c>
      <c r="AF149" s="1130">
        <v>7254</v>
      </c>
      <c r="AG149" s="1130">
        <v>23591</v>
      </c>
      <c r="AH149" s="1130">
        <v>121390</v>
      </c>
      <c r="AI149" s="1130">
        <v>50902</v>
      </c>
      <c r="AJ149" s="1130">
        <v>91790</v>
      </c>
      <c r="AK149" s="1130">
        <v>38067</v>
      </c>
      <c r="AL149" s="1130">
        <v>215339</v>
      </c>
      <c r="AM149" s="1130">
        <v>660202</v>
      </c>
      <c r="AN149" s="1130">
        <v>29485</v>
      </c>
      <c r="AO149" s="1130">
        <v>152965</v>
      </c>
      <c r="AP149" s="1130">
        <v>14991</v>
      </c>
      <c r="AQ149" s="1108">
        <v>0</v>
      </c>
      <c r="AR149" s="1130">
        <v>188635</v>
      </c>
      <c r="AS149" s="1130">
        <v>5125</v>
      </c>
      <c r="AT149" s="1130">
        <v>18386</v>
      </c>
      <c r="AU149" s="1130">
        <v>1208352</v>
      </c>
      <c r="AV149" s="1130">
        <v>27747</v>
      </c>
      <c r="AW149" s="1130">
        <v>5057968</v>
      </c>
      <c r="AX149" s="1130">
        <v>28018</v>
      </c>
      <c r="AY149" s="1130">
        <v>112340</v>
      </c>
      <c r="AZ149" s="1130">
        <v>244249</v>
      </c>
      <c r="BA149" s="1130">
        <v>352872</v>
      </c>
      <c r="BB149" s="1130">
        <v>84328</v>
      </c>
      <c r="BC149" s="1130">
        <v>4145</v>
      </c>
      <c r="BD149" s="1130">
        <v>90612</v>
      </c>
      <c r="BE149" s="1130">
        <v>38327</v>
      </c>
      <c r="BF149" s="1130">
        <v>2551947</v>
      </c>
      <c r="BG149" s="1130">
        <v>13010</v>
      </c>
      <c r="BH149" s="1130">
        <v>36335</v>
      </c>
    </row>
    <row r="150" spans="1:60" x14ac:dyDescent="0.3">
      <c r="A150" s="1108">
        <v>500</v>
      </c>
      <c r="B150" s="1108">
        <v>500</v>
      </c>
      <c r="C150" s="1108" t="s">
        <v>183</v>
      </c>
      <c r="D150" s="1108">
        <v>0</v>
      </c>
      <c r="E150" s="1108">
        <v>0</v>
      </c>
      <c r="F150" s="1108">
        <v>0</v>
      </c>
      <c r="G150" s="1108">
        <v>0</v>
      </c>
      <c r="H150" s="1108">
        <v>0</v>
      </c>
      <c r="I150" s="1108">
        <v>0</v>
      </c>
      <c r="J150" s="1108">
        <v>0</v>
      </c>
      <c r="K150" s="1130">
        <v>93121</v>
      </c>
      <c r="L150" s="1108">
        <v>0</v>
      </c>
      <c r="M150" s="1108">
        <v>0</v>
      </c>
      <c r="N150" s="1108">
        <v>0</v>
      </c>
      <c r="O150" s="1108">
        <v>0</v>
      </c>
      <c r="P150" s="1108">
        <v>0</v>
      </c>
      <c r="Q150" s="1108">
        <v>0</v>
      </c>
      <c r="R150" s="1108">
        <v>0</v>
      </c>
      <c r="S150" s="1108">
        <v>0</v>
      </c>
      <c r="T150" s="1108">
        <v>0</v>
      </c>
      <c r="U150" s="1130">
        <v>2207380</v>
      </c>
      <c r="V150" s="1108">
        <v>0</v>
      </c>
      <c r="W150" s="1108">
        <v>0</v>
      </c>
      <c r="X150" s="1108">
        <v>0</v>
      </c>
      <c r="Y150" s="1108">
        <v>0</v>
      </c>
      <c r="Z150" s="1108">
        <v>0</v>
      </c>
      <c r="AA150" s="1108">
        <v>0</v>
      </c>
      <c r="AB150" s="1108">
        <v>0</v>
      </c>
      <c r="AC150" s="1108">
        <v>0</v>
      </c>
      <c r="AD150" s="1130">
        <v>100848</v>
      </c>
      <c r="AE150" s="1108">
        <v>0</v>
      </c>
      <c r="AF150" s="1108">
        <v>0</v>
      </c>
      <c r="AG150" s="1108">
        <v>0</v>
      </c>
      <c r="AH150" s="1108">
        <v>0</v>
      </c>
      <c r="AI150" s="1108">
        <v>0</v>
      </c>
      <c r="AJ150" s="1108">
        <v>0</v>
      </c>
      <c r="AK150" s="1108">
        <v>0</v>
      </c>
      <c r="AL150" s="1108">
        <v>0</v>
      </c>
      <c r="AM150" s="1108">
        <v>0</v>
      </c>
      <c r="AN150" s="1108">
        <v>0</v>
      </c>
      <c r="AO150" s="1108">
        <v>0</v>
      </c>
      <c r="AP150" s="1108">
        <v>0</v>
      </c>
      <c r="AQ150" s="1108">
        <v>0</v>
      </c>
      <c r="AR150" s="1108">
        <v>0</v>
      </c>
      <c r="AS150" s="1108">
        <v>0</v>
      </c>
      <c r="AT150" s="1130">
        <v>8603</v>
      </c>
      <c r="AU150" s="1108">
        <v>0</v>
      </c>
      <c r="AV150" s="1130">
        <v>208107</v>
      </c>
      <c r="AW150" s="1130">
        <v>6488539</v>
      </c>
      <c r="AX150" s="1108">
        <v>0</v>
      </c>
      <c r="AY150" s="1108">
        <v>0</v>
      </c>
      <c r="AZ150" s="1108">
        <v>0</v>
      </c>
      <c r="BA150" s="1108">
        <v>0</v>
      </c>
      <c r="BB150" s="1108">
        <v>0</v>
      </c>
      <c r="BC150" s="1108">
        <v>0</v>
      </c>
      <c r="BD150" s="1108">
        <v>0</v>
      </c>
      <c r="BE150" s="1108">
        <v>0</v>
      </c>
      <c r="BF150" s="1108">
        <v>0</v>
      </c>
      <c r="BG150" s="1108">
        <v>0</v>
      </c>
      <c r="BH150" s="1108">
        <v>0</v>
      </c>
    </row>
    <row r="151" spans="1:60" x14ac:dyDescent="0.3">
      <c r="A151" s="1108"/>
      <c r="B151" s="1108">
        <v>501</v>
      </c>
      <c r="C151" s="1108" t="e">
        <v>#VALUE!</v>
      </c>
      <c r="D151" s="1108"/>
      <c r="E151" s="1108"/>
      <c r="F151" s="1108"/>
      <c r="G151" s="1108"/>
      <c r="H151" s="1108"/>
      <c r="I151" s="1108"/>
      <c r="J151" s="1108"/>
      <c r="K151" s="1108"/>
      <c r="L151" s="1108"/>
      <c r="M151" s="1108"/>
      <c r="N151" s="1108"/>
      <c r="O151" s="1108"/>
      <c r="P151" s="1108"/>
      <c r="Q151" s="1108"/>
      <c r="R151" s="1108"/>
      <c r="S151" s="1108"/>
      <c r="T151" s="1108"/>
      <c r="U151" s="1108"/>
      <c r="V151" s="1108"/>
      <c r="W151" s="1108"/>
      <c r="X151" s="1108"/>
      <c r="Y151" s="1108"/>
      <c r="Z151" s="1108"/>
      <c r="AA151" s="1108"/>
      <c r="AB151" s="1108"/>
      <c r="AC151" s="1108"/>
      <c r="AD151" s="1108"/>
      <c r="AE151" s="1108"/>
      <c r="AF151" s="1108"/>
      <c r="AG151" s="1108"/>
      <c r="AH151" s="1108"/>
      <c r="AI151" s="1108"/>
      <c r="AJ151" s="1108"/>
      <c r="AK151" s="1108"/>
      <c r="AL151" s="1108"/>
      <c r="AM151" s="1108"/>
      <c r="AN151" s="1108"/>
      <c r="AO151" s="1108"/>
      <c r="AP151" s="1108"/>
      <c r="AQ151" s="1108"/>
      <c r="AR151" s="1108"/>
      <c r="AS151" s="1108"/>
      <c r="AT151" s="1108"/>
      <c r="AU151" s="1108"/>
      <c r="AV151" s="1108"/>
      <c r="AW151" s="1108"/>
      <c r="AX151" s="1108"/>
      <c r="AY151" s="1108"/>
      <c r="AZ151" s="1108"/>
      <c r="BA151" s="1108"/>
      <c r="BB151" s="1108"/>
      <c r="BC151" s="1108"/>
      <c r="BD151" s="1108"/>
      <c r="BE151" s="1108"/>
      <c r="BF151" s="1108"/>
      <c r="BG151" s="1108"/>
      <c r="BH151" s="1108"/>
    </row>
    <row r="152" spans="1:60" x14ac:dyDescent="0.3">
      <c r="A152" s="1108">
        <v>502</v>
      </c>
      <c r="B152" s="1108">
        <v>502</v>
      </c>
      <c r="C152" s="1108" t="s">
        <v>185</v>
      </c>
      <c r="D152" s="1130">
        <v>102867</v>
      </c>
      <c r="E152" s="1130">
        <v>1241662</v>
      </c>
      <c r="F152" s="1130">
        <v>2348569</v>
      </c>
      <c r="G152" s="1130">
        <v>1375170</v>
      </c>
      <c r="H152" s="1130">
        <v>245605</v>
      </c>
      <c r="I152" s="1130">
        <v>7211</v>
      </c>
      <c r="J152" s="1130">
        <v>831782</v>
      </c>
      <c r="K152" s="1130">
        <v>1215807</v>
      </c>
      <c r="L152" s="1130">
        <v>570841</v>
      </c>
      <c r="M152" s="1130">
        <v>258684</v>
      </c>
      <c r="N152" s="1130">
        <v>668817</v>
      </c>
      <c r="O152" s="1130">
        <v>2224045</v>
      </c>
      <c r="P152" s="1130">
        <v>2397656</v>
      </c>
      <c r="Q152" s="1130">
        <v>96598</v>
      </c>
      <c r="R152" s="1108">
        <v>0</v>
      </c>
      <c r="S152" s="1130">
        <v>3370123</v>
      </c>
      <c r="T152" s="1130">
        <v>3540601</v>
      </c>
      <c r="U152" s="1130">
        <v>1867019</v>
      </c>
      <c r="V152" s="1130">
        <v>330578</v>
      </c>
      <c r="W152" s="1130">
        <v>6884598</v>
      </c>
      <c r="X152" s="1130">
        <v>1139663</v>
      </c>
      <c r="Y152" s="1130">
        <v>111264</v>
      </c>
      <c r="Z152" s="1130">
        <v>1830383</v>
      </c>
      <c r="AA152" s="1130">
        <v>64620</v>
      </c>
      <c r="AB152" s="1130">
        <v>1102086</v>
      </c>
      <c r="AC152" s="1130">
        <v>5282392</v>
      </c>
      <c r="AD152" s="1130">
        <v>31796</v>
      </c>
      <c r="AE152" s="1130">
        <v>4867455</v>
      </c>
      <c r="AF152" s="1130">
        <v>1193068</v>
      </c>
      <c r="AG152" s="1130">
        <v>478568</v>
      </c>
      <c r="AH152" s="1130">
        <v>5291566</v>
      </c>
      <c r="AI152" s="1130">
        <v>1903869</v>
      </c>
      <c r="AJ152" s="1130">
        <v>2650309</v>
      </c>
      <c r="AK152" s="1130">
        <v>125416</v>
      </c>
      <c r="AL152" s="1130">
        <v>1090006</v>
      </c>
      <c r="AM152" s="1130">
        <v>1484762</v>
      </c>
      <c r="AN152" s="1130">
        <v>1063677</v>
      </c>
      <c r="AO152" s="1130">
        <v>718140</v>
      </c>
      <c r="AP152" s="1130">
        <v>1181911</v>
      </c>
      <c r="AQ152" s="1130">
        <v>371526</v>
      </c>
      <c r="AR152" s="1130">
        <v>544513</v>
      </c>
      <c r="AS152" s="1130">
        <v>118585</v>
      </c>
      <c r="AT152" s="1130">
        <v>261069</v>
      </c>
      <c r="AU152" s="1130">
        <v>7605036</v>
      </c>
      <c r="AV152" s="1130">
        <v>878599</v>
      </c>
      <c r="AW152" s="1130">
        <v>27985709</v>
      </c>
      <c r="AX152" s="1130">
        <v>842857</v>
      </c>
      <c r="AY152" s="1130">
        <v>94590</v>
      </c>
      <c r="AZ152" s="1130">
        <v>993901</v>
      </c>
      <c r="BA152" s="1130">
        <v>2108073</v>
      </c>
      <c r="BB152" s="1130">
        <v>237200</v>
      </c>
      <c r="BC152" s="1130">
        <v>923070</v>
      </c>
      <c r="BD152" s="1130">
        <v>348354</v>
      </c>
      <c r="BE152" s="1130">
        <v>1771369</v>
      </c>
      <c r="BF152" s="1130">
        <v>12757814</v>
      </c>
      <c r="BG152" s="1130">
        <v>917690</v>
      </c>
      <c r="BH152" s="1130">
        <v>430132</v>
      </c>
    </row>
    <row r="153" spans="1:60" x14ac:dyDescent="0.3">
      <c r="A153" s="1108">
        <v>503</v>
      </c>
      <c r="B153" s="1108">
        <v>503</v>
      </c>
      <c r="C153" s="1108" t="s">
        <v>186</v>
      </c>
      <c r="D153" s="1108">
        <v>0</v>
      </c>
      <c r="E153" s="1108">
        <v>0</v>
      </c>
      <c r="F153" s="1108">
        <v>0</v>
      </c>
      <c r="G153" s="1108">
        <v>0</v>
      </c>
      <c r="H153" s="1108">
        <v>0</v>
      </c>
      <c r="I153" s="1108">
        <v>0</v>
      </c>
      <c r="J153" s="1108">
        <v>0</v>
      </c>
      <c r="K153" s="1108">
        <v>0</v>
      </c>
      <c r="L153" s="1108">
        <v>0</v>
      </c>
      <c r="M153" s="1108">
        <v>0</v>
      </c>
      <c r="N153" s="1108">
        <v>0</v>
      </c>
      <c r="O153" s="1108">
        <v>0</v>
      </c>
      <c r="P153" s="1108">
        <v>0</v>
      </c>
      <c r="Q153" s="1108">
        <v>0</v>
      </c>
      <c r="R153" s="1108">
        <v>0</v>
      </c>
      <c r="S153" s="1108">
        <v>0</v>
      </c>
      <c r="T153" s="1108">
        <v>0</v>
      </c>
      <c r="U153" s="1108">
        <v>0</v>
      </c>
      <c r="V153" s="1108">
        <v>0</v>
      </c>
      <c r="W153" s="1108">
        <v>0</v>
      </c>
      <c r="X153" s="1108">
        <v>0</v>
      </c>
      <c r="Y153" s="1108">
        <v>0</v>
      </c>
      <c r="Z153" s="1108">
        <v>0</v>
      </c>
      <c r="AA153" s="1108">
        <v>0</v>
      </c>
      <c r="AB153" s="1108">
        <v>0</v>
      </c>
      <c r="AC153" s="1108">
        <v>0</v>
      </c>
      <c r="AD153" s="1108">
        <v>0</v>
      </c>
      <c r="AE153" s="1108">
        <v>0</v>
      </c>
      <c r="AF153" s="1108">
        <v>0</v>
      </c>
      <c r="AG153" s="1108">
        <v>0</v>
      </c>
      <c r="AH153" s="1108">
        <v>0</v>
      </c>
      <c r="AI153" s="1108">
        <v>0</v>
      </c>
      <c r="AJ153" s="1108">
        <v>0</v>
      </c>
      <c r="AK153" s="1108">
        <v>0</v>
      </c>
      <c r="AL153" s="1108">
        <v>0</v>
      </c>
      <c r="AM153" s="1108">
        <v>0</v>
      </c>
      <c r="AN153" s="1108">
        <v>0</v>
      </c>
      <c r="AO153" s="1108">
        <v>0</v>
      </c>
      <c r="AP153" s="1108">
        <v>0</v>
      </c>
      <c r="AQ153" s="1108">
        <v>0</v>
      </c>
      <c r="AR153" s="1108">
        <v>0</v>
      </c>
      <c r="AS153" s="1108">
        <v>0</v>
      </c>
      <c r="AT153" s="1108">
        <v>0</v>
      </c>
      <c r="AU153" s="1108">
        <v>0</v>
      </c>
      <c r="AV153" s="1108">
        <v>0</v>
      </c>
      <c r="AW153" s="1108">
        <v>0</v>
      </c>
      <c r="AX153" s="1108">
        <v>0</v>
      </c>
      <c r="AY153" s="1108">
        <v>0</v>
      </c>
      <c r="AZ153" s="1108">
        <v>0</v>
      </c>
      <c r="BA153" s="1108">
        <v>0</v>
      </c>
      <c r="BB153" s="1108">
        <v>0</v>
      </c>
      <c r="BC153" s="1108">
        <v>0</v>
      </c>
      <c r="BD153" s="1108">
        <v>0</v>
      </c>
      <c r="BE153" s="1108">
        <v>0</v>
      </c>
      <c r="BF153" s="1108">
        <v>0</v>
      </c>
      <c r="BG153" s="1108">
        <v>0</v>
      </c>
      <c r="BH153" s="1108">
        <v>0</v>
      </c>
    </row>
    <row r="154" spans="1:60" x14ac:dyDescent="0.3">
      <c r="A154" s="1108">
        <v>504</v>
      </c>
      <c r="B154" s="1108">
        <v>504</v>
      </c>
      <c r="C154" s="1108" t="s">
        <v>190</v>
      </c>
      <c r="D154" s="1130">
        <v>39613983</v>
      </c>
      <c r="E154" s="1130">
        <v>67177164</v>
      </c>
      <c r="F154" s="1130">
        <v>67603695</v>
      </c>
      <c r="G154" s="1130">
        <v>23361116</v>
      </c>
      <c r="H154" s="1130">
        <v>75751396</v>
      </c>
      <c r="I154" s="1130">
        <v>32467201</v>
      </c>
      <c r="J154" s="1130">
        <v>20626558</v>
      </c>
      <c r="K154" s="1130">
        <v>27409392</v>
      </c>
      <c r="L154" s="1130">
        <v>49266602</v>
      </c>
      <c r="M154" s="1130">
        <v>15344338</v>
      </c>
      <c r="N154" s="1130">
        <v>33087650</v>
      </c>
      <c r="O154" s="1130">
        <v>84547421</v>
      </c>
      <c r="P154" s="1130">
        <v>36887745</v>
      </c>
      <c r="Q154" s="1130">
        <v>14304168</v>
      </c>
      <c r="R154" s="1130">
        <v>1998299</v>
      </c>
      <c r="S154" s="1130">
        <v>106758990</v>
      </c>
      <c r="T154" s="1130">
        <v>188671126</v>
      </c>
      <c r="U154" s="1130">
        <v>22514707</v>
      </c>
      <c r="V154" s="1130">
        <v>16948427</v>
      </c>
      <c r="W154" s="1130">
        <v>197246244</v>
      </c>
      <c r="X154" s="1130">
        <v>51926958</v>
      </c>
      <c r="Y154" s="1130">
        <v>16290895</v>
      </c>
      <c r="Z154" s="1130">
        <v>67314519</v>
      </c>
      <c r="AA154" s="1130">
        <v>13561957</v>
      </c>
      <c r="AB154" s="1130">
        <v>36077806</v>
      </c>
      <c r="AC154" s="1130">
        <v>181834387</v>
      </c>
      <c r="AD154" s="1130">
        <v>19136270</v>
      </c>
      <c r="AE154" s="1130">
        <v>117774475</v>
      </c>
      <c r="AF154" s="1130">
        <v>54596734</v>
      </c>
      <c r="AG154" s="1130">
        <v>20893438</v>
      </c>
      <c r="AH154" s="1130">
        <v>190233300</v>
      </c>
      <c r="AI154" s="1130">
        <v>91747593</v>
      </c>
      <c r="AJ154" s="1130">
        <v>140172715</v>
      </c>
      <c r="AK154" s="1130">
        <v>63036360</v>
      </c>
      <c r="AL154" s="1130">
        <v>58385242</v>
      </c>
      <c r="AM154" s="1130">
        <v>47262667</v>
      </c>
      <c r="AN154" s="1130">
        <v>59709021</v>
      </c>
      <c r="AO154" s="1130">
        <v>47750373</v>
      </c>
      <c r="AP154" s="1130">
        <v>58286688</v>
      </c>
      <c r="AQ154" s="1130">
        <v>16597807</v>
      </c>
      <c r="AR154" s="1130">
        <v>18024025</v>
      </c>
      <c r="AS154" s="1130">
        <v>25368047</v>
      </c>
      <c r="AT154" s="1130">
        <v>6431589</v>
      </c>
      <c r="AU154" s="1130">
        <v>269100942</v>
      </c>
      <c r="AV154" s="1130">
        <v>47004942</v>
      </c>
      <c r="AW154" s="1130">
        <v>1075480070</v>
      </c>
      <c r="AX154" s="1130">
        <v>19408718</v>
      </c>
      <c r="AY154" s="1130">
        <v>14615225</v>
      </c>
      <c r="AZ154" s="1130">
        <v>33776940</v>
      </c>
      <c r="BA154" s="1130">
        <v>138439197</v>
      </c>
      <c r="BB154" s="1130">
        <v>8966388</v>
      </c>
      <c r="BC154" s="1130">
        <v>19854777</v>
      </c>
      <c r="BD154" s="1130">
        <v>67723962</v>
      </c>
      <c r="BE154" s="1130">
        <v>77813139</v>
      </c>
      <c r="BF154" s="1130">
        <v>398942620</v>
      </c>
      <c r="BG154" s="1130">
        <v>38531764</v>
      </c>
      <c r="BH154" s="1130">
        <v>18037062</v>
      </c>
    </row>
    <row r="155" spans="1:60" x14ac:dyDescent="0.3">
      <c r="A155" s="1108">
        <v>505</v>
      </c>
      <c r="B155" s="1108">
        <v>505</v>
      </c>
      <c r="C155" s="1108" t="s">
        <v>191</v>
      </c>
      <c r="D155" s="1130">
        <v>136726</v>
      </c>
      <c r="E155" s="1130">
        <v>510407</v>
      </c>
      <c r="F155" s="1130">
        <v>1038229</v>
      </c>
      <c r="G155" s="1108">
        <v>0</v>
      </c>
      <c r="H155" s="1130">
        <v>365644</v>
      </c>
      <c r="I155" s="1130">
        <v>202756</v>
      </c>
      <c r="J155" s="1130">
        <v>278717</v>
      </c>
      <c r="K155" s="1130">
        <v>1252767</v>
      </c>
      <c r="L155" s="1108">
        <v>0</v>
      </c>
      <c r="M155" s="1130">
        <v>160402</v>
      </c>
      <c r="N155" s="1130">
        <v>366147</v>
      </c>
      <c r="O155" s="1130">
        <v>686818</v>
      </c>
      <c r="P155" s="1108">
        <v>0</v>
      </c>
      <c r="Q155" s="1108">
        <v>0</v>
      </c>
      <c r="R155" s="1108">
        <v>0</v>
      </c>
      <c r="S155" s="1130">
        <v>589254</v>
      </c>
      <c r="T155" s="1108">
        <v>0</v>
      </c>
      <c r="U155" s="1108">
        <v>0</v>
      </c>
      <c r="V155" s="1130">
        <v>294381</v>
      </c>
      <c r="W155" s="1130">
        <v>750638</v>
      </c>
      <c r="X155" s="1130">
        <v>555157</v>
      </c>
      <c r="Y155" s="1130">
        <v>161212</v>
      </c>
      <c r="Z155" s="1130">
        <v>12458462</v>
      </c>
      <c r="AA155" s="1130">
        <v>445630</v>
      </c>
      <c r="AB155" s="1130">
        <v>259411</v>
      </c>
      <c r="AC155" s="1130">
        <v>3080270</v>
      </c>
      <c r="AD155" s="1130">
        <v>84169</v>
      </c>
      <c r="AE155" s="1130">
        <v>1294486</v>
      </c>
      <c r="AF155" s="1130">
        <v>452496</v>
      </c>
      <c r="AG155" s="1108">
        <v>0</v>
      </c>
      <c r="AH155" s="1108">
        <v>0</v>
      </c>
      <c r="AI155" s="1130">
        <v>740244</v>
      </c>
      <c r="AJ155" s="1130">
        <v>334597</v>
      </c>
      <c r="AK155" s="1108">
        <v>0</v>
      </c>
      <c r="AL155" s="1130">
        <v>1051831</v>
      </c>
      <c r="AM155" s="1130">
        <v>259545</v>
      </c>
      <c r="AN155" s="1130">
        <v>323204</v>
      </c>
      <c r="AO155" s="1130">
        <v>382431</v>
      </c>
      <c r="AP155" s="1130">
        <v>354256</v>
      </c>
      <c r="AQ155" s="1108">
        <v>0</v>
      </c>
      <c r="AR155" s="1130">
        <v>6544</v>
      </c>
      <c r="AS155" s="1130">
        <v>13537</v>
      </c>
      <c r="AT155" s="1130">
        <v>1506</v>
      </c>
      <c r="AU155" s="1130">
        <v>456440</v>
      </c>
      <c r="AV155" s="1130">
        <v>502441</v>
      </c>
      <c r="AW155" s="1108">
        <v>0</v>
      </c>
      <c r="AX155" s="1108">
        <v>0</v>
      </c>
      <c r="AY155" s="1130">
        <v>179875</v>
      </c>
      <c r="AZ155" s="1130">
        <v>463035</v>
      </c>
      <c r="BA155" s="1130">
        <v>3317667</v>
      </c>
      <c r="BB155" s="1108">
        <v>0</v>
      </c>
      <c r="BC155" s="1130">
        <v>414861</v>
      </c>
      <c r="BD155" s="1130">
        <v>36177</v>
      </c>
      <c r="BE155" s="1108">
        <v>0</v>
      </c>
      <c r="BF155" s="1108">
        <v>0</v>
      </c>
      <c r="BG155" s="1130">
        <v>293840</v>
      </c>
      <c r="BH155" s="1130">
        <v>261464</v>
      </c>
    </row>
    <row r="156" spans="1:60" x14ac:dyDescent="0.3">
      <c r="A156" s="1108">
        <v>506</v>
      </c>
      <c r="B156" s="1108">
        <v>506</v>
      </c>
      <c r="C156" s="1108" t="s">
        <v>197</v>
      </c>
      <c r="D156" s="1130">
        <v>472512</v>
      </c>
      <c r="E156" s="1130">
        <v>1713478</v>
      </c>
      <c r="F156" s="1130">
        <v>2583139</v>
      </c>
      <c r="G156" s="1130">
        <v>1265172</v>
      </c>
      <c r="H156" s="1130">
        <v>2564072</v>
      </c>
      <c r="I156" s="1130">
        <v>1339115</v>
      </c>
      <c r="J156" s="1130">
        <v>575471</v>
      </c>
      <c r="K156" s="1130">
        <v>3411625</v>
      </c>
      <c r="L156" s="1130">
        <v>6273484</v>
      </c>
      <c r="M156" s="1130">
        <v>666365</v>
      </c>
      <c r="N156" s="1130">
        <v>2655267</v>
      </c>
      <c r="O156" s="1130">
        <v>3454135</v>
      </c>
      <c r="P156" s="1130">
        <v>1481024</v>
      </c>
      <c r="Q156" s="1130">
        <v>1266166</v>
      </c>
      <c r="R156" s="1130">
        <v>605880</v>
      </c>
      <c r="S156" s="1130">
        <v>4294815</v>
      </c>
      <c r="T156" s="1130">
        <v>21218504</v>
      </c>
      <c r="U156" s="1130">
        <v>2408755</v>
      </c>
      <c r="V156" s="1130">
        <v>693417</v>
      </c>
      <c r="W156" s="1130">
        <v>16453985</v>
      </c>
      <c r="X156" s="1130">
        <v>6585523</v>
      </c>
      <c r="Y156" s="1130">
        <v>370011</v>
      </c>
      <c r="Z156" s="1130">
        <v>3463675</v>
      </c>
      <c r="AA156" s="1130">
        <v>239048</v>
      </c>
      <c r="AB156" s="1130">
        <v>1150721</v>
      </c>
      <c r="AC156" s="1130">
        <v>8219032</v>
      </c>
      <c r="AD156" s="1130">
        <v>475641</v>
      </c>
      <c r="AE156" s="1130">
        <v>4632205</v>
      </c>
      <c r="AF156" s="1130">
        <v>3608077</v>
      </c>
      <c r="AG156" s="1130">
        <v>1496664</v>
      </c>
      <c r="AH156" s="1130">
        <v>5738875</v>
      </c>
      <c r="AI156" s="1130">
        <v>16445473</v>
      </c>
      <c r="AJ156" s="1130">
        <v>8198226</v>
      </c>
      <c r="AK156" s="1130">
        <v>2181228</v>
      </c>
      <c r="AL156" s="1130">
        <v>2884132</v>
      </c>
      <c r="AM156" s="1130">
        <v>2098822</v>
      </c>
      <c r="AN156" s="1130">
        <v>1702719</v>
      </c>
      <c r="AO156" s="1130">
        <v>624037</v>
      </c>
      <c r="AP156" s="1130">
        <v>3031049</v>
      </c>
      <c r="AQ156" s="1130">
        <v>50492</v>
      </c>
      <c r="AR156" s="1108">
        <v>0</v>
      </c>
      <c r="AS156" s="1130">
        <v>1093412</v>
      </c>
      <c r="AT156" s="1130">
        <v>299305</v>
      </c>
      <c r="AU156" s="1130">
        <v>5869073</v>
      </c>
      <c r="AV156" s="1130">
        <v>1023866</v>
      </c>
      <c r="AW156" s="1130">
        <v>86499548</v>
      </c>
      <c r="AX156" s="1130">
        <v>964295</v>
      </c>
      <c r="AY156" s="1130">
        <v>472687</v>
      </c>
      <c r="AZ156" s="1130">
        <v>4110395</v>
      </c>
      <c r="BA156" s="1130">
        <v>2103568</v>
      </c>
      <c r="BB156" s="1130">
        <v>263327</v>
      </c>
      <c r="BC156" s="1130">
        <v>1224722</v>
      </c>
      <c r="BD156" s="1130">
        <v>8278855</v>
      </c>
      <c r="BE156" s="1130">
        <v>5384760</v>
      </c>
      <c r="BF156" s="1130">
        <v>8791365</v>
      </c>
      <c r="BG156" s="1130">
        <v>851750</v>
      </c>
      <c r="BH156" s="1130">
        <v>994576</v>
      </c>
    </row>
    <row r="157" spans="1:60" x14ac:dyDescent="0.3">
      <c r="A157" s="1108">
        <v>507</v>
      </c>
      <c r="B157" s="1108">
        <v>507</v>
      </c>
      <c r="C157" s="1108" t="s">
        <v>215</v>
      </c>
      <c r="D157" s="1108">
        <v>0</v>
      </c>
      <c r="E157" s="1130">
        <v>11781</v>
      </c>
      <c r="F157" s="1130">
        <v>-53151</v>
      </c>
      <c r="G157" s="1108">
        <v>0</v>
      </c>
      <c r="H157" s="1108">
        <v>0</v>
      </c>
      <c r="I157" s="1130">
        <v>86897</v>
      </c>
      <c r="J157" s="1130">
        <v>-162397</v>
      </c>
      <c r="K157" s="1130">
        <v>11102</v>
      </c>
      <c r="L157" s="1108">
        <v>0</v>
      </c>
      <c r="M157" s="1108">
        <v>0</v>
      </c>
      <c r="N157" s="1130">
        <v>-23508</v>
      </c>
      <c r="O157" s="1130">
        <v>-66003</v>
      </c>
      <c r="P157" s="1108">
        <v>0</v>
      </c>
      <c r="Q157" s="1108">
        <v>0</v>
      </c>
      <c r="R157" s="1108">
        <v>0</v>
      </c>
      <c r="S157" s="1130">
        <v>-45524</v>
      </c>
      <c r="T157" s="1130">
        <v>120046</v>
      </c>
      <c r="U157" s="1108">
        <v>0</v>
      </c>
      <c r="V157" s="1130">
        <v>15492</v>
      </c>
      <c r="W157" s="1130">
        <v>-37804</v>
      </c>
      <c r="X157" s="1108">
        <v>0</v>
      </c>
      <c r="Y157" s="1108">
        <v>0</v>
      </c>
      <c r="Z157" s="1108">
        <v>0</v>
      </c>
      <c r="AA157" s="1108">
        <v>1</v>
      </c>
      <c r="AB157" s="1108">
        <v>0</v>
      </c>
      <c r="AC157" s="1130">
        <v>-11649</v>
      </c>
      <c r="AD157" s="1108">
        <v>0</v>
      </c>
      <c r="AE157" s="1130">
        <v>-36744</v>
      </c>
      <c r="AF157" s="1108">
        <v>0</v>
      </c>
      <c r="AG157" s="1108">
        <v>0</v>
      </c>
      <c r="AH157" s="1108">
        <v>0</v>
      </c>
      <c r="AI157" s="1108">
        <v>0</v>
      </c>
      <c r="AJ157" s="1108">
        <v>0</v>
      </c>
      <c r="AK157" s="1108">
        <v>0</v>
      </c>
      <c r="AL157" s="1130">
        <v>113249</v>
      </c>
      <c r="AM157" s="1108">
        <v>0</v>
      </c>
      <c r="AN157" s="1108">
        <v>0</v>
      </c>
      <c r="AO157" s="1108">
        <v>0</v>
      </c>
      <c r="AP157" s="1130">
        <v>-58799</v>
      </c>
      <c r="AQ157" s="1108">
        <v>0</v>
      </c>
      <c r="AR157" s="1108">
        <v>0</v>
      </c>
      <c r="AS157" s="1108">
        <v>0</v>
      </c>
      <c r="AT157" s="1108">
        <v>0</v>
      </c>
      <c r="AU157" s="1108">
        <v>0</v>
      </c>
      <c r="AV157" s="1130">
        <v>-8250</v>
      </c>
      <c r="AW157" s="1130">
        <v>120477</v>
      </c>
      <c r="AX157" s="1108">
        <v>0</v>
      </c>
      <c r="AY157" s="1130">
        <v>2773</v>
      </c>
      <c r="AZ157" s="1130">
        <v>-28122</v>
      </c>
      <c r="BA157" s="1130">
        <v>221495</v>
      </c>
      <c r="BB157" s="1108">
        <v>0</v>
      </c>
      <c r="BC157" s="1108">
        <v>0</v>
      </c>
      <c r="BD157" s="1130">
        <v>-17829</v>
      </c>
      <c r="BE157" s="1130">
        <v>-36317</v>
      </c>
      <c r="BF157" s="1130">
        <v>51891</v>
      </c>
      <c r="BG157" s="1108">
        <v>0</v>
      </c>
      <c r="BH157" s="1130">
        <v>-2519</v>
      </c>
    </row>
    <row r="158" spans="1:60" x14ac:dyDescent="0.3">
      <c r="A158" s="1108"/>
      <c r="B158" s="1108">
        <v>508</v>
      </c>
      <c r="C158" s="1108" t="e">
        <v>#VALUE!</v>
      </c>
      <c r="D158" s="1108"/>
      <c r="E158" s="1108"/>
      <c r="F158" s="1108"/>
      <c r="G158" s="1108"/>
      <c r="H158" s="1108"/>
      <c r="I158" s="1108"/>
      <c r="J158" s="1108"/>
      <c r="K158" s="1108"/>
      <c r="L158" s="1108"/>
      <c r="M158" s="1108"/>
      <c r="N158" s="1108"/>
      <c r="O158" s="1108"/>
      <c r="P158" s="1108"/>
      <c r="Q158" s="1108"/>
      <c r="R158" s="1108"/>
      <c r="S158" s="1108"/>
      <c r="T158" s="1108"/>
      <c r="U158" s="1108"/>
      <c r="V158" s="1108"/>
      <c r="W158" s="1108"/>
      <c r="X158" s="1108"/>
      <c r="Y158" s="1108"/>
      <c r="Z158" s="1108"/>
      <c r="AA158" s="1108"/>
      <c r="AB158" s="1108"/>
      <c r="AC158" s="1108"/>
      <c r="AD158" s="1108"/>
      <c r="AE158" s="1108"/>
      <c r="AF158" s="1108"/>
      <c r="AG158" s="1108"/>
      <c r="AH158" s="1108"/>
      <c r="AI158" s="1108"/>
      <c r="AJ158" s="1108"/>
      <c r="AK158" s="1108"/>
      <c r="AL158" s="1108"/>
      <c r="AM158" s="1108"/>
      <c r="AN158" s="1108"/>
      <c r="AO158" s="1108"/>
      <c r="AP158" s="1108"/>
      <c r="AQ158" s="1108"/>
      <c r="AR158" s="1108"/>
      <c r="AS158" s="1108"/>
      <c r="AT158" s="1108"/>
      <c r="AU158" s="1108"/>
      <c r="AV158" s="1108"/>
      <c r="AW158" s="1108"/>
      <c r="AX158" s="1108"/>
      <c r="AY158" s="1108"/>
      <c r="AZ158" s="1108"/>
      <c r="BA158" s="1108"/>
      <c r="BB158" s="1108"/>
      <c r="BC158" s="1108"/>
      <c r="BD158" s="1108"/>
      <c r="BE158" s="1108"/>
      <c r="BF158" s="1108"/>
      <c r="BG158" s="1108"/>
      <c r="BH158" s="1108"/>
    </row>
    <row r="159" spans="1:60" x14ac:dyDescent="0.3">
      <c r="A159" s="1108"/>
      <c r="B159" s="1108">
        <v>509</v>
      </c>
      <c r="C159" s="1108" t="e">
        <v>#VALUE!</v>
      </c>
      <c r="D159" s="1108"/>
      <c r="E159" s="1108"/>
      <c r="F159" s="1108"/>
      <c r="G159" s="1108"/>
      <c r="H159" s="1108"/>
      <c r="I159" s="1108"/>
      <c r="J159" s="1108"/>
      <c r="K159" s="1108"/>
      <c r="L159" s="1108"/>
      <c r="M159" s="1108"/>
      <c r="N159" s="1108"/>
      <c r="O159" s="1108"/>
      <c r="P159" s="1108"/>
      <c r="Q159" s="1108"/>
      <c r="R159" s="1108"/>
      <c r="S159" s="1108"/>
      <c r="T159" s="1108"/>
      <c r="U159" s="1108"/>
      <c r="V159" s="1108"/>
      <c r="W159" s="1108"/>
      <c r="X159" s="1108"/>
      <c r="Y159" s="1108"/>
      <c r="Z159" s="1108"/>
      <c r="AA159" s="1108"/>
      <c r="AB159" s="1108"/>
      <c r="AC159" s="1108"/>
      <c r="AD159" s="1108"/>
      <c r="AE159" s="1108"/>
      <c r="AF159" s="1108"/>
      <c r="AG159" s="1108"/>
      <c r="AH159" s="1108"/>
      <c r="AI159" s="1108"/>
      <c r="AJ159" s="1108"/>
      <c r="AK159" s="1108"/>
      <c r="AL159" s="1108"/>
      <c r="AM159" s="1108"/>
      <c r="AN159" s="1108"/>
      <c r="AO159" s="1108"/>
      <c r="AP159" s="1108"/>
      <c r="AQ159" s="1108"/>
      <c r="AR159" s="1108"/>
      <c r="AS159" s="1108"/>
      <c r="AT159" s="1108"/>
      <c r="AU159" s="1108"/>
      <c r="AV159" s="1108"/>
      <c r="AW159" s="1108"/>
      <c r="AX159" s="1108"/>
      <c r="AY159" s="1108"/>
      <c r="AZ159" s="1108"/>
      <c r="BA159" s="1108"/>
      <c r="BB159" s="1108"/>
      <c r="BC159" s="1108"/>
      <c r="BD159" s="1108"/>
      <c r="BE159" s="1108"/>
      <c r="BF159" s="1108"/>
      <c r="BG159" s="1108"/>
      <c r="BH159" s="1108"/>
    </row>
    <row r="160" spans="1:60" x14ac:dyDescent="0.3">
      <c r="A160" s="1108"/>
      <c r="B160" s="1108">
        <v>510</v>
      </c>
      <c r="C160" s="1108" t="e">
        <v>#VALUE!</v>
      </c>
      <c r="D160" s="1108"/>
      <c r="E160" s="1108"/>
      <c r="F160" s="1108"/>
      <c r="G160" s="1108"/>
      <c r="H160" s="1108"/>
      <c r="I160" s="1108"/>
      <c r="J160" s="1108"/>
      <c r="K160" s="1108"/>
      <c r="L160" s="1108"/>
      <c r="M160" s="1108"/>
      <c r="N160" s="1108"/>
      <c r="O160" s="1108"/>
      <c r="P160" s="1108"/>
      <c r="Q160" s="1108"/>
      <c r="R160" s="1108"/>
      <c r="S160" s="1108"/>
      <c r="T160" s="1108"/>
      <c r="U160" s="1108"/>
      <c r="V160" s="1108"/>
      <c r="W160" s="1108"/>
      <c r="X160" s="1108"/>
      <c r="Y160" s="1108"/>
      <c r="Z160" s="1108"/>
      <c r="AA160" s="1108"/>
      <c r="AB160" s="1108"/>
      <c r="AC160" s="1108"/>
      <c r="AD160" s="1108"/>
      <c r="AE160" s="1108"/>
      <c r="AF160" s="1108"/>
      <c r="AG160" s="1108"/>
      <c r="AH160" s="1108"/>
      <c r="AI160" s="1108"/>
      <c r="AJ160" s="1108"/>
      <c r="AK160" s="1108"/>
      <c r="AL160" s="1108"/>
      <c r="AM160" s="1108"/>
      <c r="AN160" s="1108"/>
      <c r="AO160" s="1108"/>
      <c r="AP160" s="1108"/>
      <c r="AQ160" s="1108"/>
      <c r="AR160" s="1108"/>
      <c r="AS160" s="1108"/>
      <c r="AT160" s="1108"/>
      <c r="AU160" s="1108"/>
      <c r="AV160" s="1108"/>
      <c r="AW160" s="1108"/>
      <c r="AX160" s="1108"/>
      <c r="AY160" s="1108"/>
      <c r="AZ160" s="1108"/>
      <c r="BA160" s="1108"/>
      <c r="BB160" s="1108"/>
      <c r="BC160" s="1108"/>
      <c r="BD160" s="1108"/>
      <c r="BE160" s="1108"/>
      <c r="BF160" s="1108"/>
      <c r="BG160" s="1108"/>
      <c r="BH160" s="1108"/>
    </row>
    <row r="161" spans="1:60" x14ac:dyDescent="0.3">
      <c r="A161" s="1108"/>
      <c r="B161" s="1108">
        <v>511</v>
      </c>
      <c r="C161" s="1108" t="e">
        <v>#VALUE!</v>
      </c>
      <c r="D161" s="1108"/>
      <c r="E161" s="1108"/>
      <c r="F161" s="1108"/>
      <c r="G161" s="1108"/>
      <c r="H161" s="1108"/>
      <c r="I161" s="1108"/>
      <c r="J161" s="1108"/>
      <c r="K161" s="1108"/>
      <c r="L161" s="1108"/>
      <c r="M161" s="1108"/>
      <c r="N161" s="1108"/>
      <c r="O161" s="1108"/>
      <c r="P161" s="1108"/>
      <c r="Q161" s="1108"/>
      <c r="R161" s="1108"/>
      <c r="S161" s="1108"/>
      <c r="T161" s="1108"/>
      <c r="U161" s="1108"/>
      <c r="V161" s="1108"/>
      <c r="W161" s="1108"/>
      <c r="X161" s="1108"/>
      <c r="Y161" s="1108"/>
      <c r="Z161" s="1108"/>
      <c r="AA161" s="1108"/>
      <c r="AB161" s="1108"/>
      <c r="AC161" s="1108"/>
      <c r="AD161" s="1108"/>
      <c r="AE161" s="1108"/>
      <c r="AF161" s="1108"/>
      <c r="AG161" s="1108"/>
      <c r="AH161" s="1108"/>
      <c r="AI161" s="1108"/>
      <c r="AJ161" s="1108"/>
      <c r="AK161" s="1108"/>
      <c r="AL161" s="1108"/>
      <c r="AM161" s="1108"/>
      <c r="AN161" s="1108"/>
      <c r="AO161" s="1108"/>
      <c r="AP161" s="1108"/>
      <c r="AQ161" s="1108"/>
      <c r="AR161" s="1108"/>
      <c r="AS161" s="1108"/>
      <c r="AT161" s="1108"/>
      <c r="AU161" s="1108"/>
      <c r="AV161" s="1108"/>
      <c r="AW161" s="1108"/>
      <c r="AX161" s="1108"/>
      <c r="AY161" s="1108"/>
      <c r="AZ161" s="1108"/>
      <c r="BA161" s="1108"/>
      <c r="BB161" s="1108"/>
      <c r="BC161" s="1108"/>
      <c r="BD161" s="1108"/>
      <c r="BE161" s="1108"/>
      <c r="BF161" s="1108"/>
      <c r="BG161" s="1108"/>
      <c r="BH161" s="1108"/>
    </row>
    <row r="162" spans="1:60" x14ac:dyDescent="0.3">
      <c r="A162" s="1108">
        <v>512</v>
      </c>
      <c r="B162" s="1108">
        <v>512</v>
      </c>
      <c r="C162" s="1108" t="s">
        <v>251</v>
      </c>
      <c r="D162" s="1108">
        <v>0</v>
      </c>
      <c r="E162" s="1130">
        <v>2952</v>
      </c>
      <c r="F162" s="1130">
        <v>1446429</v>
      </c>
      <c r="G162" s="1108">
        <v>0</v>
      </c>
      <c r="H162" s="1108">
        <v>0</v>
      </c>
      <c r="I162" s="1130">
        <v>126022</v>
      </c>
      <c r="J162" s="1108">
        <v>0</v>
      </c>
      <c r="K162" s="1108">
        <v>0</v>
      </c>
      <c r="L162" s="1108">
        <v>0</v>
      </c>
      <c r="M162" s="1108">
        <v>0</v>
      </c>
      <c r="N162" s="1108">
        <v>0</v>
      </c>
      <c r="O162" s="1130">
        <v>313381</v>
      </c>
      <c r="P162" s="1130">
        <v>218523</v>
      </c>
      <c r="Q162" s="1108">
        <v>0</v>
      </c>
      <c r="R162" s="1108">
        <v>0</v>
      </c>
      <c r="S162" s="1108">
        <v>0</v>
      </c>
      <c r="T162" s="1108">
        <v>0</v>
      </c>
      <c r="U162" s="1130">
        <v>236993</v>
      </c>
      <c r="V162" s="1130">
        <v>25174</v>
      </c>
      <c r="W162" s="1130">
        <v>155267</v>
      </c>
      <c r="X162" s="1130">
        <v>116356</v>
      </c>
      <c r="Y162" s="1108">
        <v>0</v>
      </c>
      <c r="Z162" s="1108">
        <v>0</v>
      </c>
      <c r="AA162" s="1130">
        <v>141269</v>
      </c>
      <c r="AB162" s="1130">
        <v>208960</v>
      </c>
      <c r="AC162" s="1108">
        <v>0</v>
      </c>
      <c r="AD162" s="1108">
        <v>0</v>
      </c>
      <c r="AE162" s="1108">
        <v>0</v>
      </c>
      <c r="AF162" s="1108">
        <v>0</v>
      </c>
      <c r="AG162" s="1130">
        <v>105557</v>
      </c>
      <c r="AH162" s="1108">
        <v>0</v>
      </c>
      <c r="AI162" s="1130">
        <v>113919</v>
      </c>
      <c r="AJ162" s="1108">
        <v>0</v>
      </c>
      <c r="AK162" s="1130">
        <v>196718</v>
      </c>
      <c r="AL162" s="1130">
        <v>6100</v>
      </c>
      <c r="AM162" s="1130">
        <v>152753</v>
      </c>
      <c r="AN162" s="1108">
        <v>0</v>
      </c>
      <c r="AO162" s="1108">
        <v>0</v>
      </c>
      <c r="AP162" s="1108">
        <v>0</v>
      </c>
      <c r="AQ162" s="1108">
        <v>0</v>
      </c>
      <c r="AR162" s="1108">
        <v>0</v>
      </c>
      <c r="AS162" s="1130">
        <v>350311</v>
      </c>
      <c r="AT162" s="1108">
        <v>0</v>
      </c>
      <c r="AU162" s="1108">
        <v>0</v>
      </c>
      <c r="AV162" s="1108">
        <v>0</v>
      </c>
      <c r="AW162" s="1108">
        <v>0</v>
      </c>
      <c r="AX162" s="1130">
        <v>148587</v>
      </c>
      <c r="AY162" s="1130">
        <v>17901</v>
      </c>
      <c r="AZ162" s="1130">
        <v>138030</v>
      </c>
      <c r="BA162" s="1130">
        <v>460136</v>
      </c>
      <c r="BB162" s="1108">
        <v>0</v>
      </c>
      <c r="BC162" s="1130">
        <v>168920</v>
      </c>
      <c r="BD162" s="1130">
        <v>48931</v>
      </c>
      <c r="BE162" s="1130">
        <v>134431</v>
      </c>
      <c r="BF162" s="1108">
        <v>0</v>
      </c>
      <c r="BG162" s="1108">
        <v>0</v>
      </c>
      <c r="BH162" s="1130">
        <v>149603</v>
      </c>
    </row>
    <row r="163" spans="1:60" x14ac:dyDescent="0.3">
      <c r="A163" s="1108"/>
      <c r="B163" s="1108">
        <v>513</v>
      </c>
      <c r="C163" s="1108" t="e">
        <v>#VALUE!</v>
      </c>
      <c r="D163" s="1108"/>
      <c r="E163" s="1108"/>
      <c r="F163" s="1108"/>
      <c r="G163" s="1108"/>
      <c r="H163" s="1108"/>
      <c r="I163" s="1108"/>
      <c r="J163" s="1108"/>
      <c r="K163" s="1108"/>
      <c r="L163" s="1108"/>
      <c r="M163" s="1108"/>
      <c r="N163" s="1108"/>
      <c r="O163" s="1108"/>
      <c r="P163" s="1108"/>
      <c r="Q163" s="1108"/>
      <c r="R163" s="1108"/>
      <c r="S163" s="1108"/>
      <c r="T163" s="1108"/>
      <c r="U163" s="1108"/>
      <c r="V163" s="1108"/>
      <c r="W163" s="1108"/>
      <c r="X163" s="1108"/>
      <c r="Y163" s="1108"/>
      <c r="Z163" s="1108"/>
      <c r="AA163" s="1108"/>
      <c r="AB163" s="1108"/>
      <c r="AC163" s="1108"/>
      <c r="AD163" s="1108"/>
      <c r="AE163" s="1108"/>
      <c r="AF163" s="1108"/>
      <c r="AG163" s="1108"/>
      <c r="AH163" s="1108"/>
      <c r="AI163" s="1108"/>
      <c r="AJ163" s="1108"/>
      <c r="AK163" s="1108"/>
      <c r="AL163" s="1108"/>
      <c r="AM163" s="1108"/>
      <c r="AN163" s="1108"/>
      <c r="AO163" s="1108"/>
      <c r="AP163" s="1108"/>
      <c r="AQ163" s="1108"/>
      <c r="AR163" s="1108"/>
      <c r="AS163" s="1108"/>
      <c r="AT163" s="1108"/>
      <c r="AU163" s="1108"/>
      <c r="AV163" s="1108"/>
      <c r="AW163" s="1108"/>
      <c r="AX163" s="1108"/>
      <c r="AY163" s="1108"/>
      <c r="AZ163" s="1108"/>
      <c r="BA163" s="1108"/>
      <c r="BB163" s="1108"/>
      <c r="BC163" s="1108"/>
      <c r="BD163" s="1108"/>
      <c r="BE163" s="1108"/>
      <c r="BF163" s="1108"/>
      <c r="BG163" s="1108"/>
      <c r="BH163" s="1108"/>
    </row>
    <row r="164" spans="1:60" x14ac:dyDescent="0.3">
      <c r="A164" s="1108"/>
      <c r="B164" s="1108">
        <v>514</v>
      </c>
      <c r="C164" s="1108" t="e">
        <v>#VALUE!</v>
      </c>
      <c r="D164" s="1108"/>
      <c r="E164" s="1108"/>
      <c r="F164" s="1108"/>
      <c r="G164" s="1108"/>
      <c r="H164" s="1108"/>
      <c r="I164" s="1108"/>
      <c r="J164" s="1108"/>
      <c r="K164" s="1108"/>
      <c r="L164" s="1108"/>
      <c r="M164" s="1108"/>
      <c r="N164" s="1108"/>
      <c r="O164" s="1108"/>
      <c r="P164" s="1108"/>
      <c r="Q164" s="1108"/>
      <c r="R164" s="1108"/>
      <c r="S164" s="1108"/>
      <c r="T164" s="1108"/>
      <c r="U164" s="1108"/>
      <c r="V164" s="1108"/>
      <c r="W164" s="1108"/>
      <c r="X164" s="1108"/>
      <c r="Y164" s="1108"/>
      <c r="Z164" s="1108"/>
      <c r="AA164" s="1108"/>
      <c r="AB164" s="1108"/>
      <c r="AC164" s="1108"/>
      <c r="AD164" s="1108"/>
      <c r="AE164" s="1108"/>
      <c r="AF164" s="1108"/>
      <c r="AG164" s="1108"/>
      <c r="AH164" s="1108"/>
      <c r="AI164" s="1108"/>
      <c r="AJ164" s="1108"/>
      <c r="AK164" s="1108"/>
      <c r="AL164" s="1108"/>
      <c r="AM164" s="1108"/>
      <c r="AN164" s="1108"/>
      <c r="AO164" s="1108"/>
      <c r="AP164" s="1108"/>
      <c r="AQ164" s="1108"/>
      <c r="AR164" s="1108"/>
      <c r="AS164" s="1108"/>
      <c r="AT164" s="1108"/>
      <c r="AU164" s="1108"/>
      <c r="AV164" s="1108"/>
      <c r="AW164" s="1108"/>
      <c r="AX164" s="1108"/>
      <c r="AY164" s="1108"/>
      <c r="AZ164" s="1108"/>
      <c r="BA164" s="1108"/>
      <c r="BB164" s="1108"/>
      <c r="BC164" s="1108"/>
      <c r="BD164" s="1108"/>
      <c r="BE164" s="1108"/>
      <c r="BF164" s="1108"/>
      <c r="BG164" s="1108"/>
      <c r="BH164" s="1108"/>
    </row>
    <row r="165" spans="1:60" x14ac:dyDescent="0.3">
      <c r="A165" s="1108"/>
      <c r="B165" s="1108">
        <v>515</v>
      </c>
      <c r="C165" s="1108" t="e">
        <v>#VALUE!</v>
      </c>
      <c r="D165" s="1108"/>
      <c r="E165" s="1108"/>
      <c r="F165" s="1108"/>
      <c r="G165" s="1108"/>
      <c r="H165" s="1108"/>
      <c r="I165" s="1108"/>
      <c r="J165" s="1108"/>
      <c r="K165" s="1108"/>
      <c r="L165" s="1108"/>
      <c r="M165" s="1108"/>
      <c r="N165" s="1108"/>
      <c r="O165" s="1108"/>
      <c r="P165" s="1108"/>
      <c r="Q165" s="1108"/>
      <c r="R165" s="1108"/>
      <c r="S165" s="1108"/>
      <c r="T165" s="1108"/>
      <c r="U165" s="1108"/>
      <c r="V165" s="1108"/>
      <c r="W165" s="1108"/>
      <c r="X165" s="1108"/>
      <c r="Y165" s="1108"/>
      <c r="Z165" s="1108"/>
      <c r="AA165" s="1108"/>
      <c r="AB165" s="1108"/>
      <c r="AC165" s="1108"/>
      <c r="AD165" s="1108"/>
      <c r="AE165" s="1108"/>
      <c r="AF165" s="1108"/>
      <c r="AG165" s="1108"/>
      <c r="AH165" s="1108"/>
      <c r="AI165" s="1108"/>
      <c r="AJ165" s="1108"/>
      <c r="AK165" s="1108"/>
      <c r="AL165" s="1108"/>
      <c r="AM165" s="1108"/>
      <c r="AN165" s="1108"/>
      <c r="AO165" s="1108"/>
      <c r="AP165" s="1108"/>
      <c r="AQ165" s="1108"/>
      <c r="AR165" s="1108"/>
      <c r="AS165" s="1108"/>
      <c r="AT165" s="1108"/>
      <c r="AU165" s="1108"/>
      <c r="AV165" s="1108"/>
      <c r="AW165" s="1108"/>
      <c r="AX165" s="1108"/>
      <c r="AY165" s="1108"/>
      <c r="AZ165" s="1108"/>
      <c r="BA165" s="1108"/>
      <c r="BB165" s="1108"/>
      <c r="BC165" s="1108"/>
      <c r="BD165" s="1108"/>
      <c r="BE165" s="1108"/>
      <c r="BF165" s="1108"/>
      <c r="BG165" s="1108"/>
      <c r="BH165" s="1108"/>
    </row>
    <row r="166" spans="1:60" x14ac:dyDescent="0.3">
      <c r="A166" s="1108"/>
      <c r="B166" s="1108">
        <v>516</v>
      </c>
      <c r="C166" s="1108" t="e">
        <v>#VALUE!</v>
      </c>
      <c r="D166" s="1108"/>
      <c r="E166" s="1108"/>
      <c r="F166" s="1108"/>
      <c r="G166" s="1108"/>
      <c r="H166" s="1108"/>
      <c r="I166" s="1108"/>
      <c r="J166" s="1108"/>
      <c r="K166" s="1108"/>
      <c r="L166" s="1108"/>
      <c r="M166" s="1108"/>
      <c r="N166" s="1108"/>
      <c r="O166" s="1108"/>
      <c r="P166" s="1108"/>
      <c r="Q166" s="1108"/>
      <c r="R166" s="1108"/>
      <c r="S166" s="1108"/>
      <c r="T166" s="1108"/>
      <c r="U166" s="1108"/>
      <c r="V166" s="1108"/>
      <c r="W166" s="1108"/>
      <c r="X166" s="1108"/>
      <c r="Y166" s="1108"/>
      <c r="Z166" s="1108"/>
      <c r="AA166" s="1108"/>
      <c r="AB166" s="1108"/>
      <c r="AC166" s="1108"/>
      <c r="AD166" s="1108"/>
      <c r="AE166" s="1108"/>
      <c r="AF166" s="1108"/>
      <c r="AG166" s="1108"/>
      <c r="AH166" s="1108"/>
      <c r="AI166" s="1108"/>
      <c r="AJ166" s="1108"/>
      <c r="AK166" s="1108"/>
      <c r="AL166" s="1108"/>
      <c r="AM166" s="1108"/>
      <c r="AN166" s="1108"/>
      <c r="AO166" s="1108"/>
      <c r="AP166" s="1108"/>
      <c r="AQ166" s="1108"/>
      <c r="AR166" s="1108"/>
      <c r="AS166" s="1108"/>
      <c r="AT166" s="1108"/>
      <c r="AU166" s="1108"/>
      <c r="AV166" s="1108"/>
      <c r="AW166" s="1108"/>
      <c r="AX166" s="1108"/>
      <c r="AY166" s="1108"/>
      <c r="AZ166" s="1108"/>
      <c r="BA166" s="1108"/>
      <c r="BB166" s="1108"/>
      <c r="BC166" s="1108"/>
      <c r="BD166" s="1108"/>
      <c r="BE166" s="1108"/>
      <c r="BF166" s="1108"/>
      <c r="BG166" s="1108"/>
      <c r="BH166" s="1108"/>
    </row>
    <row r="167" spans="1:60" x14ac:dyDescent="0.3">
      <c r="A167" s="1108"/>
      <c r="B167" s="1108">
        <v>517</v>
      </c>
      <c r="C167" s="1108" t="e">
        <v>#VALUE!</v>
      </c>
      <c r="D167" s="1108"/>
      <c r="E167" s="1108"/>
      <c r="F167" s="1108"/>
      <c r="G167" s="1108"/>
      <c r="H167" s="1108"/>
      <c r="I167" s="1108"/>
      <c r="J167" s="1108"/>
      <c r="K167" s="1108"/>
      <c r="L167" s="1108"/>
      <c r="M167" s="1108"/>
      <c r="N167" s="1108"/>
      <c r="O167" s="1108"/>
      <c r="P167" s="1108"/>
      <c r="Q167" s="1108"/>
      <c r="R167" s="1108"/>
      <c r="S167" s="1108"/>
      <c r="T167" s="1108"/>
      <c r="U167" s="1108"/>
      <c r="V167" s="1108"/>
      <c r="W167" s="1108"/>
      <c r="X167" s="1108"/>
      <c r="Y167" s="1108"/>
      <c r="Z167" s="1108"/>
      <c r="AA167" s="1108"/>
      <c r="AB167" s="1108"/>
      <c r="AC167" s="1108"/>
      <c r="AD167" s="1108"/>
      <c r="AE167" s="1108"/>
      <c r="AF167" s="1108"/>
      <c r="AG167" s="1108"/>
      <c r="AH167" s="1108"/>
      <c r="AI167" s="1108"/>
      <c r="AJ167" s="1108"/>
      <c r="AK167" s="1108"/>
      <c r="AL167" s="1108"/>
      <c r="AM167" s="1108"/>
      <c r="AN167" s="1108"/>
      <c r="AO167" s="1108"/>
      <c r="AP167" s="1108"/>
      <c r="AQ167" s="1108"/>
      <c r="AR167" s="1108"/>
      <c r="AS167" s="1108"/>
      <c r="AT167" s="1108"/>
      <c r="AU167" s="1108"/>
      <c r="AV167" s="1108"/>
      <c r="AW167" s="1108"/>
      <c r="AX167" s="1108"/>
      <c r="AY167" s="1108"/>
      <c r="AZ167" s="1108"/>
      <c r="BA167" s="1108"/>
      <c r="BB167" s="1108"/>
      <c r="BC167" s="1108"/>
      <c r="BD167" s="1108"/>
      <c r="BE167" s="1108"/>
      <c r="BF167" s="1108"/>
      <c r="BG167" s="1108"/>
      <c r="BH167" s="1108"/>
    </row>
    <row r="168" spans="1:60" x14ac:dyDescent="0.3">
      <c r="A168" s="1108"/>
      <c r="B168" s="1108">
        <v>518</v>
      </c>
      <c r="C168" s="1108" t="e">
        <v>#VALUE!</v>
      </c>
      <c r="D168" s="1108"/>
      <c r="E168" s="1108"/>
      <c r="F168" s="1108"/>
      <c r="G168" s="1108"/>
      <c r="H168" s="1108"/>
      <c r="I168" s="1108"/>
      <c r="J168" s="1108"/>
      <c r="K168" s="1108"/>
      <c r="L168" s="1108"/>
      <c r="M168" s="1108"/>
      <c r="N168" s="1108"/>
      <c r="O168" s="1108"/>
      <c r="P168" s="1108"/>
      <c r="Q168" s="1108"/>
      <c r="R168" s="1108"/>
      <c r="S168" s="1108"/>
      <c r="T168" s="1108"/>
      <c r="U168" s="1108"/>
      <c r="V168" s="1108"/>
      <c r="W168" s="1108"/>
      <c r="X168" s="1108"/>
      <c r="Y168" s="1108"/>
      <c r="Z168" s="1108"/>
      <c r="AA168" s="1108"/>
      <c r="AB168" s="1108"/>
      <c r="AC168" s="1108"/>
      <c r="AD168" s="1108"/>
      <c r="AE168" s="1108"/>
      <c r="AF168" s="1108"/>
      <c r="AG168" s="1108"/>
      <c r="AH168" s="1108"/>
      <c r="AI168" s="1108"/>
      <c r="AJ168" s="1108"/>
      <c r="AK168" s="1108"/>
      <c r="AL168" s="1108"/>
      <c r="AM168" s="1108"/>
      <c r="AN168" s="1108"/>
      <c r="AO168" s="1108"/>
      <c r="AP168" s="1108"/>
      <c r="AQ168" s="1108"/>
      <c r="AR168" s="1108"/>
      <c r="AS168" s="1108"/>
      <c r="AT168" s="1108"/>
      <c r="AU168" s="1108"/>
      <c r="AV168" s="1108"/>
      <c r="AW168" s="1108"/>
      <c r="AX168" s="1108"/>
      <c r="AY168" s="1108"/>
      <c r="AZ168" s="1108"/>
      <c r="BA168" s="1108"/>
      <c r="BB168" s="1108"/>
      <c r="BC168" s="1108"/>
      <c r="BD168" s="1108"/>
      <c r="BE168" s="1108"/>
      <c r="BF168" s="1108"/>
      <c r="BG168" s="1108"/>
      <c r="BH168" s="1108"/>
    </row>
    <row r="169" spans="1:60" x14ac:dyDescent="0.3">
      <c r="A169" s="1108"/>
      <c r="B169" s="1108">
        <v>519</v>
      </c>
      <c r="C169" s="1108" t="e">
        <v>#VALUE!</v>
      </c>
      <c r="D169" s="1108"/>
      <c r="E169" s="1108"/>
      <c r="F169" s="1108"/>
      <c r="G169" s="1108"/>
      <c r="H169" s="1108"/>
      <c r="I169" s="1108"/>
      <c r="J169" s="1108"/>
      <c r="K169" s="1108"/>
      <c r="L169" s="1108"/>
      <c r="M169" s="1108"/>
      <c r="N169" s="1108"/>
      <c r="O169" s="1108"/>
      <c r="P169" s="1108"/>
      <c r="Q169" s="1108"/>
      <c r="R169" s="1108"/>
      <c r="S169" s="1108"/>
      <c r="T169" s="1108"/>
      <c r="U169" s="1108"/>
      <c r="V169" s="1108"/>
      <c r="W169" s="1108"/>
      <c r="X169" s="1108"/>
      <c r="Y169" s="1108"/>
      <c r="Z169" s="1108"/>
      <c r="AA169" s="1108"/>
      <c r="AB169" s="1108"/>
      <c r="AC169" s="1108"/>
      <c r="AD169" s="1108"/>
      <c r="AE169" s="1108"/>
      <c r="AF169" s="1108"/>
      <c r="AG169" s="1108"/>
      <c r="AH169" s="1108"/>
      <c r="AI169" s="1108"/>
      <c r="AJ169" s="1108"/>
      <c r="AK169" s="1108"/>
      <c r="AL169" s="1108"/>
      <c r="AM169" s="1108"/>
      <c r="AN169" s="1108"/>
      <c r="AO169" s="1108"/>
      <c r="AP169" s="1108"/>
      <c r="AQ169" s="1108"/>
      <c r="AR169" s="1108"/>
      <c r="AS169" s="1108"/>
      <c r="AT169" s="1108"/>
      <c r="AU169" s="1108"/>
      <c r="AV169" s="1108"/>
      <c r="AW169" s="1108"/>
      <c r="AX169" s="1108"/>
      <c r="AY169" s="1108"/>
      <c r="AZ169" s="1108"/>
      <c r="BA169" s="1108"/>
      <c r="BB169" s="1108"/>
      <c r="BC169" s="1108"/>
      <c r="BD169" s="1108"/>
      <c r="BE169" s="1108"/>
      <c r="BF169" s="1108"/>
      <c r="BG169" s="1108"/>
      <c r="BH169" s="1108"/>
    </row>
    <row r="170" spans="1:60" x14ac:dyDescent="0.3">
      <c r="A170" s="1108"/>
      <c r="B170" s="1108">
        <v>520</v>
      </c>
      <c r="C170" s="1108" t="e">
        <v>#VALUE!</v>
      </c>
      <c r="D170" s="1108"/>
      <c r="E170" s="1108"/>
      <c r="F170" s="1108"/>
      <c r="G170" s="1108"/>
      <c r="H170" s="1108"/>
      <c r="I170" s="1108"/>
      <c r="J170" s="1108"/>
      <c r="K170" s="1108"/>
      <c r="L170" s="1108"/>
      <c r="M170" s="1108"/>
      <c r="N170" s="1108"/>
      <c r="O170" s="1108"/>
      <c r="P170" s="1108"/>
      <c r="Q170" s="1108"/>
      <c r="R170" s="1108"/>
      <c r="S170" s="1108"/>
      <c r="T170" s="1108"/>
      <c r="U170" s="1108"/>
      <c r="V170" s="1108"/>
      <c r="W170" s="1108"/>
      <c r="X170" s="1108"/>
      <c r="Y170" s="1108"/>
      <c r="Z170" s="1108"/>
      <c r="AA170" s="1108"/>
      <c r="AB170" s="1108"/>
      <c r="AC170" s="1108"/>
      <c r="AD170" s="1108"/>
      <c r="AE170" s="1108"/>
      <c r="AF170" s="1108"/>
      <c r="AG170" s="1108"/>
      <c r="AH170" s="1108"/>
      <c r="AI170" s="1108"/>
      <c r="AJ170" s="1108"/>
      <c r="AK170" s="1108"/>
      <c r="AL170" s="1108"/>
      <c r="AM170" s="1108"/>
      <c r="AN170" s="1108"/>
      <c r="AO170" s="1108"/>
      <c r="AP170" s="1108"/>
      <c r="AQ170" s="1108"/>
      <c r="AR170" s="1108"/>
      <c r="AS170" s="1108"/>
      <c r="AT170" s="1108"/>
      <c r="AU170" s="1108"/>
      <c r="AV170" s="1108"/>
      <c r="AW170" s="1108"/>
      <c r="AX170" s="1108"/>
      <c r="AY170" s="1108"/>
      <c r="AZ170" s="1108"/>
      <c r="BA170" s="1108"/>
      <c r="BB170" s="1108"/>
      <c r="BC170" s="1108"/>
      <c r="BD170" s="1108"/>
      <c r="BE170" s="1108"/>
      <c r="BF170" s="1108"/>
      <c r="BG170" s="1108"/>
      <c r="BH170" s="1108"/>
    </row>
    <row r="171" spans="1:60" x14ac:dyDescent="0.3">
      <c r="A171" s="1108"/>
      <c r="B171" s="1108">
        <v>521</v>
      </c>
      <c r="C171" s="1108" t="e">
        <v>#VALUE!</v>
      </c>
      <c r="D171" s="1108"/>
      <c r="E171" s="1108"/>
      <c r="F171" s="1108"/>
      <c r="G171" s="1108"/>
      <c r="H171" s="1108"/>
      <c r="I171" s="1108"/>
      <c r="J171" s="1108"/>
      <c r="K171" s="1108"/>
      <c r="L171" s="1108"/>
      <c r="M171" s="1108"/>
      <c r="N171" s="1108"/>
      <c r="O171" s="1108"/>
      <c r="P171" s="1108"/>
      <c r="Q171" s="1108"/>
      <c r="R171" s="1108"/>
      <c r="S171" s="1108"/>
      <c r="T171" s="1108"/>
      <c r="U171" s="1108"/>
      <c r="V171" s="1108"/>
      <c r="W171" s="1108"/>
      <c r="X171" s="1108"/>
      <c r="Y171" s="1108"/>
      <c r="Z171" s="1108"/>
      <c r="AA171" s="1108"/>
      <c r="AB171" s="1108"/>
      <c r="AC171" s="1108"/>
      <c r="AD171" s="1108"/>
      <c r="AE171" s="1108"/>
      <c r="AF171" s="1108"/>
      <c r="AG171" s="1108"/>
      <c r="AH171" s="1108"/>
      <c r="AI171" s="1108"/>
      <c r="AJ171" s="1108"/>
      <c r="AK171" s="1108"/>
      <c r="AL171" s="1108"/>
      <c r="AM171" s="1108"/>
      <c r="AN171" s="1108"/>
      <c r="AO171" s="1108"/>
      <c r="AP171" s="1108"/>
      <c r="AQ171" s="1108"/>
      <c r="AR171" s="1108"/>
      <c r="AS171" s="1108"/>
      <c r="AT171" s="1108"/>
      <c r="AU171" s="1108"/>
      <c r="AV171" s="1108"/>
      <c r="AW171" s="1108"/>
      <c r="AX171" s="1108"/>
      <c r="AY171" s="1108"/>
      <c r="AZ171" s="1108"/>
      <c r="BA171" s="1108"/>
      <c r="BB171" s="1108"/>
      <c r="BC171" s="1108"/>
      <c r="BD171" s="1108"/>
      <c r="BE171" s="1108"/>
      <c r="BF171" s="1108"/>
      <c r="BG171" s="1108"/>
      <c r="BH171" s="1108"/>
    </row>
    <row r="172" spans="1:60" x14ac:dyDescent="0.3">
      <c r="A172" s="1108"/>
      <c r="B172" s="1108">
        <v>522</v>
      </c>
      <c r="C172" s="1108" t="e">
        <v>#VALUE!</v>
      </c>
      <c r="D172" s="1108"/>
      <c r="E172" s="1108"/>
      <c r="F172" s="1108"/>
      <c r="G172" s="1108"/>
      <c r="H172" s="1108"/>
      <c r="I172" s="1108"/>
      <c r="J172" s="1108"/>
      <c r="K172" s="1108"/>
      <c r="L172" s="1108"/>
      <c r="M172" s="1108"/>
      <c r="N172" s="1108"/>
      <c r="O172" s="1108"/>
      <c r="P172" s="1108"/>
      <c r="Q172" s="1108"/>
      <c r="R172" s="1108"/>
      <c r="S172" s="1108"/>
      <c r="T172" s="1108"/>
      <c r="U172" s="1108"/>
      <c r="V172" s="1108"/>
      <c r="W172" s="1108"/>
      <c r="X172" s="1108"/>
      <c r="Y172" s="1108"/>
      <c r="Z172" s="1108"/>
      <c r="AA172" s="1108"/>
      <c r="AB172" s="1108"/>
      <c r="AC172" s="1108"/>
      <c r="AD172" s="1108"/>
      <c r="AE172" s="1108"/>
      <c r="AF172" s="1108"/>
      <c r="AG172" s="1108"/>
      <c r="AH172" s="1108"/>
      <c r="AI172" s="1108"/>
      <c r="AJ172" s="1108"/>
      <c r="AK172" s="1108"/>
      <c r="AL172" s="1108"/>
      <c r="AM172" s="1108"/>
      <c r="AN172" s="1108"/>
      <c r="AO172" s="1108"/>
      <c r="AP172" s="1108"/>
      <c r="AQ172" s="1108"/>
      <c r="AR172" s="1108"/>
      <c r="AS172" s="1108"/>
      <c r="AT172" s="1108"/>
      <c r="AU172" s="1108"/>
      <c r="AV172" s="1108"/>
      <c r="AW172" s="1108"/>
      <c r="AX172" s="1108"/>
      <c r="AY172" s="1108"/>
      <c r="AZ172" s="1108"/>
      <c r="BA172" s="1108"/>
      <c r="BB172" s="1108"/>
      <c r="BC172" s="1108"/>
      <c r="BD172" s="1108"/>
      <c r="BE172" s="1108"/>
      <c r="BF172" s="1108"/>
      <c r="BG172" s="1108"/>
      <c r="BH172" s="1108"/>
    </row>
    <row r="173" spans="1:60" x14ac:dyDescent="0.3">
      <c r="A173" s="1108"/>
      <c r="B173" s="1108">
        <v>523</v>
      </c>
      <c r="C173" s="1108" t="e">
        <v>#VALUE!</v>
      </c>
      <c r="D173" s="1108"/>
      <c r="E173" s="1108"/>
      <c r="F173" s="1108"/>
      <c r="G173" s="1108"/>
      <c r="H173" s="1108"/>
      <c r="I173" s="1108"/>
      <c r="J173" s="1108"/>
      <c r="K173" s="1108"/>
      <c r="L173" s="1108"/>
      <c r="M173" s="1108"/>
      <c r="N173" s="1108"/>
      <c r="O173" s="1108"/>
      <c r="P173" s="1108"/>
      <c r="Q173" s="1108"/>
      <c r="R173" s="1108"/>
      <c r="S173" s="1108"/>
      <c r="T173" s="1108"/>
      <c r="U173" s="1108"/>
      <c r="V173" s="1108"/>
      <c r="W173" s="1108"/>
      <c r="X173" s="1108"/>
      <c r="Y173" s="1108"/>
      <c r="Z173" s="1108"/>
      <c r="AA173" s="1108"/>
      <c r="AB173" s="1108"/>
      <c r="AC173" s="1108"/>
      <c r="AD173" s="1108"/>
      <c r="AE173" s="1108"/>
      <c r="AF173" s="1108"/>
      <c r="AG173" s="1108"/>
      <c r="AH173" s="1108"/>
      <c r="AI173" s="1108"/>
      <c r="AJ173" s="1108"/>
      <c r="AK173" s="1108"/>
      <c r="AL173" s="1108"/>
      <c r="AM173" s="1108"/>
      <c r="AN173" s="1108"/>
      <c r="AO173" s="1108"/>
      <c r="AP173" s="1108"/>
      <c r="AQ173" s="1108"/>
      <c r="AR173" s="1108"/>
      <c r="AS173" s="1108"/>
      <c r="AT173" s="1108"/>
      <c r="AU173" s="1108"/>
      <c r="AV173" s="1108"/>
      <c r="AW173" s="1108"/>
      <c r="AX173" s="1108"/>
      <c r="AY173" s="1108"/>
      <c r="AZ173" s="1108"/>
      <c r="BA173" s="1108"/>
      <c r="BB173" s="1108"/>
      <c r="BC173" s="1108"/>
      <c r="BD173" s="1108"/>
      <c r="BE173" s="1108"/>
      <c r="BF173" s="1108"/>
      <c r="BG173" s="1108"/>
      <c r="BH173" s="1108"/>
    </row>
    <row r="174" spans="1:60" x14ac:dyDescent="0.3">
      <c r="A174" s="1108"/>
      <c r="B174" s="1108">
        <v>524</v>
      </c>
      <c r="C174" s="1108" t="e">
        <v>#VALUE!</v>
      </c>
      <c r="D174" s="1108"/>
      <c r="E174" s="1108"/>
      <c r="F174" s="1108"/>
      <c r="G174" s="1108"/>
      <c r="H174" s="1108"/>
      <c r="I174" s="1108"/>
      <c r="J174" s="1108"/>
      <c r="K174" s="1108"/>
      <c r="L174" s="1108"/>
      <c r="M174" s="1108"/>
      <c r="N174" s="1108"/>
      <c r="O174" s="1108"/>
      <c r="P174" s="1108"/>
      <c r="Q174" s="1108"/>
      <c r="R174" s="1108"/>
      <c r="S174" s="1108"/>
      <c r="T174" s="1108"/>
      <c r="U174" s="1108"/>
      <c r="V174" s="1108"/>
      <c r="W174" s="1108"/>
      <c r="X174" s="1108"/>
      <c r="Y174" s="1108"/>
      <c r="Z174" s="1108"/>
      <c r="AA174" s="1108"/>
      <c r="AB174" s="1108"/>
      <c r="AC174" s="1108"/>
      <c r="AD174" s="1108"/>
      <c r="AE174" s="1108"/>
      <c r="AF174" s="1108"/>
      <c r="AG174" s="1108"/>
      <c r="AH174" s="1108"/>
      <c r="AI174" s="1108"/>
      <c r="AJ174" s="1108"/>
      <c r="AK174" s="1108"/>
      <c r="AL174" s="1108"/>
      <c r="AM174" s="1108"/>
      <c r="AN174" s="1108"/>
      <c r="AO174" s="1108"/>
      <c r="AP174" s="1108"/>
      <c r="AQ174" s="1108"/>
      <c r="AR174" s="1108"/>
      <c r="AS174" s="1108"/>
      <c r="AT174" s="1108"/>
      <c r="AU174" s="1108"/>
      <c r="AV174" s="1108"/>
      <c r="AW174" s="1108"/>
      <c r="AX174" s="1108"/>
      <c r="AY174" s="1108"/>
      <c r="AZ174" s="1108"/>
      <c r="BA174" s="1108"/>
      <c r="BB174" s="1108"/>
      <c r="BC174" s="1108"/>
      <c r="BD174" s="1108"/>
      <c r="BE174" s="1108"/>
      <c r="BF174" s="1108"/>
      <c r="BG174" s="1108"/>
      <c r="BH174" s="1108"/>
    </row>
    <row r="175" spans="1:60" x14ac:dyDescent="0.3">
      <c r="A175" s="1108"/>
      <c r="B175" s="1108">
        <v>525</v>
      </c>
      <c r="C175" s="1108" t="e">
        <v>#VALUE!</v>
      </c>
      <c r="D175" s="1108"/>
      <c r="E175" s="1108"/>
      <c r="F175" s="1108"/>
      <c r="G175" s="1108"/>
      <c r="H175" s="1108"/>
      <c r="I175" s="1108"/>
      <c r="J175" s="1108"/>
      <c r="K175" s="1108"/>
      <c r="L175" s="1108"/>
      <c r="M175" s="1108"/>
      <c r="N175" s="1108"/>
      <c r="O175" s="1108"/>
      <c r="P175" s="1108"/>
      <c r="Q175" s="1108"/>
      <c r="R175" s="1108"/>
      <c r="S175" s="1108"/>
      <c r="T175" s="1108"/>
      <c r="U175" s="1108"/>
      <c r="V175" s="1108"/>
      <c r="W175" s="1108"/>
      <c r="X175" s="1108"/>
      <c r="Y175" s="1108"/>
      <c r="Z175" s="1108"/>
      <c r="AA175" s="1108"/>
      <c r="AB175" s="1108"/>
      <c r="AC175" s="1108"/>
      <c r="AD175" s="1108"/>
      <c r="AE175" s="1108"/>
      <c r="AF175" s="1108"/>
      <c r="AG175" s="1108"/>
      <c r="AH175" s="1108"/>
      <c r="AI175" s="1108"/>
      <c r="AJ175" s="1108"/>
      <c r="AK175" s="1108"/>
      <c r="AL175" s="1108"/>
      <c r="AM175" s="1108"/>
      <c r="AN175" s="1108"/>
      <c r="AO175" s="1108"/>
      <c r="AP175" s="1108"/>
      <c r="AQ175" s="1108"/>
      <c r="AR175" s="1108"/>
      <c r="AS175" s="1108"/>
      <c r="AT175" s="1108"/>
      <c r="AU175" s="1108"/>
      <c r="AV175" s="1108"/>
      <c r="AW175" s="1108"/>
      <c r="AX175" s="1108"/>
      <c r="AY175" s="1108"/>
      <c r="AZ175" s="1108"/>
      <c r="BA175" s="1108"/>
      <c r="BB175" s="1108"/>
      <c r="BC175" s="1108"/>
      <c r="BD175" s="1108"/>
      <c r="BE175" s="1108"/>
      <c r="BF175" s="1108"/>
      <c r="BG175" s="1108"/>
      <c r="BH175" s="1108"/>
    </row>
    <row r="176" spans="1:60" x14ac:dyDescent="0.3">
      <c r="A176" s="1108"/>
      <c r="B176" s="1108">
        <v>526</v>
      </c>
      <c r="C176" s="1108" t="e">
        <v>#VALUE!</v>
      </c>
      <c r="D176" s="1108"/>
      <c r="E176" s="1108"/>
      <c r="F176" s="1108"/>
      <c r="G176" s="1108"/>
      <c r="H176" s="1108"/>
      <c r="I176" s="1108"/>
      <c r="J176" s="1108"/>
      <c r="K176" s="1108"/>
      <c r="L176" s="1108"/>
      <c r="M176" s="1108"/>
      <c r="N176" s="1108"/>
      <c r="O176" s="1108"/>
      <c r="P176" s="1108"/>
      <c r="Q176" s="1108"/>
      <c r="R176" s="1108"/>
      <c r="S176" s="1108"/>
      <c r="T176" s="1108"/>
      <c r="U176" s="1108"/>
      <c r="V176" s="1108"/>
      <c r="W176" s="1108"/>
      <c r="X176" s="1108"/>
      <c r="Y176" s="1108"/>
      <c r="Z176" s="1108"/>
      <c r="AA176" s="1108"/>
      <c r="AB176" s="1108"/>
      <c r="AC176" s="1108"/>
      <c r="AD176" s="1108"/>
      <c r="AE176" s="1108"/>
      <c r="AF176" s="1108"/>
      <c r="AG176" s="1108"/>
      <c r="AH176" s="1108"/>
      <c r="AI176" s="1108"/>
      <c r="AJ176" s="1108"/>
      <c r="AK176" s="1108"/>
      <c r="AL176" s="1108"/>
      <c r="AM176" s="1108"/>
      <c r="AN176" s="1108"/>
      <c r="AO176" s="1108"/>
      <c r="AP176" s="1108"/>
      <c r="AQ176" s="1108"/>
      <c r="AR176" s="1108"/>
      <c r="AS176" s="1108"/>
      <c r="AT176" s="1108"/>
      <c r="AU176" s="1108"/>
      <c r="AV176" s="1108"/>
      <c r="AW176" s="1108"/>
      <c r="AX176" s="1108"/>
      <c r="AY176" s="1108"/>
      <c r="AZ176" s="1108"/>
      <c r="BA176" s="1108"/>
      <c r="BB176" s="1108"/>
      <c r="BC176" s="1108"/>
      <c r="BD176" s="1108"/>
      <c r="BE176" s="1108"/>
      <c r="BF176" s="1108"/>
      <c r="BG176" s="1108"/>
      <c r="BH176" s="1108"/>
    </row>
    <row r="177" spans="1:60" x14ac:dyDescent="0.3">
      <c r="A177" s="1108"/>
      <c r="B177" s="1108">
        <v>527</v>
      </c>
      <c r="C177" s="1108" t="e">
        <v>#VALUE!</v>
      </c>
      <c r="D177" s="1108"/>
      <c r="E177" s="1108"/>
      <c r="F177" s="1108"/>
      <c r="G177" s="1108"/>
      <c r="H177" s="1108"/>
      <c r="I177" s="1108"/>
      <c r="J177" s="1108"/>
      <c r="K177" s="1108"/>
      <c r="L177" s="1108"/>
      <c r="M177" s="1108"/>
      <c r="N177" s="1108"/>
      <c r="O177" s="1108"/>
      <c r="P177" s="1108"/>
      <c r="Q177" s="1108"/>
      <c r="R177" s="1108"/>
      <c r="S177" s="1108"/>
      <c r="T177" s="1108"/>
      <c r="U177" s="1108"/>
      <c r="V177" s="1108"/>
      <c r="W177" s="1108"/>
      <c r="X177" s="1108"/>
      <c r="Y177" s="1108"/>
      <c r="Z177" s="1108"/>
      <c r="AA177" s="1108"/>
      <c r="AB177" s="1108"/>
      <c r="AC177" s="1108"/>
      <c r="AD177" s="1108"/>
      <c r="AE177" s="1108"/>
      <c r="AF177" s="1108"/>
      <c r="AG177" s="1108"/>
      <c r="AH177" s="1108"/>
      <c r="AI177" s="1108"/>
      <c r="AJ177" s="1108"/>
      <c r="AK177" s="1108"/>
      <c r="AL177" s="1108"/>
      <c r="AM177" s="1108"/>
      <c r="AN177" s="1108"/>
      <c r="AO177" s="1108"/>
      <c r="AP177" s="1108"/>
      <c r="AQ177" s="1108"/>
      <c r="AR177" s="1108"/>
      <c r="AS177" s="1108"/>
      <c r="AT177" s="1108"/>
      <c r="AU177" s="1108"/>
      <c r="AV177" s="1108"/>
      <c r="AW177" s="1108"/>
      <c r="AX177" s="1108"/>
      <c r="AY177" s="1108"/>
      <c r="AZ177" s="1108"/>
      <c r="BA177" s="1108"/>
      <c r="BB177" s="1108"/>
      <c r="BC177" s="1108"/>
      <c r="BD177" s="1108"/>
      <c r="BE177" s="1108"/>
      <c r="BF177" s="1108"/>
      <c r="BG177" s="1108"/>
      <c r="BH177" s="1108"/>
    </row>
    <row r="178" spans="1:60" x14ac:dyDescent="0.3">
      <c r="A178" s="1108"/>
      <c r="B178" s="1108">
        <v>528</v>
      </c>
      <c r="C178" s="1108" t="e">
        <v>#VALUE!</v>
      </c>
      <c r="D178" s="1108"/>
      <c r="E178" s="1108"/>
      <c r="F178" s="1108"/>
      <c r="G178" s="1108"/>
      <c r="H178" s="1108"/>
      <c r="I178" s="1108"/>
      <c r="J178" s="1108"/>
      <c r="K178" s="1108"/>
      <c r="L178" s="1108"/>
      <c r="M178" s="1108"/>
      <c r="N178" s="1108"/>
      <c r="O178" s="1108"/>
      <c r="P178" s="1108"/>
      <c r="Q178" s="1108"/>
      <c r="R178" s="1108"/>
      <c r="S178" s="1108"/>
      <c r="T178" s="1108"/>
      <c r="U178" s="1108"/>
      <c r="V178" s="1108"/>
      <c r="W178" s="1108"/>
      <c r="X178" s="1108"/>
      <c r="Y178" s="1108"/>
      <c r="Z178" s="1108"/>
      <c r="AA178" s="1108"/>
      <c r="AB178" s="1108"/>
      <c r="AC178" s="1108"/>
      <c r="AD178" s="1108"/>
      <c r="AE178" s="1108"/>
      <c r="AF178" s="1108"/>
      <c r="AG178" s="1108"/>
      <c r="AH178" s="1108"/>
      <c r="AI178" s="1108"/>
      <c r="AJ178" s="1108"/>
      <c r="AK178" s="1108"/>
      <c r="AL178" s="1108"/>
      <c r="AM178" s="1108"/>
      <c r="AN178" s="1108"/>
      <c r="AO178" s="1108"/>
      <c r="AP178" s="1108"/>
      <c r="AQ178" s="1108"/>
      <c r="AR178" s="1108"/>
      <c r="AS178" s="1108"/>
      <c r="AT178" s="1108"/>
      <c r="AU178" s="1108"/>
      <c r="AV178" s="1108"/>
      <c r="AW178" s="1108"/>
      <c r="AX178" s="1108"/>
      <c r="AY178" s="1108"/>
      <c r="AZ178" s="1108"/>
      <c r="BA178" s="1108"/>
      <c r="BB178" s="1108"/>
      <c r="BC178" s="1108"/>
      <c r="BD178" s="1108"/>
      <c r="BE178" s="1108"/>
      <c r="BF178" s="1108"/>
      <c r="BG178" s="1108"/>
      <c r="BH178" s="1108"/>
    </row>
    <row r="179" spans="1:60" x14ac:dyDescent="0.3">
      <c r="A179" s="1108"/>
      <c r="B179" s="1108">
        <v>529</v>
      </c>
      <c r="C179" s="1108" t="e">
        <v>#VALUE!</v>
      </c>
      <c r="D179" s="1108"/>
      <c r="E179" s="1108"/>
      <c r="F179" s="1108"/>
      <c r="G179" s="1108"/>
      <c r="H179" s="1108"/>
      <c r="I179" s="1108"/>
      <c r="J179" s="1108"/>
      <c r="K179" s="1108"/>
      <c r="L179" s="1108"/>
      <c r="M179" s="1108"/>
      <c r="N179" s="1108"/>
      <c r="O179" s="1108"/>
      <c r="P179" s="1108"/>
      <c r="Q179" s="1108"/>
      <c r="R179" s="1108"/>
      <c r="S179" s="1108"/>
      <c r="T179" s="1108"/>
      <c r="U179" s="1108"/>
      <c r="V179" s="1108"/>
      <c r="W179" s="1108"/>
      <c r="X179" s="1108"/>
      <c r="Y179" s="1108"/>
      <c r="Z179" s="1108"/>
      <c r="AA179" s="1108"/>
      <c r="AB179" s="1108"/>
      <c r="AC179" s="1108"/>
      <c r="AD179" s="1108"/>
      <c r="AE179" s="1108"/>
      <c r="AF179" s="1108"/>
      <c r="AG179" s="1108"/>
      <c r="AH179" s="1108"/>
      <c r="AI179" s="1108"/>
      <c r="AJ179" s="1108"/>
      <c r="AK179" s="1108"/>
      <c r="AL179" s="1108"/>
      <c r="AM179" s="1108"/>
      <c r="AN179" s="1108"/>
      <c r="AO179" s="1108"/>
      <c r="AP179" s="1108"/>
      <c r="AQ179" s="1108"/>
      <c r="AR179" s="1108"/>
      <c r="AS179" s="1108"/>
      <c r="AT179" s="1108"/>
      <c r="AU179" s="1108"/>
      <c r="AV179" s="1108"/>
      <c r="AW179" s="1108"/>
      <c r="AX179" s="1108"/>
      <c r="AY179" s="1108"/>
      <c r="AZ179" s="1108"/>
      <c r="BA179" s="1108"/>
      <c r="BB179" s="1108"/>
      <c r="BC179" s="1108"/>
      <c r="BD179" s="1108"/>
      <c r="BE179" s="1108"/>
      <c r="BF179" s="1108"/>
      <c r="BG179" s="1108"/>
      <c r="BH179" s="1108"/>
    </row>
    <row r="180" spans="1:60" x14ac:dyDescent="0.3">
      <c r="A180" s="1108"/>
      <c r="B180" s="1108">
        <v>530</v>
      </c>
      <c r="C180" s="1108" t="e">
        <v>#VALUE!</v>
      </c>
      <c r="D180" s="1108"/>
      <c r="E180" s="1108"/>
      <c r="F180" s="1108"/>
      <c r="G180" s="1108"/>
      <c r="H180" s="1108"/>
      <c r="I180" s="1108"/>
      <c r="J180" s="1108"/>
      <c r="K180" s="1108"/>
      <c r="L180" s="1108"/>
      <c r="M180" s="1108"/>
      <c r="N180" s="1108"/>
      <c r="O180" s="1108"/>
      <c r="P180" s="1108"/>
      <c r="Q180" s="1108"/>
      <c r="R180" s="1108"/>
      <c r="S180" s="1108"/>
      <c r="T180" s="1108"/>
      <c r="U180" s="1108"/>
      <c r="V180" s="1108"/>
      <c r="W180" s="1108"/>
      <c r="X180" s="1108"/>
      <c r="Y180" s="1108"/>
      <c r="Z180" s="1108"/>
      <c r="AA180" s="1108"/>
      <c r="AB180" s="1108"/>
      <c r="AC180" s="1108"/>
      <c r="AD180" s="1108"/>
      <c r="AE180" s="1108"/>
      <c r="AF180" s="1108"/>
      <c r="AG180" s="1108"/>
      <c r="AH180" s="1108"/>
      <c r="AI180" s="1108"/>
      <c r="AJ180" s="1108"/>
      <c r="AK180" s="1108"/>
      <c r="AL180" s="1108"/>
      <c r="AM180" s="1108"/>
      <c r="AN180" s="1108"/>
      <c r="AO180" s="1108"/>
      <c r="AP180" s="1108"/>
      <c r="AQ180" s="1108"/>
      <c r="AR180" s="1108"/>
      <c r="AS180" s="1108"/>
      <c r="AT180" s="1108"/>
      <c r="AU180" s="1108"/>
      <c r="AV180" s="1108"/>
      <c r="AW180" s="1108"/>
      <c r="AX180" s="1108"/>
      <c r="AY180" s="1108"/>
      <c r="AZ180" s="1108"/>
      <c r="BA180" s="1108"/>
      <c r="BB180" s="1108"/>
      <c r="BC180" s="1108"/>
      <c r="BD180" s="1108"/>
      <c r="BE180" s="1108"/>
      <c r="BF180" s="1108"/>
      <c r="BG180" s="1108"/>
      <c r="BH180" s="1108"/>
    </row>
    <row r="181" spans="1:60" x14ac:dyDescent="0.3">
      <c r="A181" s="1108"/>
      <c r="B181" s="1108">
        <v>531</v>
      </c>
      <c r="C181" s="1108" t="e">
        <v>#VALUE!</v>
      </c>
      <c r="D181" s="1108"/>
      <c r="E181" s="1108"/>
      <c r="F181" s="1108"/>
      <c r="G181" s="1108"/>
      <c r="H181" s="1108"/>
      <c r="I181" s="1108"/>
      <c r="J181" s="1108"/>
      <c r="K181" s="1108"/>
      <c r="L181" s="1108"/>
      <c r="M181" s="1108"/>
      <c r="N181" s="1108"/>
      <c r="O181" s="1108"/>
      <c r="P181" s="1108"/>
      <c r="Q181" s="1108"/>
      <c r="R181" s="1108"/>
      <c r="S181" s="1108"/>
      <c r="T181" s="1108"/>
      <c r="U181" s="1108"/>
      <c r="V181" s="1108"/>
      <c r="W181" s="1108"/>
      <c r="X181" s="1108"/>
      <c r="Y181" s="1108"/>
      <c r="Z181" s="1108"/>
      <c r="AA181" s="1108"/>
      <c r="AB181" s="1108"/>
      <c r="AC181" s="1108"/>
      <c r="AD181" s="1108"/>
      <c r="AE181" s="1108"/>
      <c r="AF181" s="1108"/>
      <c r="AG181" s="1108"/>
      <c r="AH181" s="1108"/>
      <c r="AI181" s="1108"/>
      <c r="AJ181" s="1108"/>
      <c r="AK181" s="1108"/>
      <c r="AL181" s="1108"/>
      <c r="AM181" s="1108"/>
      <c r="AN181" s="1108"/>
      <c r="AO181" s="1108"/>
      <c r="AP181" s="1108"/>
      <c r="AQ181" s="1108"/>
      <c r="AR181" s="1108"/>
      <c r="AS181" s="1108"/>
      <c r="AT181" s="1108"/>
      <c r="AU181" s="1108"/>
      <c r="AV181" s="1108"/>
      <c r="AW181" s="1108"/>
      <c r="AX181" s="1108"/>
      <c r="AY181" s="1108"/>
      <c r="AZ181" s="1108"/>
      <c r="BA181" s="1108"/>
      <c r="BB181" s="1108"/>
      <c r="BC181" s="1108"/>
      <c r="BD181" s="1108"/>
      <c r="BE181" s="1108"/>
      <c r="BF181" s="1108"/>
      <c r="BG181" s="1108"/>
      <c r="BH181" s="1108"/>
    </row>
    <row r="182" spans="1:60" x14ac:dyDescent="0.3">
      <c r="A182" s="1108">
        <v>532</v>
      </c>
      <c r="B182" s="1108">
        <v>532</v>
      </c>
      <c r="C182" s="1108" t="s">
        <v>353</v>
      </c>
      <c r="D182" s="1130">
        <v>11728784</v>
      </c>
      <c r="E182" s="1130">
        <v>18827135</v>
      </c>
      <c r="F182" s="1130">
        <v>10648775</v>
      </c>
      <c r="G182" s="1130">
        <v>6378476</v>
      </c>
      <c r="H182" s="1130">
        <v>18423404</v>
      </c>
      <c r="I182" s="1130">
        <v>9932698</v>
      </c>
      <c r="J182" s="1130">
        <v>2712242</v>
      </c>
      <c r="K182" s="1130">
        <v>6796309</v>
      </c>
      <c r="L182" s="1130">
        <v>11665335</v>
      </c>
      <c r="M182" s="1130">
        <v>2676932</v>
      </c>
      <c r="N182" s="1130">
        <v>5683120</v>
      </c>
      <c r="O182" s="1130">
        <v>30988027</v>
      </c>
      <c r="P182" s="1130">
        <v>16466988</v>
      </c>
      <c r="Q182" s="1130">
        <v>3143406</v>
      </c>
      <c r="R182" s="1130">
        <v>473139</v>
      </c>
      <c r="S182" s="1130">
        <v>22838578</v>
      </c>
      <c r="T182" s="1130">
        <v>85985833</v>
      </c>
      <c r="U182" s="1130">
        <v>6281785</v>
      </c>
      <c r="V182" s="1130">
        <v>3954944</v>
      </c>
      <c r="W182" s="1130">
        <v>50919600</v>
      </c>
      <c r="X182" s="1130">
        <v>32985598</v>
      </c>
      <c r="Y182" s="1130">
        <v>3815917</v>
      </c>
      <c r="Z182" s="1130">
        <v>17009370</v>
      </c>
      <c r="AA182" s="1130">
        <v>3075956</v>
      </c>
      <c r="AB182" s="1130">
        <v>9607098</v>
      </c>
      <c r="AC182" s="1130">
        <v>40169344</v>
      </c>
      <c r="AD182" s="1130">
        <v>5846143</v>
      </c>
      <c r="AE182" s="1130">
        <v>26591206</v>
      </c>
      <c r="AF182" s="1130">
        <v>8830973</v>
      </c>
      <c r="AG182" s="1130">
        <v>4083805</v>
      </c>
      <c r="AH182" s="1130">
        <v>27628779</v>
      </c>
      <c r="AI182" s="1130">
        <v>14471940</v>
      </c>
      <c r="AJ182" s="1130">
        <v>37580794</v>
      </c>
      <c r="AK182" s="1130">
        <v>14616586</v>
      </c>
      <c r="AL182" s="1130">
        <v>11737097</v>
      </c>
      <c r="AM182" s="1130">
        <v>16180589</v>
      </c>
      <c r="AN182" s="1130">
        <v>11908336</v>
      </c>
      <c r="AO182" s="1130">
        <v>12483310</v>
      </c>
      <c r="AP182" s="1130">
        <v>10735002</v>
      </c>
      <c r="AQ182" s="1130">
        <v>1075890</v>
      </c>
      <c r="AR182" s="1130">
        <v>6319123</v>
      </c>
      <c r="AS182" s="1130">
        <v>11957564</v>
      </c>
      <c r="AT182" s="1130">
        <v>708700</v>
      </c>
      <c r="AU182" s="1130">
        <v>101543881</v>
      </c>
      <c r="AV182" s="1130">
        <v>7466369</v>
      </c>
      <c r="AW182" s="1130">
        <v>473812989</v>
      </c>
      <c r="AX182" s="1130">
        <v>5171839</v>
      </c>
      <c r="AY182" s="1130">
        <v>1813315</v>
      </c>
      <c r="AZ182" s="1130">
        <v>14871410</v>
      </c>
      <c r="BA182" s="1130">
        <v>36428107</v>
      </c>
      <c r="BB182" s="1130">
        <v>2110707</v>
      </c>
      <c r="BC182" s="1130">
        <v>2061668</v>
      </c>
      <c r="BD182" s="1130">
        <v>18204016</v>
      </c>
      <c r="BE182" s="1130">
        <v>21081158</v>
      </c>
      <c r="BF182" s="1130">
        <v>126799366</v>
      </c>
      <c r="BG182" s="1130">
        <v>7115901</v>
      </c>
      <c r="BH182" s="1130">
        <v>3234639</v>
      </c>
    </row>
    <row r="183" spans="1:60" x14ac:dyDescent="0.3">
      <c r="A183" s="1108">
        <v>533</v>
      </c>
      <c r="B183" s="1108">
        <v>533</v>
      </c>
      <c r="C183" s="1108" t="s">
        <v>354</v>
      </c>
      <c r="D183" s="1108">
        <v>0</v>
      </c>
      <c r="E183" s="1108">
        <v>0</v>
      </c>
      <c r="F183" s="1108">
        <v>0</v>
      </c>
      <c r="G183" s="1108">
        <v>0</v>
      </c>
      <c r="H183" s="1108">
        <v>0</v>
      </c>
      <c r="I183" s="1108">
        <v>0</v>
      </c>
      <c r="J183" s="1108">
        <v>0</v>
      </c>
      <c r="K183" s="1108">
        <v>0</v>
      </c>
      <c r="L183" s="1108">
        <v>0</v>
      </c>
      <c r="M183" s="1108">
        <v>0</v>
      </c>
      <c r="N183" s="1108">
        <v>0</v>
      </c>
      <c r="O183" s="1108">
        <v>0</v>
      </c>
      <c r="P183" s="1108">
        <v>0</v>
      </c>
      <c r="Q183" s="1108">
        <v>0</v>
      </c>
      <c r="R183" s="1108">
        <v>0</v>
      </c>
      <c r="S183" s="1108">
        <v>0</v>
      </c>
      <c r="T183" s="1108">
        <v>0</v>
      </c>
      <c r="U183" s="1108">
        <v>0</v>
      </c>
      <c r="V183" s="1108">
        <v>0</v>
      </c>
      <c r="W183" s="1108">
        <v>0</v>
      </c>
      <c r="X183" s="1108">
        <v>0</v>
      </c>
      <c r="Y183" s="1108">
        <v>0</v>
      </c>
      <c r="Z183" s="1108">
        <v>0</v>
      </c>
      <c r="AA183" s="1108">
        <v>0</v>
      </c>
      <c r="AB183" s="1108">
        <v>0</v>
      </c>
      <c r="AC183" s="1108">
        <v>0</v>
      </c>
      <c r="AD183" s="1108">
        <v>0</v>
      </c>
      <c r="AE183" s="1108">
        <v>0</v>
      </c>
      <c r="AF183" s="1108">
        <v>0</v>
      </c>
      <c r="AG183" s="1108">
        <v>0</v>
      </c>
      <c r="AH183" s="1108">
        <v>0</v>
      </c>
      <c r="AI183" s="1108">
        <v>0</v>
      </c>
      <c r="AJ183" s="1108">
        <v>0</v>
      </c>
      <c r="AK183" s="1108">
        <v>0</v>
      </c>
      <c r="AL183" s="1108">
        <v>0</v>
      </c>
      <c r="AM183" s="1108">
        <v>0</v>
      </c>
      <c r="AN183" s="1108">
        <v>0</v>
      </c>
      <c r="AO183" s="1108">
        <v>0</v>
      </c>
      <c r="AP183" s="1108">
        <v>0</v>
      </c>
      <c r="AQ183" s="1108">
        <v>0</v>
      </c>
      <c r="AR183" s="1108">
        <v>0</v>
      </c>
      <c r="AS183" s="1108">
        <v>0</v>
      </c>
      <c r="AT183" s="1108">
        <v>0</v>
      </c>
      <c r="AU183" s="1108">
        <v>0</v>
      </c>
      <c r="AV183" s="1108">
        <v>0</v>
      </c>
      <c r="AW183" s="1130">
        <v>6854914</v>
      </c>
      <c r="AX183" s="1108">
        <v>0</v>
      </c>
      <c r="AY183" s="1108">
        <v>0</v>
      </c>
      <c r="AZ183" s="1108">
        <v>0</v>
      </c>
      <c r="BA183" s="1130">
        <v>6591164</v>
      </c>
      <c r="BB183" s="1108">
        <v>0</v>
      </c>
      <c r="BC183" s="1108">
        <v>0</v>
      </c>
      <c r="BD183" s="1108">
        <v>0</v>
      </c>
      <c r="BE183" s="1108">
        <v>0</v>
      </c>
      <c r="BF183" s="1108">
        <v>0</v>
      </c>
      <c r="BG183" s="1108">
        <v>0</v>
      </c>
      <c r="BH183" s="1108">
        <v>0</v>
      </c>
    </row>
    <row r="184" spans="1:60" x14ac:dyDescent="0.3">
      <c r="A184" s="1108"/>
      <c r="B184" s="1108">
        <v>534</v>
      </c>
      <c r="C184" s="1108" t="s">
        <v>270</v>
      </c>
      <c r="D184" s="1108"/>
      <c r="E184" s="1108"/>
      <c r="F184" s="1108"/>
      <c r="G184" s="1108"/>
      <c r="H184" s="1108"/>
      <c r="I184" s="1108"/>
      <c r="J184" s="1108"/>
      <c r="K184" s="1108"/>
      <c r="L184" s="1108"/>
      <c r="M184" s="1108"/>
      <c r="N184" s="1108"/>
      <c r="O184" s="1108"/>
      <c r="P184" s="1108"/>
      <c r="Q184" s="1108"/>
      <c r="R184" s="1108"/>
      <c r="S184" s="1108"/>
      <c r="T184" s="1108"/>
      <c r="U184" s="1108"/>
      <c r="V184" s="1108"/>
      <c r="W184" s="1108"/>
      <c r="X184" s="1108"/>
      <c r="Y184" s="1108"/>
      <c r="Z184" s="1108"/>
      <c r="AA184" s="1108"/>
      <c r="AB184" s="1108"/>
      <c r="AC184" s="1108"/>
      <c r="AD184" s="1108"/>
      <c r="AE184" s="1108"/>
      <c r="AF184" s="1108"/>
      <c r="AG184" s="1108"/>
      <c r="AH184" s="1108"/>
      <c r="AI184" s="1108"/>
      <c r="AJ184" s="1108"/>
      <c r="AK184" s="1108"/>
      <c r="AL184" s="1108"/>
      <c r="AM184" s="1108"/>
      <c r="AN184" s="1108"/>
      <c r="AO184" s="1108"/>
      <c r="AP184" s="1108"/>
      <c r="AQ184" s="1108"/>
      <c r="AR184" s="1108"/>
      <c r="AS184" s="1108"/>
      <c r="AT184" s="1108"/>
      <c r="AU184" s="1108"/>
      <c r="AV184" s="1108"/>
      <c r="AW184" s="1108"/>
      <c r="AX184" s="1108"/>
      <c r="AY184" s="1108"/>
      <c r="AZ184" s="1108"/>
      <c r="BA184" s="1108"/>
      <c r="BB184" s="1108"/>
      <c r="BC184" s="1108"/>
      <c r="BD184" s="1108"/>
      <c r="BE184" s="1108"/>
      <c r="BF184" s="1108"/>
      <c r="BG184" s="1108"/>
      <c r="BH184" s="1108"/>
    </row>
    <row r="185" spans="1:60" x14ac:dyDescent="0.3">
      <c r="A185" s="1108"/>
      <c r="B185" s="1108">
        <v>535</v>
      </c>
      <c r="C185" s="1108" t="s">
        <v>1420</v>
      </c>
      <c r="D185" s="1108"/>
      <c r="E185" s="1108"/>
      <c r="F185" s="1108"/>
      <c r="G185" s="1108"/>
      <c r="H185" s="1108"/>
      <c r="I185" s="1108"/>
      <c r="J185" s="1108"/>
      <c r="K185" s="1108"/>
      <c r="L185" s="1108"/>
      <c r="M185" s="1108"/>
      <c r="N185" s="1108"/>
      <c r="O185" s="1108"/>
      <c r="P185" s="1108"/>
      <c r="Q185" s="1108"/>
      <c r="R185" s="1108"/>
      <c r="S185" s="1108"/>
      <c r="T185" s="1108"/>
      <c r="U185" s="1108"/>
      <c r="V185" s="1108"/>
      <c r="W185" s="1108"/>
      <c r="X185" s="1108"/>
      <c r="Y185" s="1108"/>
      <c r="Z185" s="1108"/>
      <c r="AA185" s="1108"/>
      <c r="AB185" s="1108"/>
      <c r="AC185" s="1108"/>
      <c r="AD185" s="1108"/>
      <c r="AE185" s="1108"/>
      <c r="AF185" s="1108"/>
      <c r="AG185" s="1108"/>
      <c r="AH185" s="1108"/>
      <c r="AI185" s="1108"/>
      <c r="AJ185" s="1108"/>
      <c r="AK185" s="1108"/>
      <c r="AL185" s="1108"/>
      <c r="AM185" s="1108"/>
      <c r="AN185" s="1108"/>
      <c r="AO185" s="1108"/>
      <c r="AP185" s="1108"/>
      <c r="AQ185" s="1108"/>
      <c r="AR185" s="1108"/>
      <c r="AS185" s="1108"/>
      <c r="AT185" s="1108"/>
      <c r="AU185" s="1108"/>
      <c r="AV185" s="1108"/>
      <c r="AW185" s="1108"/>
      <c r="AX185" s="1108"/>
      <c r="AY185" s="1108"/>
      <c r="AZ185" s="1108"/>
      <c r="BA185" s="1108"/>
      <c r="BB185" s="1108"/>
      <c r="BC185" s="1108"/>
      <c r="BD185" s="1108"/>
      <c r="BE185" s="1108"/>
      <c r="BF185" s="1108"/>
      <c r="BG185" s="1108"/>
      <c r="BH185" s="1108"/>
    </row>
    <row r="186" spans="1:60" x14ac:dyDescent="0.3">
      <c r="A186" s="1108">
        <v>536</v>
      </c>
      <c r="B186" s="1108">
        <v>536</v>
      </c>
      <c r="C186" s="1108" t="s">
        <v>198</v>
      </c>
      <c r="D186" s="1108">
        <v>0</v>
      </c>
      <c r="E186" s="1108">
        <v>0</v>
      </c>
      <c r="F186" s="1108">
        <v>0</v>
      </c>
      <c r="G186" s="1108">
        <v>0</v>
      </c>
      <c r="H186" s="1108">
        <v>0</v>
      </c>
      <c r="I186" s="1108">
        <v>0</v>
      </c>
      <c r="J186" s="1108">
        <v>0</v>
      </c>
      <c r="K186" s="1108">
        <v>0</v>
      </c>
      <c r="L186" s="1108">
        <v>0</v>
      </c>
      <c r="M186" s="1108">
        <v>0</v>
      </c>
      <c r="N186" s="1108">
        <v>0</v>
      </c>
      <c r="O186" s="1108">
        <v>0</v>
      </c>
      <c r="P186" s="1108">
        <v>0</v>
      </c>
      <c r="Q186" s="1108">
        <v>0</v>
      </c>
      <c r="R186" s="1108">
        <v>0</v>
      </c>
      <c r="S186" s="1108">
        <v>0</v>
      </c>
      <c r="T186" s="1108">
        <v>0</v>
      </c>
      <c r="U186" s="1108">
        <v>0</v>
      </c>
      <c r="V186" s="1108">
        <v>0</v>
      </c>
      <c r="W186" s="1108">
        <v>0</v>
      </c>
      <c r="X186" s="1108">
        <v>0</v>
      </c>
      <c r="Y186" s="1108">
        <v>0</v>
      </c>
      <c r="Z186" s="1108">
        <v>0</v>
      </c>
      <c r="AA186" s="1108">
        <v>0</v>
      </c>
      <c r="AB186" s="1108">
        <v>0</v>
      </c>
      <c r="AC186" s="1108">
        <v>0</v>
      </c>
      <c r="AD186" s="1108">
        <v>0</v>
      </c>
      <c r="AE186" s="1108">
        <v>0</v>
      </c>
      <c r="AF186" s="1108">
        <v>0</v>
      </c>
      <c r="AG186" s="1108">
        <v>0</v>
      </c>
      <c r="AH186" s="1108">
        <v>0</v>
      </c>
      <c r="AI186" s="1108">
        <v>0</v>
      </c>
      <c r="AJ186" s="1108">
        <v>0</v>
      </c>
      <c r="AK186" s="1108">
        <v>0</v>
      </c>
      <c r="AL186" s="1108">
        <v>0</v>
      </c>
      <c r="AM186" s="1108">
        <v>0</v>
      </c>
      <c r="AN186" s="1108">
        <v>0</v>
      </c>
      <c r="AO186" s="1108">
        <v>0</v>
      </c>
      <c r="AP186" s="1108">
        <v>0</v>
      </c>
      <c r="AQ186" s="1108">
        <v>0</v>
      </c>
      <c r="AR186" s="1108">
        <v>0</v>
      </c>
      <c r="AS186" s="1108">
        <v>0</v>
      </c>
      <c r="AT186" s="1130">
        <v>8603</v>
      </c>
      <c r="AU186" s="1108">
        <v>0</v>
      </c>
      <c r="AV186" s="1108">
        <v>0</v>
      </c>
      <c r="AW186" s="1130">
        <v>6488539</v>
      </c>
      <c r="AX186" s="1108">
        <v>0</v>
      </c>
      <c r="AY186" s="1108">
        <v>0</v>
      </c>
      <c r="AZ186" s="1108">
        <v>0</v>
      </c>
      <c r="BA186" s="1108">
        <v>0</v>
      </c>
      <c r="BB186" s="1108">
        <v>0</v>
      </c>
      <c r="BC186" s="1108">
        <v>0</v>
      </c>
      <c r="BD186" s="1108">
        <v>0</v>
      </c>
      <c r="BE186" s="1108">
        <v>0</v>
      </c>
      <c r="BF186" s="1108">
        <v>0</v>
      </c>
      <c r="BG186" s="1108">
        <v>0</v>
      </c>
      <c r="BH186" s="1108">
        <v>0</v>
      </c>
    </row>
    <row r="187" spans="1:60" x14ac:dyDescent="0.3">
      <c r="A187" s="1108"/>
      <c r="B187" s="1108">
        <v>537</v>
      </c>
      <c r="C187" s="1108"/>
      <c r="D187" s="1108"/>
      <c r="E187" s="1108"/>
      <c r="F187" s="1108"/>
      <c r="G187" s="1108"/>
      <c r="H187" s="1108"/>
      <c r="I187" s="1108"/>
      <c r="J187" s="1108"/>
      <c r="K187" s="1108"/>
      <c r="L187" s="1108"/>
      <c r="M187" s="1108"/>
      <c r="N187" s="1108"/>
      <c r="O187" s="1108"/>
      <c r="P187" s="1108"/>
      <c r="Q187" s="1108"/>
      <c r="R187" s="1108"/>
      <c r="S187" s="1108"/>
      <c r="T187" s="1108"/>
      <c r="U187" s="1108"/>
      <c r="V187" s="1108"/>
      <c r="W187" s="1108"/>
      <c r="X187" s="1108"/>
      <c r="Y187" s="1108"/>
      <c r="Z187" s="1108"/>
      <c r="AA187" s="1108"/>
      <c r="AB187" s="1108"/>
      <c r="AC187" s="1108"/>
      <c r="AD187" s="1108"/>
      <c r="AE187" s="1108"/>
      <c r="AF187" s="1108"/>
      <c r="AG187" s="1108"/>
      <c r="AH187" s="1108"/>
      <c r="AI187" s="1108"/>
      <c r="AJ187" s="1108"/>
      <c r="AK187" s="1108"/>
      <c r="AL187" s="1108"/>
      <c r="AM187" s="1108"/>
      <c r="AN187" s="1108"/>
      <c r="AO187" s="1108"/>
      <c r="AP187" s="1108"/>
      <c r="AQ187" s="1108"/>
      <c r="AR187" s="1108"/>
      <c r="AS187" s="1108"/>
      <c r="AT187" s="1108"/>
      <c r="AU187" s="1108"/>
      <c r="AV187" s="1108"/>
      <c r="AW187" s="1108"/>
      <c r="AX187" s="1108"/>
      <c r="AY187" s="1108"/>
      <c r="AZ187" s="1108"/>
      <c r="BA187" s="1108"/>
      <c r="BB187" s="1108"/>
      <c r="BC187" s="1108"/>
      <c r="BD187" s="1108"/>
      <c r="BE187" s="1108"/>
      <c r="BF187" s="1108"/>
      <c r="BG187" s="1108"/>
      <c r="BH187" s="1108"/>
    </row>
    <row r="188" spans="1:60" x14ac:dyDescent="0.3">
      <c r="A188" s="1108"/>
      <c r="B188" s="1108">
        <v>538</v>
      </c>
      <c r="C188" s="1108"/>
      <c r="D188" s="1108"/>
      <c r="E188" s="1108"/>
      <c r="F188" s="1108"/>
      <c r="G188" s="1108"/>
      <c r="H188" s="1108"/>
      <c r="I188" s="1108"/>
      <c r="J188" s="1108"/>
      <c r="K188" s="1108"/>
      <c r="L188" s="1108"/>
      <c r="M188" s="1108"/>
      <c r="N188" s="1108"/>
      <c r="O188" s="1108"/>
      <c r="P188" s="1108"/>
      <c r="Q188" s="1108"/>
      <c r="R188" s="1108"/>
      <c r="S188" s="1108"/>
      <c r="T188" s="1108"/>
      <c r="U188" s="1108"/>
      <c r="V188" s="1108"/>
      <c r="W188" s="1108"/>
      <c r="X188" s="1108"/>
      <c r="Y188" s="1108"/>
      <c r="Z188" s="1108"/>
      <c r="AA188" s="1108"/>
      <c r="AB188" s="1108"/>
      <c r="AC188" s="1108"/>
      <c r="AD188" s="1108"/>
      <c r="AE188" s="1108"/>
      <c r="AF188" s="1108"/>
      <c r="AG188" s="1108"/>
      <c r="AH188" s="1108"/>
      <c r="AI188" s="1108"/>
      <c r="AJ188" s="1108"/>
      <c r="AK188" s="1108"/>
      <c r="AL188" s="1108"/>
      <c r="AM188" s="1108"/>
      <c r="AN188" s="1108"/>
      <c r="AO188" s="1108"/>
      <c r="AP188" s="1108"/>
      <c r="AQ188" s="1108"/>
      <c r="AR188" s="1108"/>
      <c r="AS188" s="1108"/>
      <c r="AT188" s="1108"/>
      <c r="AU188" s="1108"/>
      <c r="AV188" s="1108"/>
      <c r="AW188" s="1108"/>
      <c r="AX188" s="1108"/>
      <c r="AY188" s="1108"/>
      <c r="AZ188" s="1108"/>
      <c r="BA188" s="1108"/>
      <c r="BB188" s="1108"/>
      <c r="BC188" s="1108"/>
      <c r="BD188" s="1108"/>
      <c r="BE188" s="1108"/>
      <c r="BF188" s="1108"/>
      <c r="BG188" s="1108"/>
      <c r="BH188" s="1108"/>
    </row>
    <row r="189" spans="1:60" x14ac:dyDescent="0.3">
      <c r="A189" s="1108"/>
      <c r="B189" s="1108">
        <v>539</v>
      </c>
      <c r="C189" s="1108"/>
      <c r="D189" s="1108"/>
      <c r="E189" s="1108"/>
      <c r="F189" s="1108"/>
      <c r="G189" s="1108"/>
      <c r="H189" s="1108"/>
      <c r="I189" s="1108"/>
      <c r="J189" s="1108"/>
      <c r="K189" s="1108"/>
      <c r="L189" s="1108"/>
      <c r="M189" s="1108"/>
      <c r="N189" s="1108"/>
      <c r="O189" s="1108"/>
      <c r="P189" s="1108"/>
      <c r="Q189" s="1108"/>
      <c r="R189" s="1108"/>
      <c r="S189" s="1108"/>
      <c r="T189" s="1108"/>
      <c r="U189" s="1108"/>
      <c r="V189" s="1108"/>
      <c r="W189" s="1108"/>
      <c r="X189" s="1108"/>
      <c r="Y189" s="1108"/>
      <c r="Z189" s="1108"/>
      <c r="AA189" s="1108"/>
      <c r="AB189" s="1108"/>
      <c r="AC189" s="1108"/>
      <c r="AD189" s="1108"/>
      <c r="AE189" s="1108"/>
      <c r="AF189" s="1108"/>
      <c r="AG189" s="1108"/>
      <c r="AH189" s="1108"/>
      <c r="AI189" s="1108"/>
      <c r="AJ189" s="1108"/>
      <c r="AK189" s="1108"/>
      <c r="AL189" s="1108"/>
      <c r="AM189" s="1108"/>
      <c r="AN189" s="1108"/>
      <c r="AO189" s="1108"/>
      <c r="AP189" s="1108"/>
      <c r="AQ189" s="1108"/>
      <c r="AR189" s="1108"/>
      <c r="AS189" s="1108"/>
      <c r="AT189" s="1108"/>
      <c r="AU189" s="1108"/>
      <c r="AV189" s="1108"/>
      <c r="AW189" s="1108"/>
      <c r="AX189" s="1108"/>
      <c r="AY189" s="1108"/>
      <c r="AZ189" s="1108"/>
      <c r="BA189" s="1108"/>
      <c r="BB189" s="1108"/>
      <c r="BC189" s="1108"/>
      <c r="BD189" s="1108"/>
      <c r="BE189" s="1108"/>
      <c r="BF189" s="1108"/>
      <c r="BG189" s="1108"/>
      <c r="BH189" s="1108"/>
    </row>
    <row r="190" spans="1:60" x14ac:dyDescent="0.3">
      <c r="A190" s="1108"/>
      <c r="B190" s="1108">
        <v>540</v>
      </c>
      <c r="C190" s="1108"/>
      <c r="D190" s="1108"/>
      <c r="E190" s="1108"/>
      <c r="F190" s="1108"/>
      <c r="G190" s="1108"/>
      <c r="H190" s="1108"/>
      <c r="I190" s="1108"/>
      <c r="J190" s="1108"/>
      <c r="K190" s="1108"/>
      <c r="L190" s="1108"/>
      <c r="M190" s="1108"/>
      <c r="N190" s="1108"/>
      <c r="O190" s="1108"/>
      <c r="P190" s="1108"/>
      <c r="Q190" s="1108"/>
      <c r="R190" s="1108"/>
      <c r="S190" s="1108"/>
      <c r="T190" s="1108"/>
      <c r="U190" s="1108"/>
      <c r="V190" s="1108"/>
      <c r="W190" s="1108"/>
      <c r="X190" s="1108"/>
      <c r="Y190" s="1108"/>
      <c r="Z190" s="1108"/>
      <c r="AA190" s="1108"/>
      <c r="AB190" s="1108"/>
      <c r="AC190" s="1108"/>
      <c r="AD190" s="1108"/>
      <c r="AE190" s="1108"/>
      <c r="AF190" s="1108"/>
      <c r="AG190" s="1108"/>
      <c r="AH190" s="1108"/>
      <c r="AI190" s="1108"/>
      <c r="AJ190" s="1108"/>
      <c r="AK190" s="1108"/>
      <c r="AL190" s="1108"/>
      <c r="AM190" s="1108"/>
      <c r="AN190" s="1108"/>
      <c r="AO190" s="1108"/>
      <c r="AP190" s="1108"/>
      <c r="AQ190" s="1108"/>
      <c r="AR190" s="1108"/>
      <c r="AS190" s="1108"/>
      <c r="AT190" s="1108"/>
      <c r="AU190" s="1108"/>
      <c r="AV190" s="1108"/>
      <c r="AW190" s="1108"/>
      <c r="AX190" s="1108"/>
      <c r="AY190" s="1108"/>
      <c r="AZ190" s="1108"/>
      <c r="BA190" s="1108"/>
      <c r="BB190" s="1108"/>
      <c r="BC190" s="1108"/>
      <c r="BD190" s="1108"/>
      <c r="BE190" s="1108"/>
      <c r="BF190" s="1108"/>
      <c r="BG190" s="1108"/>
      <c r="BH190" s="1108"/>
    </row>
    <row r="191" spans="1:60" x14ac:dyDescent="0.3">
      <c r="A191" s="1108"/>
      <c r="B191" s="1108">
        <v>541</v>
      </c>
      <c r="C191" s="1108"/>
      <c r="D191" s="1108"/>
      <c r="E191" s="1108"/>
      <c r="F191" s="1108"/>
      <c r="G191" s="1108"/>
      <c r="H191" s="1108"/>
      <c r="I191" s="1108"/>
      <c r="J191" s="1108"/>
      <c r="K191" s="1108"/>
      <c r="L191" s="1108"/>
      <c r="M191" s="1108"/>
      <c r="N191" s="1108"/>
      <c r="O191" s="1108"/>
      <c r="P191" s="1108"/>
      <c r="Q191" s="1108"/>
      <c r="R191" s="1108"/>
      <c r="S191" s="1108"/>
      <c r="T191" s="1108"/>
      <c r="U191" s="1108"/>
      <c r="V191" s="1108"/>
      <c r="W191" s="1108"/>
      <c r="X191" s="1108"/>
      <c r="Y191" s="1108"/>
      <c r="Z191" s="1108"/>
      <c r="AA191" s="1108"/>
      <c r="AB191" s="1108"/>
      <c r="AC191" s="1108"/>
      <c r="AD191" s="1108"/>
      <c r="AE191" s="1108"/>
      <c r="AF191" s="1108"/>
      <c r="AG191" s="1108"/>
      <c r="AH191" s="1108"/>
      <c r="AI191" s="1108"/>
      <c r="AJ191" s="1108"/>
      <c r="AK191" s="1108"/>
      <c r="AL191" s="1108"/>
      <c r="AM191" s="1108"/>
      <c r="AN191" s="1108"/>
      <c r="AO191" s="1108"/>
      <c r="AP191" s="1108"/>
      <c r="AQ191" s="1108"/>
      <c r="AR191" s="1108"/>
      <c r="AS191" s="1108"/>
      <c r="AT191" s="1108"/>
      <c r="AU191" s="1108"/>
      <c r="AV191" s="1108"/>
      <c r="AW191" s="1108"/>
      <c r="AX191" s="1108"/>
      <c r="AY191" s="1108"/>
      <c r="AZ191" s="1108"/>
      <c r="BA191" s="1108"/>
      <c r="BB191" s="1108"/>
      <c r="BC191" s="1108"/>
      <c r="BD191" s="1108"/>
      <c r="BE191" s="1108"/>
      <c r="BF191" s="1108"/>
      <c r="BG191" s="1108"/>
      <c r="BH191" s="1108"/>
    </row>
    <row r="192" spans="1:60" x14ac:dyDescent="0.3">
      <c r="A192" s="1108"/>
      <c r="B192" s="1108">
        <v>542</v>
      </c>
      <c r="C192" s="1108"/>
      <c r="D192" s="1108"/>
      <c r="E192" s="1108"/>
      <c r="F192" s="1108"/>
      <c r="G192" s="1108"/>
      <c r="H192" s="1108"/>
      <c r="I192" s="1108"/>
      <c r="J192" s="1108"/>
      <c r="K192" s="1108"/>
      <c r="L192" s="1108"/>
      <c r="M192" s="1108"/>
      <c r="N192" s="1108"/>
      <c r="O192" s="1108"/>
      <c r="P192" s="1108"/>
      <c r="Q192" s="1108"/>
      <c r="R192" s="1108"/>
      <c r="S192" s="1108"/>
      <c r="T192" s="1108"/>
      <c r="U192" s="1108"/>
      <c r="V192" s="1108"/>
      <c r="W192" s="1108"/>
      <c r="X192" s="1108"/>
      <c r="Y192" s="1108"/>
      <c r="Z192" s="1108"/>
      <c r="AA192" s="1108"/>
      <c r="AB192" s="1108"/>
      <c r="AC192" s="1108"/>
      <c r="AD192" s="1108"/>
      <c r="AE192" s="1108"/>
      <c r="AF192" s="1108"/>
      <c r="AG192" s="1108"/>
      <c r="AH192" s="1108"/>
      <c r="AI192" s="1108"/>
      <c r="AJ192" s="1108"/>
      <c r="AK192" s="1108"/>
      <c r="AL192" s="1108"/>
      <c r="AM192" s="1108"/>
      <c r="AN192" s="1108"/>
      <c r="AO192" s="1108"/>
      <c r="AP192" s="1108"/>
      <c r="AQ192" s="1108"/>
      <c r="AR192" s="1108"/>
      <c r="AS192" s="1108"/>
      <c r="AT192" s="1108"/>
      <c r="AU192" s="1108"/>
      <c r="AV192" s="1108"/>
      <c r="AW192" s="1108"/>
      <c r="AX192" s="1108"/>
      <c r="AY192" s="1108"/>
      <c r="AZ192" s="1108"/>
      <c r="BA192" s="1108"/>
      <c r="BB192" s="1108"/>
      <c r="BC192" s="1108"/>
      <c r="BD192" s="1108"/>
      <c r="BE192" s="1108"/>
      <c r="BF192" s="1108"/>
      <c r="BG192" s="1108"/>
      <c r="BH192" s="1108"/>
    </row>
    <row r="193" spans="1:60" x14ac:dyDescent="0.3">
      <c r="A193" s="1108"/>
      <c r="B193" s="1108">
        <v>543</v>
      </c>
      <c r="C193" s="1108"/>
      <c r="D193" s="1108"/>
      <c r="E193" s="1108"/>
      <c r="F193" s="1108"/>
      <c r="G193" s="1108"/>
      <c r="H193" s="1108"/>
      <c r="I193" s="1108"/>
      <c r="J193" s="1108"/>
      <c r="K193" s="1108"/>
      <c r="L193" s="1108"/>
      <c r="M193" s="1108"/>
      <c r="N193" s="1108"/>
      <c r="O193" s="1108"/>
      <c r="P193" s="1108"/>
      <c r="Q193" s="1108"/>
      <c r="R193" s="1108"/>
      <c r="S193" s="1108"/>
      <c r="T193" s="1108"/>
      <c r="U193" s="1108"/>
      <c r="V193" s="1108"/>
      <c r="W193" s="1108"/>
      <c r="X193" s="1108"/>
      <c r="Y193" s="1108"/>
      <c r="Z193" s="1108"/>
      <c r="AA193" s="1108"/>
      <c r="AB193" s="1108"/>
      <c r="AC193" s="1108"/>
      <c r="AD193" s="1108"/>
      <c r="AE193" s="1108"/>
      <c r="AF193" s="1108"/>
      <c r="AG193" s="1108"/>
      <c r="AH193" s="1108"/>
      <c r="AI193" s="1108"/>
      <c r="AJ193" s="1108"/>
      <c r="AK193" s="1108"/>
      <c r="AL193" s="1108"/>
      <c r="AM193" s="1108"/>
      <c r="AN193" s="1108"/>
      <c r="AO193" s="1108"/>
      <c r="AP193" s="1108"/>
      <c r="AQ193" s="1108"/>
      <c r="AR193" s="1108"/>
      <c r="AS193" s="1108"/>
      <c r="AT193" s="1108"/>
      <c r="AU193" s="1108"/>
      <c r="AV193" s="1108"/>
      <c r="AW193" s="1108"/>
      <c r="AX193" s="1108"/>
      <c r="AY193" s="1108"/>
      <c r="AZ193" s="1108"/>
      <c r="BA193" s="1108"/>
      <c r="BB193" s="1108"/>
      <c r="BC193" s="1108"/>
      <c r="BD193" s="1108"/>
      <c r="BE193" s="1108"/>
      <c r="BF193" s="1108"/>
      <c r="BG193" s="1108"/>
      <c r="BH193" s="1108"/>
    </row>
    <row r="194" spans="1:60" x14ac:dyDescent="0.3">
      <c r="A194" s="1108"/>
      <c r="B194" s="1108">
        <v>544</v>
      </c>
      <c r="C194" s="1108"/>
      <c r="D194" s="1108"/>
      <c r="E194" s="1108"/>
      <c r="F194" s="1108"/>
      <c r="G194" s="1108"/>
      <c r="H194" s="1108"/>
      <c r="I194" s="1108"/>
      <c r="J194" s="1108"/>
      <c r="K194" s="1108"/>
      <c r="L194" s="1108"/>
      <c r="M194" s="1108"/>
      <c r="N194" s="1108"/>
      <c r="O194" s="1108"/>
      <c r="P194" s="1108"/>
      <c r="Q194" s="1108"/>
      <c r="R194" s="1108"/>
      <c r="S194" s="1108"/>
      <c r="T194" s="1108"/>
      <c r="U194" s="1108"/>
      <c r="V194" s="1108"/>
      <c r="W194" s="1108"/>
      <c r="X194" s="1108"/>
      <c r="Y194" s="1108"/>
      <c r="Z194" s="1108"/>
      <c r="AA194" s="1108"/>
      <c r="AB194" s="1108"/>
      <c r="AC194" s="1108"/>
      <c r="AD194" s="1108"/>
      <c r="AE194" s="1108"/>
      <c r="AF194" s="1108"/>
      <c r="AG194" s="1108"/>
      <c r="AH194" s="1108"/>
      <c r="AI194" s="1108"/>
      <c r="AJ194" s="1108"/>
      <c r="AK194" s="1108"/>
      <c r="AL194" s="1108"/>
      <c r="AM194" s="1108"/>
      <c r="AN194" s="1108"/>
      <c r="AO194" s="1108"/>
      <c r="AP194" s="1108"/>
      <c r="AQ194" s="1108"/>
      <c r="AR194" s="1108"/>
      <c r="AS194" s="1108"/>
      <c r="AT194" s="1108"/>
      <c r="AU194" s="1108"/>
      <c r="AV194" s="1108"/>
      <c r="AW194" s="1108"/>
      <c r="AX194" s="1108"/>
      <c r="AY194" s="1108"/>
      <c r="AZ194" s="1108"/>
      <c r="BA194" s="1108"/>
      <c r="BB194" s="1108"/>
      <c r="BC194" s="1108"/>
      <c r="BD194" s="1108"/>
      <c r="BE194" s="1108"/>
      <c r="BF194" s="1108"/>
      <c r="BG194" s="1108"/>
      <c r="BH194" s="1108"/>
    </row>
    <row r="195" spans="1:60" x14ac:dyDescent="0.3">
      <c r="A195" s="1108"/>
      <c r="B195" s="1108">
        <v>545</v>
      </c>
      <c r="C195" s="1108"/>
      <c r="D195" s="1108"/>
      <c r="E195" s="1108"/>
      <c r="F195" s="1108"/>
      <c r="G195" s="1108"/>
      <c r="H195" s="1108"/>
      <c r="I195" s="1108"/>
      <c r="J195" s="1108"/>
      <c r="K195" s="1108"/>
      <c r="L195" s="1108"/>
      <c r="M195" s="1108"/>
      <c r="N195" s="1108"/>
      <c r="O195" s="1108"/>
      <c r="P195" s="1108"/>
      <c r="Q195" s="1108"/>
      <c r="R195" s="1108"/>
      <c r="S195" s="1108"/>
      <c r="T195" s="1108"/>
      <c r="U195" s="1108"/>
      <c r="V195" s="1108"/>
      <c r="W195" s="1108"/>
      <c r="X195" s="1108"/>
      <c r="Y195" s="1108"/>
      <c r="Z195" s="1108"/>
      <c r="AA195" s="1108"/>
      <c r="AB195" s="1108"/>
      <c r="AC195" s="1108"/>
      <c r="AD195" s="1108"/>
      <c r="AE195" s="1108"/>
      <c r="AF195" s="1108"/>
      <c r="AG195" s="1108"/>
      <c r="AH195" s="1108"/>
      <c r="AI195" s="1108"/>
      <c r="AJ195" s="1108"/>
      <c r="AK195" s="1108"/>
      <c r="AL195" s="1108"/>
      <c r="AM195" s="1108"/>
      <c r="AN195" s="1108"/>
      <c r="AO195" s="1108"/>
      <c r="AP195" s="1108"/>
      <c r="AQ195" s="1108"/>
      <c r="AR195" s="1108"/>
      <c r="AS195" s="1108"/>
      <c r="AT195" s="1108"/>
      <c r="AU195" s="1108"/>
      <c r="AV195" s="1108"/>
      <c r="AW195" s="1108"/>
      <c r="AX195" s="1108"/>
      <c r="AY195" s="1108"/>
      <c r="AZ195" s="1108"/>
      <c r="BA195" s="1108"/>
      <c r="BB195" s="1108"/>
      <c r="BC195" s="1108"/>
      <c r="BD195" s="1108"/>
      <c r="BE195" s="1108"/>
      <c r="BF195" s="1108"/>
      <c r="BG195" s="1108"/>
      <c r="BH195" s="1108"/>
    </row>
    <row r="196" spans="1:60" x14ac:dyDescent="0.3">
      <c r="A196" s="1108">
        <v>546</v>
      </c>
      <c r="B196" s="1108">
        <v>546</v>
      </c>
      <c r="C196" s="1108"/>
      <c r="D196" s="1108">
        <v>0</v>
      </c>
      <c r="E196" s="1108">
        <v>0</v>
      </c>
      <c r="F196" s="1108">
        <v>0</v>
      </c>
      <c r="G196" s="1130">
        <v>1543055</v>
      </c>
      <c r="H196" s="1108">
        <v>0</v>
      </c>
      <c r="I196" s="1108">
        <v>0</v>
      </c>
      <c r="J196" s="1108">
        <v>0</v>
      </c>
      <c r="K196" s="1108">
        <v>0</v>
      </c>
      <c r="L196" s="1108">
        <v>0</v>
      </c>
      <c r="M196" s="1108">
        <v>0</v>
      </c>
      <c r="N196" s="1108">
        <v>0</v>
      </c>
      <c r="O196" s="1108">
        <v>0</v>
      </c>
      <c r="P196" s="1130">
        <v>6061018</v>
      </c>
      <c r="Q196" s="1130">
        <v>934055</v>
      </c>
      <c r="R196" s="1108">
        <v>0</v>
      </c>
      <c r="S196" s="1108">
        <v>0</v>
      </c>
      <c r="T196" s="1108">
        <v>0</v>
      </c>
      <c r="U196" s="1108">
        <v>0</v>
      </c>
      <c r="V196" s="1108">
        <v>0</v>
      </c>
      <c r="W196" s="1108">
        <v>0</v>
      </c>
      <c r="X196" s="1108">
        <v>0</v>
      </c>
      <c r="Y196" s="1108">
        <v>0</v>
      </c>
      <c r="Z196" s="1108">
        <v>0</v>
      </c>
      <c r="AA196" s="1108">
        <v>0</v>
      </c>
      <c r="AB196" s="1108">
        <v>0</v>
      </c>
      <c r="AC196" s="1108">
        <v>0</v>
      </c>
      <c r="AD196" s="1108">
        <v>0</v>
      </c>
      <c r="AE196" s="1130">
        <v>2327234</v>
      </c>
      <c r="AF196" s="1108">
        <v>0</v>
      </c>
      <c r="AG196" s="1130">
        <v>2049865</v>
      </c>
      <c r="AH196" s="1108">
        <v>0</v>
      </c>
      <c r="AI196" s="1108">
        <v>0</v>
      </c>
      <c r="AJ196" s="1108">
        <v>0</v>
      </c>
      <c r="AK196" s="1108">
        <v>0</v>
      </c>
      <c r="AL196" s="1108">
        <v>0</v>
      </c>
      <c r="AM196" s="1108">
        <v>0</v>
      </c>
      <c r="AN196" s="1108">
        <v>0</v>
      </c>
      <c r="AO196" s="1108">
        <v>0</v>
      </c>
      <c r="AP196" s="1108">
        <v>0</v>
      </c>
      <c r="AQ196" s="1108">
        <v>0</v>
      </c>
      <c r="AR196" s="1108">
        <v>0</v>
      </c>
      <c r="AS196" s="1108">
        <v>0</v>
      </c>
      <c r="AT196" s="1108">
        <v>0</v>
      </c>
      <c r="AU196" s="1108">
        <v>0</v>
      </c>
      <c r="AV196" s="1108">
        <v>0</v>
      </c>
      <c r="AW196" s="1108">
        <v>0</v>
      </c>
      <c r="AX196" s="1108">
        <v>0</v>
      </c>
      <c r="AY196" s="1108">
        <v>0</v>
      </c>
      <c r="AZ196" s="1108">
        <v>0</v>
      </c>
      <c r="BA196" s="1108">
        <v>0</v>
      </c>
      <c r="BB196" s="1130">
        <v>1335771</v>
      </c>
      <c r="BC196" s="1108">
        <v>0</v>
      </c>
      <c r="BD196" s="1108">
        <v>0</v>
      </c>
      <c r="BE196" s="1108">
        <v>0</v>
      </c>
      <c r="BF196" s="1108">
        <v>0</v>
      </c>
      <c r="BG196" s="1108">
        <v>0</v>
      </c>
      <c r="BH196" s="1108">
        <v>0</v>
      </c>
    </row>
    <row r="197" spans="1:60" x14ac:dyDescent="0.3">
      <c r="A197" s="1108">
        <v>547</v>
      </c>
      <c r="B197" s="1108">
        <v>547</v>
      </c>
      <c r="C197" s="1108"/>
      <c r="D197" s="1108">
        <v>4</v>
      </c>
      <c r="E197" s="1108">
        <v>4</v>
      </c>
      <c r="F197" s="1108">
        <v>4</v>
      </c>
      <c r="G197" s="1108">
        <v>4</v>
      </c>
      <c r="H197" s="1108">
        <v>4</v>
      </c>
      <c r="I197" s="1108">
        <v>4</v>
      </c>
      <c r="J197" s="1108">
        <v>4</v>
      </c>
      <c r="K197" s="1108">
        <v>4</v>
      </c>
      <c r="L197" s="1108">
        <v>4</v>
      </c>
      <c r="M197" s="1108">
        <v>4</v>
      </c>
      <c r="N197" s="1108">
        <v>4</v>
      </c>
      <c r="O197" s="1108">
        <v>4</v>
      </c>
      <c r="P197" s="1108">
        <v>4</v>
      </c>
      <c r="Q197" s="1108">
        <v>4</v>
      </c>
      <c r="R197" s="1108">
        <v>4</v>
      </c>
      <c r="S197" s="1108">
        <v>4</v>
      </c>
      <c r="T197" s="1108">
        <v>4</v>
      </c>
      <c r="U197" s="1108">
        <v>4</v>
      </c>
      <c r="V197" s="1108">
        <v>4</v>
      </c>
      <c r="W197" s="1108">
        <v>4</v>
      </c>
      <c r="X197" s="1108">
        <v>4</v>
      </c>
      <c r="Y197" s="1108">
        <v>4</v>
      </c>
      <c r="Z197" s="1108">
        <v>4</v>
      </c>
      <c r="AA197" s="1108">
        <v>4</v>
      </c>
      <c r="AB197" s="1108">
        <v>4</v>
      </c>
      <c r="AC197" s="1108">
        <v>4</v>
      </c>
      <c r="AD197" s="1108">
        <v>4</v>
      </c>
      <c r="AE197" s="1108">
        <v>4</v>
      </c>
      <c r="AF197" s="1108">
        <v>4</v>
      </c>
      <c r="AG197" s="1108">
        <v>4</v>
      </c>
      <c r="AH197" s="1108">
        <v>4</v>
      </c>
      <c r="AI197" s="1108">
        <v>4</v>
      </c>
      <c r="AJ197" s="1108">
        <v>4</v>
      </c>
      <c r="AK197" s="1108">
        <v>4</v>
      </c>
      <c r="AL197" s="1108">
        <v>4</v>
      </c>
      <c r="AM197" s="1108">
        <v>4</v>
      </c>
      <c r="AN197" s="1108">
        <v>4</v>
      </c>
      <c r="AO197" s="1108">
        <v>4</v>
      </c>
      <c r="AP197" s="1108">
        <v>4</v>
      </c>
      <c r="AQ197" s="1108">
        <v>4</v>
      </c>
      <c r="AR197" s="1108">
        <v>4</v>
      </c>
      <c r="AS197" s="1108">
        <v>4</v>
      </c>
      <c r="AT197" s="1108">
        <v>4</v>
      </c>
      <c r="AU197" s="1108">
        <v>4</v>
      </c>
      <c r="AV197" s="1108">
        <v>4</v>
      </c>
      <c r="AW197" s="1108">
        <v>4</v>
      </c>
      <c r="AX197" s="1108">
        <v>4</v>
      </c>
      <c r="AY197" s="1108">
        <v>4</v>
      </c>
      <c r="AZ197" s="1108">
        <v>4</v>
      </c>
      <c r="BA197" s="1108">
        <v>4</v>
      </c>
      <c r="BB197" s="1108">
        <v>4</v>
      </c>
      <c r="BC197" s="1108">
        <v>1</v>
      </c>
      <c r="BD197" s="1108">
        <v>4</v>
      </c>
      <c r="BE197" s="1108">
        <v>4</v>
      </c>
      <c r="BF197" s="1108">
        <v>4</v>
      </c>
      <c r="BG197" s="1108">
        <v>4</v>
      </c>
      <c r="BH197" s="1108">
        <v>4</v>
      </c>
    </row>
    <row r="198" spans="1:60" x14ac:dyDescent="0.3">
      <c r="A198" s="1108"/>
      <c r="B198" s="1108">
        <v>548</v>
      </c>
      <c r="C198" s="1108"/>
      <c r="D198" s="1108"/>
      <c r="E198" s="1108"/>
      <c r="F198" s="1108"/>
      <c r="G198" s="1108"/>
      <c r="H198" s="1108"/>
      <c r="I198" s="1108"/>
      <c r="J198" s="1108"/>
      <c r="K198" s="1108"/>
      <c r="L198" s="1108"/>
      <c r="M198" s="1108"/>
      <c r="N198" s="1108"/>
      <c r="O198" s="1108"/>
      <c r="P198" s="1108"/>
      <c r="Q198" s="1108"/>
      <c r="R198" s="1108"/>
      <c r="S198" s="1108"/>
      <c r="T198" s="1108"/>
      <c r="U198" s="1108"/>
      <c r="V198" s="1108"/>
      <c r="W198" s="1108"/>
      <c r="X198" s="1108"/>
      <c r="Y198" s="1108"/>
      <c r="Z198" s="1108"/>
      <c r="AA198" s="1108"/>
      <c r="AB198" s="1108"/>
      <c r="AC198" s="1108"/>
      <c r="AD198" s="1108"/>
      <c r="AE198" s="1108"/>
      <c r="AF198" s="1108"/>
      <c r="AG198" s="1108"/>
      <c r="AH198" s="1108"/>
      <c r="AI198" s="1108"/>
      <c r="AJ198" s="1108"/>
      <c r="AK198" s="1108"/>
      <c r="AL198" s="1108"/>
      <c r="AM198" s="1108"/>
      <c r="AN198" s="1108"/>
      <c r="AO198" s="1108"/>
      <c r="AP198" s="1108"/>
      <c r="AQ198" s="1108"/>
      <c r="AR198" s="1108"/>
      <c r="AS198" s="1108"/>
      <c r="AT198" s="1108"/>
      <c r="AU198" s="1108"/>
      <c r="AV198" s="1108"/>
      <c r="AW198" s="1108"/>
      <c r="AX198" s="1108"/>
      <c r="AY198" s="1108"/>
      <c r="AZ198" s="1108"/>
      <c r="BA198" s="1108"/>
      <c r="BB198" s="1108"/>
      <c r="BC198" s="1108"/>
      <c r="BD198" s="1108"/>
      <c r="BE198" s="1108"/>
      <c r="BF198" s="1108"/>
      <c r="BG198" s="1108"/>
      <c r="BH198" s="1108"/>
    </row>
    <row r="199" spans="1:60" x14ac:dyDescent="0.3">
      <c r="A199" s="1108"/>
      <c r="B199" s="1108">
        <v>549</v>
      </c>
      <c r="C199" s="1108"/>
      <c r="D199" s="1108"/>
      <c r="E199" s="1108"/>
      <c r="F199" s="1108"/>
      <c r="G199" s="1108"/>
      <c r="H199" s="1108"/>
      <c r="I199" s="1108"/>
      <c r="J199" s="1108"/>
      <c r="K199" s="1108"/>
      <c r="L199" s="1108"/>
      <c r="M199" s="1108"/>
      <c r="N199" s="1108"/>
      <c r="O199" s="1108"/>
      <c r="P199" s="1108"/>
      <c r="Q199" s="1108"/>
      <c r="R199" s="1108"/>
      <c r="S199" s="1108"/>
      <c r="T199" s="1108"/>
      <c r="U199" s="1108"/>
      <c r="V199" s="1108"/>
      <c r="W199" s="1108"/>
      <c r="X199" s="1108"/>
      <c r="Y199" s="1108"/>
      <c r="Z199" s="1108"/>
      <c r="AA199" s="1108"/>
      <c r="AB199" s="1108"/>
      <c r="AC199" s="1108"/>
      <c r="AD199" s="1108"/>
      <c r="AE199" s="1108"/>
      <c r="AF199" s="1108"/>
      <c r="AG199" s="1108"/>
      <c r="AH199" s="1108"/>
      <c r="AI199" s="1108"/>
      <c r="AJ199" s="1108"/>
      <c r="AK199" s="1108"/>
      <c r="AL199" s="1108"/>
      <c r="AM199" s="1108"/>
      <c r="AN199" s="1108"/>
      <c r="AO199" s="1108"/>
      <c r="AP199" s="1108"/>
      <c r="AQ199" s="1108"/>
      <c r="AR199" s="1108"/>
      <c r="AS199" s="1108"/>
      <c r="AT199" s="1108"/>
      <c r="AU199" s="1108"/>
      <c r="AV199" s="1108"/>
      <c r="AW199" s="1108"/>
      <c r="AX199" s="1108"/>
      <c r="AY199" s="1108"/>
      <c r="AZ199" s="1108"/>
      <c r="BA199" s="1108"/>
      <c r="BB199" s="1108"/>
      <c r="BC199" s="1108"/>
      <c r="BD199" s="1108"/>
      <c r="BE199" s="1108"/>
      <c r="BF199" s="1108"/>
      <c r="BG199" s="1108"/>
      <c r="BH199" s="1108"/>
    </row>
    <row r="200" spans="1:60" x14ac:dyDescent="0.3">
      <c r="A200" s="1108"/>
      <c r="B200" s="1108">
        <v>550</v>
      </c>
      <c r="C200" s="1108"/>
      <c r="D200" s="1108"/>
      <c r="E200" s="1108"/>
      <c r="F200" s="1108"/>
      <c r="G200" s="1108"/>
      <c r="H200" s="1108"/>
      <c r="I200" s="1108"/>
      <c r="J200" s="1108"/>
      <c r="K200" s="1108"/>
      <c r="L200" s="1108"/>
      <c r="M200" s="1108"/>
      <c r="N200" s="1108"/>
      <c r="O200" s="1108"/>
      <c r="P200" s="1108"/>
      <c r="Q200" s="1108"/>
      <c r="R200" s="1108"/>
      <c r="S200" s="1108"/>
      <c r="T200" s="1108"/>
      <c r="U200" s="1108"/>
      <c r="V200" s="1108"/>
      <c r="W200" s="1108"/>
      <c r="X200" s="1108"/>
      <c r="Y200" s="1108"/>
      <c r="Z200" s="1108"/>
      <c r="AA200" s="1108"/>
      <c r="AB200" s="1108"/>
      <c r="AC200" s="1108"/>
      <c r="AD200" s="1108"/>
      <c r="AE200" s="1108"/>
      <c r="AF200" s="1108"/>
      <c r="AG200" s="1108"/>
      <c r="AH200" s="1108"/>
      <c r="AI200" s="1108"/>
      <c r="AJ200" s="1108"/>
      <c r="AK200" s="1108"/>
      <c r="AL200" s="1108"/>
      <c r="AM200" s="1108"/>
      <c r="AN200" s="1108"/>
      <c r="AO200" s="1108"/>
      <c r="AP200" s="1108"/>
      <c r="AQ200" s="1108"/>
      <c r="AR200" s="1108"/>
      <c r="AS200" s="1108"/>
      <c r="AT200" s="1108"/>
      <c r="AU200" s="1108"/>
      <c r="AV200" s="1108"/>
      <c r="AW200" s="1108"/>
      <c r="AX200" s="1108"/>
      <c r="AY200" s="1108"/>
      <c r="AZ200" s="1108"/>
      <c r="BA200" s="1108"/>
      <c r="BB200" s="1108"/>
      <c r="BC200" s="1108"/>
      <c r="BD200" s="1108"/>
      <c r="BE200" s="1108"/>
      <c r="BF200" s="1108"/>
      <c r="BG200" s="1108"/>
      <c r="BH200" s="1108"/>
    </row>
    <row r="201" spans="1:60" x14ac:dyDescent="0.3">
      <c r="A201" s="1108"/>
      <c r="B201" s="1108">
        <v>551</v>
      </c>
      <c r="C201" s="1108"/>
      <c r="D201" s="1108"/>
      <c r="E201" s="1108"/>
      <c r="F201" s="1108"/>
      <c r="G201" s="1108"/>
      <c r="H201" s="1108"/>
      <c r="I201" s="1108"/>
      <c r="J201" s="1108"/>
      <c r="K201" s="1108"/>
      <c r="L201" s="1108"/>
      <c r="M201" s="1108"/>
      <c r="N201" s="1108"/>
      <c r="O201" s="1108"/>
      <c r="P201" s="1108"/>
      <c r="Q201" s="1108"/>
      <c r="R201" s="1108"/>
      <c r="S201" s="1108"/>
      <c r="T201" s="1108"/>
      <c r="U201" s="1108"/>
      <c r="V201" s="1108"/>
      <c r="W201" s="1108"/>
      <c r="X201" s="1108"/>
      <c r="Y201" s="1108"/>
      <c r="Z201" s="1108"/>
      <c r="AA201" s="1108"/>
      <c r="AB201" s="1108"/>
      <c r="AC201" s="1108"/>
      <c r="AD201" s="1108"/>
      <c r="AE201" s="1108"/>
      <c r="AF201" s="1108"/>
      <c r="AG201" s="1108"/>
      <c r="AH201" s="1108"/>
      <c r="AI201" s="1108"/>
      <c r="AJ201" s="1108"/>
      <c r="AK201" s="1108"/>
      <c r="AL201" s="1108"/>
      <c r="AM201" s="1108"/>
      <c r="AN201" s="1108"/>
      <c r="AO201" s="1108"/>
      <c r="AP201" s="1108"/>
      <c r="AQ201" s="1108"/>
      <c r="AR201" s="1108"/>
      <c r="AS201" s="1108"/>
      <c r="AT201" s="1108"/>
      <c r="AU201" s="1108"/>
      <c r="AV201" s="1108"/>
      <c r="AW201" s="1108"/>
      <c r="AX201" s="1108"/>
      <c r="AY201" s="1108"/>
      <c r="AZ201" s="1108"/>
      <c r="BA201" s="1108"/>
      <c r="BB201" s="1108"/>
      <c r="BC201" s="1108"/>
      <c r="BD201" s="1108"/>
      <c r="BE201" s="1108"/>
      <c r="BF201" s="1108"/>
      <c r="BG201" s="1108"/>
      <c r="BH201" s="1108"/>
    </row>
    <row r="202" spans="1:60" x14ac:dyDescent="0.3">
      <c r="A202" s="1108"/>
      <c r="B202" s="1108">
        <v>552</v>
      </c>
      <c r="C202" s="1108"/>
      <c r="D202" s="1108"/>
      <c r="E202" s="1108"/>
      <c r="F202" s="1108"/>
      <c r="G202" s="1108"/>
      <c r="H202" s="1108"/>
      <c r="I202" s="1108"/>
      <c r="J202" s="1108"/>
      <c r="K202" s="1108"/>
      <c r="L202" s="1108"/>
      <c r="M202" s="1108"/>
      <c r="N202" s="1108"/>
      <c r="O202" s="1108"/>
      <c r="P202" s="1108"/>
      <c r="Q202" s="1108"/>
      <c r="R202" s="1108"/>
      <c r="S202" s="1108"/>
      <c r="T202" s="1108"/>
      <c r="U202" s="1108"/>
      <c r="V202" s="1108"/>
      <c r="W202" s="1108"/>
      <c r="X202" s="1108"/>
      <c r="Y202" s="1108"/>
      <c r="Z202" s="1108"/>
      <c r="AA202" s="1108"/>
      <c r="AB202" s="1108"/>
      <c r="AC202" s="1108"/>
      <c r="AD202" s="1108"/>
      <c r="AE202" s="1108"/>
      <c r="AF202" s="1108"/>
      <c r="AG202" s="1108"/>
      <c r="AH202" s="1108"/>
      <c r="AI202" s="1108"/>
      <c r="AJ202" s="1108"/>
      <c r="AK202" s="1108"/>
      <c r="AL202" s="1108"/>
      <c r="AM202" s="1108"/>
      <c r="AN202" s="1108"/>
      <c r="AO202" s="1108"/>
      <c r="AP202" s="1108"/>
      <c r="AQ202" s="1108"/>
      <c r="AR202" s="1108"/>
      <c r="AS202" s="1108"/>
      <c r="AT202" s="1108"/>
      <c r="AU202" s="1108"/>
      <c r="AV202" s="1108"/>
      <c r="AW202" s="1108"/>
      <c r="AX202" s="1108"/>
      <c r="AY202" s="1108"/>
      <c r="AZ202" s="1108"/>
      <c r="BA202" s="1108"/>
      <c r="BB202" s="1108"/>
      <c r="BC202" s="1108"/>
      <c r="BD202" s="1108"/>
      <c r="BE202" s="1108"/>
      <c r="BF202" s="1108"/>
      <c r="BG202" s="1108"/>
      <c r="BH202" s="1108"/>
    </row>
    <row r="203" spans="1:60" x14ac:dyDescent="0.3">
      <c r="A203" s="1108"/>
      <c r="B203" s="1108">
        <v>553</v>
      </c>
      <c r="C203" s="1108"/>
      <c r="D203" s="1108"/>
      <c r="E203" s="1108"/>
      <c r="F203" s="1108"/>
      <c r="G203" s="1108"/>
      <c r="H203" s="1108"/>
      <c r="I203" s="1108"/>
      <c r="J203" s="1108"/>
      <c r="K203" s="1108"/>
      <c r="L203" s="1108"/>
      <c r="M203" s="1108"/>
      <c r="N203" s="1108"/>
      <c r="O203" s="1108"/>
      <c r="P203" s="1108"/>
      <c r="Q203" s="1108"/>
      <c r="R203" s="1108"/>
      <c r="S203" s="1108"/>
      <c r="T203" s="1108"/>
      <c r="U203" s="1108"/>
      <c r="V203" s="1108"/>
      <c r="W203" s="1108"/>
      <c r="X203" s="1108"/>
      <c r="Y203" s="1108"/>
      <c r="Z203" s="1108"/>
      <c r="AA203" s="1108"/>
      <c r="AB203" s="1108"/>
      <c r="AC203" s="1108"/>
      <c r="AD203" s="1108"/>
      <c r="AE203" s="1108"/>
      <c r="AF203" s="1108"/>
      <c r="AG203" s="1108"/>
      <c r="AH203" s="1108"/>
      <c r="AI203" s="1108"/>
      <c r="AJ203" s="1108"/>
      <c r="AK203" s="1108"/>
      <c r="AL203" s="1108"/>
      <c r="AM203" s="1108"/>
      <c r="AN203" s="1108"/>
      <c r="AO203" s="1108"/>
      <c r="AP203" s="1108"/>
      <c r="AQ203" s="1108"/>
      <c r="AR203" s="1108"/>
      <c r="AS203" s="1108"/>
      <c r="AT203" s="1108"/>
      <c r="AU203" s="1108"/>
      <c r="AV203" s="1108"/>
      <c r="AW203" s="1108"/>
      <c r="AX203" s="1108"/>
      <c r="AY203" s="1108"/>
      <c r="AZ203" s="1108"/>
      <c r="BA203" s="1108"/>
      <c r="BB203" s="1108"/>
      <c r="BC203" s="1108"/>
      <c r="BD203" s="1108"/>
      <c r="BE203" s="1108"/>
      <c r="BF203" s="1108"/>
      <c r="BG203" s="1108"/>
      <c r="BH203" s="1108"/>
    </row>
    <row r="204" spans="1:60" x14ac:dyDescent="0.3">
      <c r="A204" s="1108">
        <v>554</v>
      </c>
      <c r="B204" s="1108">
        <v>554</v>
      </c>
      <c r="C204" s="1108"/>
      <c r="D204" s="1130">
        <v>8262750</v>
      </c>
      <c r="E204" s="1130">
        <v>10208272</v>
      </c>
      <c r="F204" s="1130">
        <v>12907182</v>
      </c>
      <c r="G204" s="1130">
        <v>4998642</v>
      </c>
      <c r="H204" s="1130">
        <v>9200816</v>
      </c>
      <c r="I204" s="1130">
        <v>4507433</v>
      </c>
      <c r="J204" s="1130">
        <v>2944595</v>
      </c>
      <c r="K204" s="1130">
        <v>4464263</v>
      </c>
      <c r="L204" s="1130">
        <v>8913315</v>
      </c>
      <c r="M204" s="1130">
        <v>1936915</v>
      </c>
      <c r="N204" s="1130">
        <v>5879885</v>
      </c>
      <c r="O204" s="1130">
        <v>11055365</v>
      </c>
      <c r="P204" s="1130">
        <v>3719983</v>
      </c>
      <c r="Q204" s="1130">
        <v>2442955</v>
      </c>
      <c r="R204" s="1130">
        <v>25206</v>
      </c>
      <c r="S204" s="1130">
        <v>19077661</v>
      </c>
      <c r="T204" s="1130">
        <v>26860533</v>
      </c>
      <c r="U204" s="1130">
        <v>3260227</v>
      </c>
      <c r="V204" s="1130">
        <v>3587452</v>
      </c>
      <c r="W204" s="1130">
        <v>31538727</v>
      </c>
      <c r="X204" s="1130">
        <v>5226306</v>
      </c>
      <c r="Y204" s="1130">
        <v>1766905</v>
      </c>
      <c r="Z204" s="1130">
        <v>9722499</v>
      </c>
      <c r="AA204" s="1130">
        <v>2094367</v>
      </c>
      <c r="AB204" s="1130">
        <v>6882330</v>
      </c>
      <c r="AC204" s="1130">
        <v>32768428</v>
      </c>
      <c r="AD204" s="1130">
        <v>2858766</v>
      </c>
      <c r="AE204" s="1130">
        <v>15807905</v>
      </c>
      <c r="AF204" s="1130">
        <v>11495633</v>
      </c>
      <c r="AG204" s="1130">
        <v>3032262</v>
      </c>
      <c r="AH204" s="1130">
        <v>40804125</v>
      </c>
      <c r="AI204" s="1130">
        <v>13677260</v>
      </c>
      <c r="AJ204" s="1130">
        <v>22645704</v>
      </c>
      <c r="AK204" s="1130">
        <v>13277013</v>
      </c>
      <c r="AL204" s="1130">
        <v>11192406</v>
      </c>
      <c r="AM204" s="1108">
        <v>0</v>
      </c>
      <c r="AN204" s="1130">
        <v>7704666</v>
      </c>
      <c r="AO204" s="1130">
        <v>5706711</v>
      </c>
      <c r="AP204" s="1130">
        <v>9328380</v>
      </c>
      <c r="AQ204" s="1130">
        <v>6791532</v>
      </c>
      <c r="AR204" s="1130">
        <v>6189728</v>
      </c>
      <c r="AS204" s="1130">
        <v>3600743</v>
      </c>
      <c r="AT204" s="1130">
        <v>1159176</v>
      </c>
      <c r="AU204" s="1130">
        <v>32426346</v>
      </c>
      <c r="AV204" s="1130">
        <v>9617361</v>
      </c>
      <c r="AW204" s="1130">
        <v>102742156</v>
      </c>
      <c r="AX204" s="1130">
        <v>3407891</v>
      </c>
      <c r="AY204" s="1130">
        <v>2925083</v>
      </c>
      <c r="AZ204" s="1130">
        <v>3817654</v>
      </c>
      <c r="BA204" s="1130">
        <v>25227893</v>
      </c>
      <c r="BB204" s="1130">
        <v>1668134</v>
      </c>
      <c r="BC204" s="1130">
        <v>4119746</v>
      </c>
      <c r="BD204" s="1130">
        <v>11021073</v>
      </c>
      <c r="BE204" s="1130">
        <v>15013720</v>
      </c>
      <c r="BF204" s="1130">
        <v>60090684</v>
      </c>
      <c r="BG204" s="1130">
        <v>5593931</v>
      </c>
      <c r="BH204" s="1108">
        <v>0</v>
      </c>
    </row>
    <row r="205" spans="1:60" x14ac:dyDescent="0.3">
      <c r="A205" s="1108">
        <v>555</v>
      </c>
      <c r="B205" s="1108">
        <v>555</v>
      </c>
      <c r="C205" s="1108"/>
      <c r="D205" s="1130">
        <v>3245893</v>
      </c>
      <c r="E205" s="1130">
        <v>4331028</v>
      </c>
      <c r="F205" s="1130">
        <v>7451929</v>
      </c>
      <c r="G205" s="1130">
        <v>2319063</v>
      </c>
      <c r="H205" s="1130">
        <v>6101464</v>
      </c>
      <c r="I205" s="1130">
        <v>2142732</v>
      </c>
      <c r="J205" s="1130">
        <v>802238</v>
      </c>
      <c r="K205" s="1130">
        <v>2128601</v>
      </c>
      <c r="L205" s="1130">
        <v>3371383</v>
      </c>
      <c r="M205" s="1130">
        <v>595234</v>
      </c>
      <c r="N205" s="1130">
        <v>1242255</v>
      </c>
      <c r="O205" s="1130">
        <v>3142816</v>
      </c>
      <c r="P205" s="1130">
        <v>1938841</v>
      </c>
      <c r="Q205" s="1130">
        <v>767357</v>
      </c>
      <c r="R205" s="1108">
        <v>0</v>
      </c>
      <c r="S205" s="1130">
        <v>5731148</v>
      </c>
      <c r="T205" s="1130">
        <v>5618636</v>
      </c>
      <c r="U205" s="1130">
        <v>1677496</v>
      </c>
      <c r="V205" s="1130">
        <v>1366018</v>
      </c>
      <c r="W205" s="1130">
        <v>10872758</v>
      </c>
      <c r="X205" s="1130">
        <v>1241238</v>
      </c>
      <c r="Y205" s="1130">
        <v>464708</v>
      </c>
      <c r="Z205" s="1130">
        <v>3489155</v>
      </c>
      <c r="AA205" s="1130">
        <v>525239</v>
      </c>
      <c r="AB205" s="1130">
        <v>2331649</v>
      </c>
      <c r="AC205" s="1130">
        <v>10252334</v>
      </c>
      <c r="AD205" s="1130">
        <v>922723</v>
      </c>
      <c r="AE205" s="1130">
        <v>3819160</v>
      </c>
      <c r="AF205" s="1130">
        <v>3341494</v>
      </c>
      <c r="AG205" s="1130">
        <v>856424</v>
      </c>
      <c r="AH205" s="1130">
        <v>21446135</v>
      </c>
      <c r="AI205" s="1130">
        <v>4744787</v>
      </c>
      <c r="AJ205" s="1130">
        <v>11662250</v>
      </c>
      <c r="AK205" s="1130">
        <v>4448469</v>
      </c>
      <c r="AL205" s="1130">
        <v>4619121</v>
      </c>
      <c r="AM205" s="1108">
        <v>0</v>
      </c>
      <c r="AN205" s="1130">
        <v>3451593</v>
      </c>
      <c r="AO205" s="1130">
        <v>1439449</v>
      </c>
      <c r="AP205" s="1130">
        <v>2071206</v>
      </c>
      <c r="AQ205" s="1130">
        <v>4018191</v>
      </c>
      <c r="AR205" s="1130">
        <v>3444348</v>
      </c>
      <c r="AS205" s="1130">
        <v>1316748</v>
      </c>
      <c r="AT205" s="1130">
        <v>484588</v>
      </c>
      <c r="AU205" s="1130">
        <v>8906183</v>
      </c>
      <c r="AV205" s="1130">
        <v>4856677</v>
      </c>
      <c r="AW205" s="1130">
        <v>28274164</v>
      </c>
      <c r="AX205" s="1130">
        <v>2494540</v>
      </c>
      <c r="AY205" s="1130">
        <v>2124939</v>
      </c>
      <c r="AZ205" s="1130">
        <v>1258224</v>
      </c>
      <c r="BA205" s="1130">
        <v>8874880</v>
      </c>
      <c r="BB205" s="1130">
        <v>462565</v>
      </c>
      <c r="BC205" s="1130">
        <v>1664836</v>
      </c>
      <c r="BD205" s="1130">
        <v>4857388</v>
      </c>
      <c r="BE205" s="1130">
        <v>5391833</v>
      </c>
      <c r="BF205" s="1130">
        <v>31740210</v>
      </c>
      <c r="BG205" s="1130">
        <v>1430804</v>
      </c>
      <c r="BH205" s="1108">
        <v>0</v>
      </c>
    </row>
    <row r="206" spans="1:60" x14ac:dyDescent="0.3">
      <c r="A206" s="1108">
        <v>556</v>
      </c>
      <c r="B206" s="1108">
        <v>556</v>
      </c>
      <c r="C206" s="1108"/>
      <c r="D206" s="1130">
        <v>34759128</v>
      </c>
      <c r="E206" s="1130">
        <v>63136667</v>
      </c>
      <c r="F206" s="1130">
        <v>63587099</v>
      </c>
      <c r="G206" s="1130">
        <v>21089791</v>
      </c>
      <c r="H206" s="1130">
        <v>70305702</v>
      </c>
      <c r="I206" s="1130">
        <v>30396403</v>
      </c>
      <c r="J206" s="1130">
        <v>18950499</v>
      </c>
      <c r="K206" s="1130">
        <v>25883263</v>
      </c>
      <c r="L206" s="1130">
        <v>45895305</v>
      </c>
      <c r="M206" s="1130">
        <v>16133152</v>
      </c>
      <c r="N206" s="1130">
        <v>29964094</v>
      </c>
      <c r="O206" s="1130">
        <v>79339348</v>
      </c>
      <c r="P206" s="1130">
        <v>34799833</v>
      </c>
      <c r="Q206" s="1130">
        <v>11787892</v>
      </c>
      <c r="R206" s="1130">
        <v>1878262</v>
      </c>
      <c r="S206" s="1130">
        <v>100674068</v>
      </c>
      <c r="T206" s="1130">
        <v>168645213</v>
      </c>
      <c r="U206" s="1130">
        <v>19909593</v>
      </c>
      <c r="V206" s="1130">
        <v>16271510</v>
      </c>
      <c r="W206" s="1130">
        <v>182499478</v>
      </c>
      <c r="X206" s="1130">
        <v>47794509</v>
      </c>
      <c r="Y206" s="1130">
        <v>12230485</v>
      </c>
      <c r="Z206" s="1130">
        <v>71078358</v>
      </c>
      <c r="AA206" s="1130">
        <v>13894774</v>
      </c>
      <c r="AB206" s="1130">
        <v>29939041</v>
      </c>
      <c r="AC206" s="1130">
        <v>157572195</v>
      </c>
      <c r="AD206" s="1130">
        <v>17568624</v>
      </c>
      <c r="AE206" s="1130">
        <v>107546028</v>
      </c>
      <c r="AF206" s="1130">
        <v>63008217</v>
      </c>
      <c r="AG206" s="1130">
        <v>20250816</v>
      </c>
      <c r="AH206" s="1130">
        <v>168913302</v>
      </c>
      <c r="AI206" s="1130">
        <v>78825025</v>
      </c>
      <c r="AJ206" s="1130">
        <v>123652324</v>
      </c>
      <c r="AK206" s="1130">
        <v>58176872</v>
      </c>
      <c r="AL206" s="1130">
        <v>57475242</v>
      </c>
      <c r="AM206" s="1108">
        <v>0</v>
      </c>
      <c r="AN206" s="1130">
        <v>56180143</v>
      </c>
      <c r="AO206" s="1130">
        <v>41395973</v>
      </c>
      <c r="AP206" s="1130">
        <v>55188269</v>
      </c>
      <c r="AQ206" s="1130">
        <v>16159123</v>
      </c>
      <c r="AR206" s="1130">
        <v>15520245</v>
      </c>
      <c r="AS206" s="1130">
        <v>22881350</v>
      </c>
      <c r="AT206" s="1130">
        <v>7835465</v>
      </c>
      <c r="AU206" s="1130">
        <v>243314752</v>
      </c>
      <c r="AV206" s="1130">
        <v>55107731</v>
      </c>
      <c r="AW206" s="1130">
        <v>1073471506</v>
      </c>
      <c r="AX206" s="1130">
        <v>17426480</v>
      </c>
      <c r="AY206" s="1130">
        <v>14103457</v>
      </c>
      <c r="AZ206" s="1130">
        <v>31653578</v>
      </c>
      <c r="BA206" s="1130">
        <v>127396351</v>
      </c>
      <c r="BB206" s="1130">
        <v>8043971</v>
      </c>
      <c r="BC206" s="1130">
        <v>17574469</v>
      </c>
      <c r="BD206" s="1130">
        <v>64151907</v>
      </c>
      <c r="BE206" s="1130">
        <v>71451335</v>
      </c>
      <c r="BF206" s="1130">
        <v>339379660</v>
      </c>
      <c r="BG206" s="1130">
        <v>37965909</v>
      </c>
      <c r="BH206" s="1108">
        <v>0</v>
      </c>
    </row>
    <row r="207" spans="1:60" x14ac:dyDescent="0.3">
      <c r="A207" s="1108">
        <v>557</v>
      </c>
      <c r="B207" s="1108">
        <v>557</v>
      </c>
      <c r="C207" s="1108"/>
      <c r="D207" s="1130">
        <v>32964356</v>
      </c>
      <c r="E207" s="1130">
        <v>58379622</v>
      </c>
      <c r="F207" s="1130">
        <v>58354670</v>
      </c>
      <c r="G207" s="1130">
        <v>20551227</v>
      </c>
      <c r="H207" s="1130">
        <v>65375269</v>
      </c>
      <c r="I207" s="1130">
        <v>29699297</v>
      </c>
      <c r="J207" s="1130">
        <v>17188250</v>
      </c>
      <c r="K207" s="1130">
        <v>25636308</v>
      </c>
      <c r="L207" s="1130">
        <v>41583947</v>
      </c>
      <c r="M207" s="1130">
        <v>14500904</v>
      </c>
      <c r="N207" s="1130">
        <v>26451395</v>
      </c>
      <c r="O207" s="1130">
        <v>72745088</v>
      </c>
      <c r="P207" s="1130">
        <v>32412528</v>
      </c>
      <c r="Q207" s="1130">
        <v>11176123</v>
      </c>
      <c r="R207" s="1130">
        <v>1878262</v>
      </c>
      <c r="S207" s="1130">
        <v>94226911</v>
      </c>
      <c r="T207" s="1130">
        <v>162292885</v>
      </c>
      <c r="U207" s="1130">
        <v>17650183</v>
      </c>
      <c r="V207" s="1130">
        <v>14847848</v>
      </c>
      <c r="W207" s="1130">
        <v>173608795</v>
      </c>
      <c r="X207" s="1130">
        <v>44126122</v>
      </c>
      <c r="Y207" s="1130">
        <v>11682367</v>
      </c>
      <c r="Z207" s="1130">
        <v>66507177</v>
      </c>
      <c r="AA207" s="1130">
        <v>12214564</v>
      </c>
      <c r="AB207" s="1130">
        <v>27604218</v>
      </c>
      <c r="AC207" s="1130">
        <v>152743872</v>
      </c>
      <c r="AD207" s="1130">
        <v>15618935</v>
      </c>
      <c r="AE207" s="1130">
        <v>99946132</v>
      </c>
      <c r="AF207" s="1130">
        <v>48110021</v>
      </c>
      <c r="AG207" s="1130">
        <v>18162009</v>
      </c>
      <c r="AH207" s="1130">
        <v>167928594</v>
      </c>
      <c r="AI207" s="1130">
        <v>73591914</v>
      </c>
      <c r="AJ207" s="1130">
        <v>121903147</v>
      </c>
      <c r="AK207" s="1130">
        <v>55515843</v>
      </c>
      <c r="AL207" s="1130">
        <v>56413411</v>
      </c>
      <c r="AM207" s="1108">
        <v>0</v>
      </c>
      <c r="AN207" s="1130">
        <v>52658817</v>
      </c>
      <c r="AO207" s="1130">
        <v>38260557</v>
      </c>
      <c r="AP207" s="1130">
        <v>50393569</v>
      </c>
      <c r="AQ207" s="1130">
        <v>14519707</v>
      </c>
      <c r="AR207" s="1130">
        <v>14293782</v>
      </c>
      <c r="AS207" s="1130">
        <v>22328005</v>
      </c>
      <c r="AT207" s="1130">
        <v>7041726</v>
      </c>
      <c r="AU207" s="1130">
        <v>226593813</v>
      </c>
      <c r="AV207" s="1130">
        <v>41821561</v>
      </c>
      <c r="AW207" s="1130">
        <v>964457018</v>
      </c>
      <c r="AX207" s="1130">
        <v>16416334</v>
      </c>
      <c r="AY207" s="1130">
        <v>12643022</v>
      </c>
      <c r="AZ207" s="1130">
        <v>28899439</v>
      </c>
      <c r="BA207" s="1130">
        <v>125651649</v>
      </c>
      <c r="BB207" s="1130">
        <v>7329953</v>
      </c>
      <c r="BC207" s="1130">
        <v>16625052</v>
      </c>
      <c r="BD207" s="1130">
        <v>57540219</v>
      </c>
      <c r="BE207" s="1130">
        <v>66394392</v>
      </c>
      <c r="BF207" s="1130">
        <v>319958530</v>
      </c>
      <c r="BG207" s="1130">
        <v>34777254</v>
      </c>
      <c r="BH207" s="1108">
        <v>0</v>
      </c>
    </row>
    <row r="208" spans="1:60" x14ac:dyDescent="0.3">
      <c r="A208" s="1108"/>
      <c r="B208" s="1108">
        <v>558</v>
      </c>
      <c r="C208" s="1108"/>
      <c r="D208" s="1108"/>
      <c r="E208" s="1108"/>
      <c r="F208" s="1108"/>
      <c r="G208" s="1108"/>
      <c r="H208" s="1108"/>
      <c r="I208" s="1108"/>
      <c r="J208" s="1108"/>
      <c r="K208" s="1108"/>
      <c r="L208" s="1108"/>
      <c r="M208" s="1108"/>
      <c r="N208" s="1108"/>
      <c r="O208" s="1108"/>
      <c r="P208" s="1108"/>
      <c r="Q208" s="1108"/>
      <c r="R208" s="1108"/>
      <c r="S208" s="1108"/>
      <c r="T208" s="1108"/>
      <c r="U208" s="1108"/>
      <c r="V208" s="1108"/>
      <c r="W208" s="1108"/>
      <c r="X208" s="1108"/>
      <c r="Y208" s="1108"/>
      <c r="Z208" s="1108"/>
      <c r="AA208" s="1108"/>
      <c r="AB208" s="1108"/>
      <c r="AC208" s="1108"/>
      <c r="AD208" s="1108"/>
      <c r="AE208" s="1108"/>
      <c r="AF208" s="1108"/>
      <c r="AG208" s="1108"/>
      <c r="AH208" s="1108"/>
      <c r="AI208" s="1108"/>
      <c r="AJ208" s="1108"/>
      <c r="AK208" s="1108"/>
      <c r="AL208" s="1108"/>
      <c r="AM208" s="1108"/>
      <c r="AN208" s="1108"/>
      <c r="AO208" s="1108"/>
      <c r="AP208" s="1108"/>
      <c r="AQ208" s="1108"/>
      <c r="AR208" s="1108"/>
      <c r="AS208" s="1108"/>
      <c r="AT208" s="1108"/>
      <c r="AU208" s="1108"/>
      <c r="AV208" s="1108"/>
      <c r="AW208" s="1108"/>
      <c r="AX208" s="1108"/>
      <c r="AY208" s="1108"/>
      <c r="AZ208" s="1108"/>
      <c r="BA208" s="1108"/>
      <c r="BB208" s="1108"/>
      <c r="BC208" s="1108"/>
      <c r="BD208" s="1108"/>
      <c r="BE208" s="1108"/>
      <c r="BF208" s="1108"/>
      <c r="BG208" s="1108"/>
      <c r="BH208" s="1108"/>
    </row>
    <row r="209" spans="1:60" x14ac:dyDescent="0.3">
      <c r="A209" s="1108"/>
      <c r="B209" s="1108">
        <v>559</v>
      </c>
      <c r="C209" s="1108"/>
      <c r="D209" s="1108"/>
      <c r="E209" s="1108"/>
      <c r="F209" s="1108"/>
      <c r="G209" s="1108"/>
      <c r="H209" s="1108"/>
      <c r="I209" s="1108"/>
      <c r="J209" s="1108"/>
      <c r="K209" s="1108"/>
      <c r="L209" s="1108"/>
      <c r="M209" s="1108"/>
      <c r="N209" s="1108"/>
      <c r="O209" s="1108"/>
      <c r="P209" s="1108"/>
      <c r="Q209" s="1108"/>
      <c r="R209" s="1108"/>
      <c r="S209" s="1108"/>
      <c r="T209" s="1108"/>
      <c r="U209" s="1108"/>
      <c r="V209" s="1108"/>
      <c r="W209" s="1108"/>
      <c r="X209" s="1108"/>
      <c r="Y209" s="1108"/>
      <c r="Z209" s="1108"/>
      <c r="AA209" s="1108"/>
      <c r="AB209" s="1108"/>
      <c r="AC209" s="1108"/>
      <c r="AD209" s="1108"/>
      <c r="AE209" s="1108"/>
      <c r="AF209" s="1108"/>
      <c r="AG209" s="1108"/>
      <c r="AH209" s="1108"/>
      <c r="AI209" s="1108"/>
      <c r="AJ209" s="1108"/>
      <c r="AK209" s="1108"/>
      <c r="AL209" s="1108"/>
      <c r="AM209" s="1108"/>
      <c r="AN209" s="1108"/>
      <c r="AO209" s="1108"/>
      <c r="AP209" s="1108"/>
      <c r="AQ209" s="1108"/>
      <c r="AR209" s="1108"/>
      <c r="AS209" s="1108"/>
      <c r="AT209" s="1108"/>
      <c r="AU209" s="1108"/>
      <c r="AV209" s="1108"/>
      <c r="AW209" s="1108"/>
      <c r="AX209" s="1108"/>
      <c r="AY209" s="1108"/>
      <c r="AZ209" s="1108"/>
      <c r="BA209" s="1108"/>
      <c r="BB209" s="1108"/>
      <c r="BC209" s="1108"/>
      <c r="BD209" s="1108"/>
      <c r="BE209" s="1108"/>
      <c r="BF209" s="1108"/>
      <c r="BG209" s="1108"/>
      <c r="BH209" s="1108"/>
    </row>
    <row r="210" spans="1:60" x14ac:dyDescent="0.3">
      <c r="A210" s="1108"/>
      <c r="B210" s="1108">
        <v>560</v>
      </c>
      <c r="C210" s="1108"/>
      <c r="D210" s="1108"/>
      <c r="E210" s="1108"/>
      <c r="F210" s="1108"/>
      <c r="G210" s="1108"/>
      <c r="H210" s="1108"/>
      <c r="I210" s="1108"/>
      <c r="J210" s="1108"/>
      <c r="K210" s="1108"/>
      <c r="L210" s="1108"/>
      <c r="M210" s="1108"/>
      <c r="N210" s="1108"/>
      <c r="O210" s="1108"/>
      <c r="P210" s="1108"/>
      <c r="Q210" s="1108"/>
      <c r="R210" s="1108"/>
      <c r="S210" s="1108"/>
      <c r="T210" s="1108"/>
      <c r="U210" s="1108"/>
      <c r="V210" s="1108"/>
      <c r="W210" s="1108"/>
      <c r="X210" s="1108"/>
      <c r="Y210" s="1108"/>
      <c r="Z210" s="1108"/>
      <c r="AA210" s="1108"/>
      <c r="AB210" s="1108"/>
      <c r="AC210" s="1108"/>
      <c r="AD210" s="1108"/>
      <c r="AE210" s="1108"/>
      <c r="AF210" s="1108"/>
      <c r="AG210" s="1108"/>
      <c r="AH210" s="1108"/>
      <c r="AI210" s="1108"/>
      <c r="AJ210" s="1108"/>
      <c r="AK210" s="1108"/>
      <c r="AL210" s="1108"/>
      <c r="AM210" s="1108"/>
      <c r="AN210" s="1108"/>
      <c r="AO210" s="1108"/>
      <c r="AP210" s="1108"/>
      <c r="AQ210" s="1108"/>
      <c r="AR210" s="1108"/>
      <c r="AS210" s="1108"/>
      <c r="AT210" s="1108"/>
      <c r="AU210" s="1108"/>
      <c r="AV210" s="1108"/>
      <c r="AW210" s="1108"/>
      <c r="AX210" s="1108"/>
      <c r="AY210" s="1108"/>
      <c r="AZ210" s="1108"/>
      <c r="BA210" s="1108"/>
      <c r="BB210" s="1108"/>
      <c r="BC210" s="1108"/>
      <c r="BD210" s="1108"/>
      <c r="BE210" s="1108"/>
      <c r="BF210" s="1108"/>
      <c r="BG210" s="1108"/>
      <c r="BH210" s="1108"/>
    </row>
    <row r="211" spans="1:60" x14ac:dyDescent="0.3">
      <c r="A211" s="1108"/>
      <c r="B211" s="1108">
        <v>561</v>
      </c>
      <c r="C211" s="1108"/>
      <c r="D211" s="1108"/>
      <c r="E211" s="1108"/>
      <c r="F211" s="1108"/>
      <c r="G211" s="1108"/>
      <c r="H211" s="1108"/>
      <c r="I211" s="1108"/>
      <c r="J211" s="1108"/>
      <c r="K211" s="1108"/>
      <c r="L211" s="1108"/>
      <c r="M211" s="1108"/>
      <c r="N211" s="1108"/>
      <c r="O211" s="1108"/>
      <c r="P211" s="1108"/>
      <c r="Q211" s="1108"/>
      <c r="R211" s="1108"/>
      <c r="S211" s="1108"/>
      <c r="T211" s="1108"/>
      <c r="U211" s="1108"/>
      <c r="V211" s="1108"/>
      <c r="W211" s="1108"/>
      <c r="X211" s="1108"/>
      <c r="Y211" s="1108"/>
      <c r="Z211" s="1108"/>
      <c r="AA211" s="1108"/>
      <c r="AB211" s="1108"/>
      <c r="AC211" s="1108"/>
      <c r="AD211" s="1108"/>
      <c r="AE211" s="1108"/>
      <c r="AF211" s="1108"/>
      <c r="AG211" s="1108"/>
      <c r="AH211" s="1108"/>
      <c r="AI211" s="1108"/>
      <c r="AJ211" s="1108"/>
      <c r="AK211" s="1108"/>
      <c r="AL211" s="1108"/>
      <c r="AM211" s="1108"/>
      <c r="AN211" s="1108"/>
      <c r="AO211" s="1108"/>
      <c r="AP211" s="1108"/>
      <c r="AQ211" s="1108"/>
      <c r="AR211" s="1108"/>
      <c r="AS211" s="1108"/>
      <c r="AT211" s="1108"/>
      <c r="AU211" s="1108"/>
      <c r="AV211" s="1108"/>
      <c r="AW211" s="1108"/>
      <c r="AX211" s="1108"/>
      <c r="AY211" s="1108"/>
      <c r="AZ211" s="1108"/>
      <c r="BA211" s="1108"/>
      <c r="BB211" s="1108"/>
      <c r="BC211" s="1108"/>
      <c r="BD211" s="1108"/>
      <c r="BE211" s="1108"/>
      <c r="BF211" s="1108"/>
      <c r="BG211" s="1108"/>
      <c r="BH211" s="1108"/>
    </row>
    <row r="212" spans="1:60" x14ac:dyDescent="0.3">
      <c r="A212" s="1108"/>
      <c r="B212" s="1108">
        <v>562</v>
      </c>
      <c r="C212" s="1108"/>
      <c r="D212" s="1108"/>
      <c r="E212" s="1108"/>
      <c r="F212" s="1108"/>
      <c r="G212" s="1108"/>
      <c r="H212" s="1108"/>
      <c r="I212" s="1108"/>
      <c r="J212" s="1108"/>
      <c r="K212" s="1108"/>
      <c r="L212" s="1108"/>
      <c r="M212" s="1108"/>
      <c r="N212" s="1108"/>
      <c r="O212" s="1108"/>
      <c r="P212" s="1108"/>
      <c r="Q212" s="1108"/>
      <c r="R212" s="1108"/>
      <c r="S212" s="1108"/>
      <c r="T212" s="1108"/>
      <c r="U212" s="1108"/>
      <c r="V212" s="1108"/>
      <c r="W212" s="1108"/>
      <c r="X212" s="1108"/>
      <c r="Y212" s="1108"/>
      <c r="Z212" s="1108"/>
      <c r="AA212" s="1108"/>
      <c r="AB212" s="1108"/>
      <c r="AC212" s="1108"/>
      <c r="AD212" s="1108"/>
      <c r="AE212" s="1108"/>
      <c r="AF212" s="1108"/>
      <c r="AG212" s="1108"/>
      <c r="AH212" s="1108"/>
      <c r="AI212" s="1108"/>
      <c r="AJ212" s="1108"/>
      <c r="AK212" s="1108"/>
      <c r="AL212" s="1108"/>
      <c r="AM212" s="1108"/>
      <c r="AN212" s="1108"/>
      <c r="AO212" s="1108"/>
      <c r="AP212" s="1108"/>
      <c r="AQ212" s="1108"/>
      <c r="AR212" s="1108"/>
      <c r="AS212" s="1108"/>
      <c r="AT212" s="1108"/>
      <c r="AU212" s="1108"/>
      <c r="AV212" s="1108"/>
      <c r="AW212" s="1108"/>
      <c r="AX212" s="1108"/>
      <c r="AY212" s="1108"/>
      <c r="AZ212" s="1108"/>
      <c r="BA212" s="1108"/>
      <c r="BB212" s="1108"/>
      <c r="BC212" s="1108"/>
      <c r="BD212" s="1108"/>
      <c r="BE212" s="1108"/>
      <c r="BF212" s="1108"/>
      <c r="BG212" s="1108"/>
      <c r="BH212" s="1108"/>
    </row>
    <row r="213" spans="1:60" x14ac:dyDescent="0.3">
      <c r="A213" s="1108"/>
      <c r="B213" s="1108">
        <v>563</v>
      </c>
      <c r="C213" s="1108"/>
      <c r="D213" s="1108"/>
      <c r="E213" s="1108"/>
      <c r="F213" s="1108"/>
      <c r="G213" s="1108"/>
      <c r="H213" s="1108"/>
      <c r="I213" s="1108"/>
      <c r="J213" s="1108"/>
      <c r="K213" s="1108"/>
      <c r="L213" s="1108"/>
      <c r="M213" s="1108"/>
      <c r="N213" s="1108"/>
      <c r="O213" s="1108"/>
      <c r="P213" s="1108"/>
      <c r="Q213" s="1108"/>
      <c r="R213" s="1108"/>
      <c r="S213" s="1108"/>
      <c r="T213" s="1108"/>
      <c r="U213" s="1108"/>
      <c r="V213" s="1108"/>
      <c r="W213" s="1108"/>
      <c r="X213" s="1108"/>
      <c r="Y213" s="1108"/>
      <c r="Z213" s="1108"/>
      <c r="AA213" s="1108"/>
      <c r="AB213" s="1108"/>
      <c r="AC213" s="1108"/>
      <c r="AD213" s="1108"/>
      <c r="AE213" s="1108"/>
      <c r="AF213" s="1108"/>
      <c r="AG213" s="1108"/>
      <c r="AH213" s="1108"/>
      <c r="AI213" s="1108"/>
      <c r="AJ213" s="1108"/>
      <c r="AK213" s="1108"/>
      <c r="AL213" s="1108"/>
      <c r="AM213" s="1108"/>
      <c r="AN213" s="1108"/>
      <c r="AO213" s="1108"/>
      <c r="AP213" s="1108"/>
      <c r="AQ213" s="1108"/>
      <c r="AR213" s="1108"/>
      <c r="AS213" s="1108"/>
      <c r="AT213" s="1108"/>
      <c r="AU213" s="1108"/>
      <c r="AV213" s="1108"/>
      <c r="AW213" s="1108"/>
      <c r="AX213" s="1108"/>
      <c r="AY213" s="1108"/>
      <c r="AZ213" s="1108"/>
      <c r="BA213" s="1108"/>
      <c r="BB213" s="1108"/>
      <c r="BC213" s="1108"/>
      <c r="BD213" s="1108"/>
      <c r="BE213" s="1108"/>
      <c r="BF213" s="1108"/>
      <c r="BG213" s="1108"/>
      <c r="BH213" s="1108"/>
    </row>
    <row r="214" spans="1:60" x14ac:dyDescent="0.3">
      <c r="A214" s="1108"/>
      <c r="B214" s="1108">
        <v>564</v>
      </c>
      <c r="C214" s="1108"/>
      <c r="D214" s="1108"/>
      <c r="E214" s="1108"/>
      <c r="F214" s="1108"/>
      <c r="G214" s="1108"/>
      <c r="H214" s="1108"/>
      <c r="I214" s="1108"/>
      <c r="J214" s="1108"/>
      <c r="K214" s="1108"/>
      <c r="L214" s="1108"/>
      <c r="M214" s="1108"/>
      <c r="N214" s="1108"/>
      <c r="O214" s="1108"/>
      <c r="P214" s="1108"/>
      <c r="Q214" s="1108"/>
      <c r="R214" s="1108"/>
      <c r="S214" s="1108"/>
      <c r="T214" s="1108"/>
      <c r="U214" s="1108"/>
      <c r="V214" s="1108"/>
      <c r="W214" s="1108"/>
      <c r="X214" s="1108"/>
      <c r="Y214" s="1108"/>
      <c r="Z214" s="1108"/>
      <c r="AA214" s="1108"/>
      <c r="AB214" s="1108"/>
      <c r="AC214" s="1108"/>
      <c r="AD214" s="1108"/>
      <c r="AE214" s="1108"/>
      <c r="AF214" s="1108"/>
      <c r="AG214" s="1108"/>
      <c r="AH214" s="1108"/>
      <c r="AI214" s="1108"/>
      <c r="AJ214" s="1108"/>
      <c r="AK214" s="1108"/>
      <c r="AL214" s="1108"/>
      <c r="AM214" s="1108"/>
      <c r="AN214" s="1108"/>
      <c r="AO214" s="1108"/>
      <c r="AP214" s="1108"/>
      <c r="AQ214" s="1108"/>
      <c r="AR214" s="1108"/>
      <c r="AS214" s="1108"/>
      <c r="AT214" s="1108"/>
      <c r="AU214" s="1108"/>
      <c r="AV214" s="1108"/>
      <c r="AW214" s="1108"/>
      <c r="AX214" s="1108"/>
      <c r="AY214" s="1108"/>
      <c r="AZ214" s="1108"/>
      <c r="BA214" s="1108"/>
      <c r="BB214" s="1108"/>
      <c r="BC214" s="1108"/>
      <c r="BD214" s="1108"/>
      <c r="BE214" s="1108"/>
      <c r="BF214" s="1108"/>
      <c r="BG214" s="1108"/>
      <c r="BH214" s="1108"/>
    </row>
    <row r="215" spans="1:60" x14ac:dyDescent="0.3">
      <c r="A215" s="1108"/>
      <c r="B215" s="1108">
        <v>565</v>
      </c>
      <c r="C215" s="1108"/>
      <c r="D215" s="1108"/>
      <c r="E215" s="1108"/>
      <c r="F215" s="1108"/>
      <c r="G215" s="1108"/>
      <c r="H215" s="1108"/>
      <c r="I215" s="1108"/>
      <c r="J215" s="1108"/>
      <c r="K215" s="1108"/>
      <c r="L215" s="1108"/>
      <c r="M215" s="1108"/>
      <c r="N215" s="1108"/>
      <c r="O215" s="1108"/>
      <c r="P215" s="1108"/>
      <c r="Q215" s="1108"/>
      <c r="R215" s="1108"/>
      <c r="S215" s="1108"/>
      <c r="T215" s="1108"/>
      <c r="U215" s="1108"/>
      <c r="V215" s="1108"/>
      <c r="W215" s="1108"/>
      <c r="X215" s="1108"/>
      <c r="Y215" s="1108"/>
      <c r="Z215" s="1108"/>
      <c r="AA215" s="1108"/>
      <c r="AB215" s="1108"/>
      <c r="AC215" s="1108"/>
      <c r="AD215" s="1108"/>
      <c r="AE215" s="1108"/>
      <c r="AF215" s="1108"/>
      <c r="AG215" s="1108"/>
      <c r="AH215" s="1108"/>
      <c r="AI215" s="1108"/>
      <c r="AJ215" s="1108"/>
      <c r="AK215" s="1108"/>
      <c r="AL215" s="1108"/>
      <c r="AM215" s="1108"/>
      <c r="AN215" s="1108"/>
      <c r="AO215" s="1108"/>
      <c r="AP215" s="1108"/>
      <c r="AQ215" s="1108"/>
      <c r="AR215" s="1108"/>
      <c r="AS215" s="1108"/>
      <c r="AT215" s="1108"/>
      <c r="AU215" s="1108"/>
      <c r="AV215" s="1108"/>
      <c r="AW215" s="1108"/>
      <c r="AX215" s="1108"/>
      <c r="AY215" s="1108"/>
      <c r="AZ215" s="1108"/>
      <c r="BA215" s="1108"/>
      <c r="BB215" s="1108"/>
      <c r="BC215" s="1108"/>
      <c r="BD215" s="1108"/>
      <c r="BE215" s="1108"/>
      <c r="BF215" s="1108"/>
      <c r="BG215" s="1108"/>
      <c r="BH215" s="1108"/>
    </row>
    <row r="216" spans="1:60" x14ac:dyDescent="0.3">
      <c r="A216" s="1108"/>
      <c r="B216" s="1108">
        <v>566</v>
      </c>
      <c r="C216" s="1108"/>
      <c r="D216" s="1108"/>
      <c r="E216" s="1108"/>
      <c r="F216" s="1108"/>
      <c r="G216" s="1108"/>
      <c r="H216" s="1108"/>
      <c r="I216" s="1108"/>
      <c r="J216" s="1108"/>
      <c r="K216" s="1108"/>
      <c r="L216" s="1108"/>
      <c r="M216" s="1108"/>
      <c r="N216" s="1108"/>
      <c r="O216" s="1108"/>
      <c r="P216" s="1108"/>
      <c r="Q216" s="1108"/>
      <c r="R216" s="1108"/>
      <c r="S216" s="1108"/>
      <c r="T216" s="1108"/>
      <c r="U216" s="1108"/>
      <c r="V216" s="1108"/>
      <c r="W216" s="1108"/>
      <c r="X216" s="1108"/>
      <c r="Y216" s="1108"/>
      <c r="Z216" s="1108"/>
      <c r="AA216" s="1108"/>
      <c r="AB216" s="1108"/>
      <c r="AC216" s="1108"/>
      <c r="AD216" s="1108"/>
      <c r="AE216" s="1108"/>
      <c r="AF216" s="1108"/>
      <c r="AG216" s="1108"/>
      <c r="AH216" s="1108"/>
      <c r="AI216" s="1108"/>
      <c r="AJ216" s="1108"/>
      <c r="AK216" s="1108"/>
      <c r="AL216" s="1108"/>
      <c r="AM216" s="1108"/>
      <c r="AN216" s="1108"/>
      <c r="AO216" s="1108"/>
      <c r="AP216" s="1108"/>
      <c r="AQ216" s="1108"/>
      <c r="AR216" s="1108"/>
      <c r="AS216" s="1108"/>
      <c r="AT216" s="1108"/>
      <c r="AU216" s="1108"/>
      <c r="AV216" s="1108"/>
      <c r="AW216" s="1108"/>
      <c r="AX216" s="1108"/>
      <c r="AY216" s="1108"/>
      <c r="AZ216" s="1108"/>
      <c r="BA216" s="1108"/>
      <c r="BB216" s="1108"/>
      <c r="BC216" s="1108"/>
      <c r="BD216" s="1108"/>
      <c r="BE216" s="1108"/>
      <c r="BF216" s="1108"/>
      <c r="BG216" s="1108"/>
      <c r="BH216" s="1108"/>
    </row>
    <row r="217" spans="1:60" x14ac:dyDescent="0.3">
      <c r="A217" s="1108"/>
      <c r="B217" s="1108">
        <v>567</v>
      </c>
      <c r="C217" s="1108"/>
      <c r="D217" s="1108"/>
      <c r="E217" s="1108"/>
      <c r="F217" s="1108"/>
      <c r="G217" s="1108"/>
      <c r="H217" s="1108"/>
      <c r="I217" s="1108"/>
      <c r="J217" s="1108"/>
      <c r="K217" s="1108"/>
      <c r="L217" s="1108"/>
      <c r="M217" s="1108"/>
      <c r="N217" s="1108"/>
      <c r="O217" s="1108"/>
      <c r="P217" s="1108"/>
      <c r="Q217" s="1108"/>
      <c r="R217" s="1108"/>
      <c r="S217" s="1108"/>
      <c r="T217" s="1108"/>
      <c r="U217" s="1108"/>
      <c r="V217" s="1108"/>
      <c r="W217" s="1108"/>
      <c r="X217" s="1108"/>
      <c r="Y217" s="1108"/>
      <c r="Z217" s="1108"/>
      <c r="AA217" s="1108"/>
      <c r="AB217" s="1108"/>
      <c r="AC217" s="1108"/>
      <c r="AD217" s="1108"/>
      <c r="AE217" s="1108"/>
      <c r="AF217" s="1108"/>
      <c r="AG217" s="1108"/>
      <c r="AH217" s="1108"/>
      <c r="AI217" s="1108"/>
      <c r="AJ217" s="1108"/>
      <c r="AK217" s="1108"/>
      <c r="AL217" s="1108"/>
      <c r="AM217" s="1108"/>
      <c r="AN217" s="1108"/>
      <c r="AO217" s="1108"/>
      <c r="AP217" s="1108"/>
      <c r="AQ217" s="1108"/>
      <c r="AR217" s="1108"/>
      <c r="AS217" s="1108"/>
      <c r="AT217" s="1108"/>
      <c r="AU217" s="1108"/>
      <c r="AV217" s="1108"/>
      <c r="AW217" s="1108"/>
      <c r="AX217" s="1108"/>
      <c r="AY217" s="1108"/>
      <c r="AZ217" s="1108"/>
      <c r="BA217" s="1108"/>
      <c r="BB217" s="1108"/>
      <c r="BC217" s="1108"/>
      <c r="BD217" s="1108"/>
      <c r="BE217" s="1108"/>
      <c r="BF217" s="1108"/>
      <c r="BG217" s="1108"/>
      <c r="BH217" s="1108"/>
    </row>
    <row r="218" spans="1:60" x14ac:dyDescent="0.3">
      <c r="A218" s="1108"/>
      <c r="B218" s="1108">
        <v>568</v>
      </c>
      <c r="C218" s="1108"/>
      <c r="D218" s="1108"/>
      <c r="E218" s="1108"/>
      <c r="F218" s="1108"/>
      <c r="G218" s="1108"/>
      <c r="H218" s="1108"/>
      <c r="I218" s="1108"/>
      <c r="J218" s="1108"/>
      <c r="K218" s="1108"/>
      <c r="L218" s="1108"/>
      <c r="M218" s="1108"/>
      <c r="N218" s="1108"/>
      <c r="O218" s="1108"/>
      <c r="P218" s="1108"/>
      <c r="Q218" s="1108"/>
      <c r="R218" s="1108"/>
      <c r="S218" s="1108"/>
      <c r="T218" s="1108"/>
      <c r="U218" s="1108"/>
      <c r="V218" s="1108"/>
      <c r="W218" s="1108"/>
      <c r="X218" s="1108"/>
      <c r="Y218" s="1108"/>
      <c r="Z218" s="1108"/>
      <c r="AA218" s="1108"/>
      <c r="AB218" s="1108"/>
      <c r="AC218" s="1108"/>
      <c r="AD218" s="1108"/>
      <c r="AE218" s="1108"/>
      <c r="AF218" s="1108"/>
      <c r="AG218" s="1108"/>
      <c r="AH218" s="1108"/>
      <c r="AI218" s="1108"/>
      <c r="AJ218" s="1108"/>
      <c r="AK218" s="1108"/>
      <c r="AL218" s="1108"/>
      <c r="AM218" s="1108"/>
      <c r="AN218" s="1108"/>
      <c r="AO218" s="1108"/>
      <c r="AP218" s="1108"/>
      <c r="AQ218" s="1108"/>
      <c r="AR218" s="1108"/>
      <c r="AS218" s="1108"/>
      <c r="AT218" s="1108"/>
      <c r="AU218" s="1108"/>
      <c r="AV218" s="1108"/>
      <c r="AW218" s="1108"/>
      <c r="AX218" s="1108"/>
      <c r="AY218" s="1108"/>
      <c r="AZ218" s="1108"/>
      <c r="BA218" s="1108"/>
      <c r="BB218" s="1108"/>
      <c r="BC218" s="1108"/>
      <c r="BD218" s="1108"/>
      <c r="BE218" s="1108"/>
      <c r="BF218" s="1108"/>
      <c r="BG218" s="1108"/>
      <c r="BH218" s="1108"/>
    </row>
    <row r="219" spans="1:60" x14ac:dyDescent="0.3">
      <c r="A219" s="1108"/>
      <c r="B219" s="1108">
        <v>569</v>
      </c>
      <c r="C219" s="1108"/>
      <c r="D219" s="1108"/>
      <c r="E219" s="1108"/>
      <c r="F219" s="1108"/>
      <c r="G219" s="1108"/>
      <c r="H219" s="1108"/>
      <c r="I219" s="1108"/>
      <c r="J219" s="1108"/>
      <c r="K219" s="1108"/>
      <c r="L219" s="1108"/>
      <c r="M219" s="1108"/>
      <c r="N219" s="1108"/>
      <c r="O219" s="1108"/>
      <c r="P219" s="1108"/>
      <c r="Q219" s="1108"/>
      <c r="R219" s="1108"/>
      <c r="S219" s="1108"/>
      <c r="T219" s="1108"/>
      <c r="U219" s="1108"/>
      <c r="V219" s="1108"/>
      <c r="W219" s="1108"/>
      <c r="X219" s="1108"/>
      <c r="Y219" s="1108"/>
      <c r="Z219" s="1108"/>
      <c r="AA219" s="1108"/>
      <c r="AB219" s="1108"/>
      <c r="AC219" s="1108"/>
      <c r="AD219" s="1108"/>
      <c r="AE219" s="1108"/>
      <c r="AF219" s="1108"/>
      <c r="AG219" s="1108"/>
      <c r="AH219" s="1108"/>
      <c r="AI219" s="1108"/>
      <c r="AJ219" s="1108"/>
      <c r="AK219" s="1108"/>
      <c r="AL219" s="1108"/>
      <c r="AM219" s="1108"/>
      <c r="AN219" s="1108"/>
      <c r="AO219" s="1108"/>
      <c r="AP219" s="1108"/>
      <c r="AQ219" s="1108"/>
      <c r="AR219" s="1108"/>
      <c r="AS219" s="1108"/>
      <c r="AT219" s="1108"/>
      <c r="AU219" s="1108"/>
      <c r="AV219" s="1108"/>
      <c r="AW219" s="1108"/>
      <c r="AX219" s="1108"/>
      <c r="AY219" s="1108"/>
      <c r="AZ219" s="1108"/>
      <c r="BA219" s="1108"/>
      <c r="BB219" s="1108"/>
      <c r="BC219" s="1108"/>
      <c r="BD219" s="1108"/>
      <c r="BE219" s="1108"/>
      <c r="BF219" s="1108"/>
      <c r="BG219" s="1108"/>
      <c r="BH219" s="1108"/>
    </row>
    <row r="220" spans="1:60" x14ac:dyDescent="0.3">
      <c r="A220" s="1108"/>
      <c r="B220" s="1108">
        <v>570</v>
      </c>
      <c r="C220" s="1108"/>
      <c r="D220" s="1108"/>
      <c r="E220" s="1108"/>
      <c r="F220" s="1108"/>
      <c r="G220" s="1108"/>
      <c r="H220" s="1108"/>
      <c r="I220" s="1108"/>
      <c r="J220" s="1108"/>
      <c r="K220" s="1108"/>
      <c r="L220" s="1108"/>
      <c r="M220" s="1108"/>
      <c r="N220" s="1108"/>
      <c r="O220" s="1108"/>
      <c r="P220" s="1108"/>
      <c r="Q220" s="1108"/>
      <c r="R220" s="1108"/>
      <c r="S220" s="1108"/>
      <c r="T220" s="1108"/>
      <c r="U220" s="1108"/>
      <c r="V220" s="1108"/>
      <c r="W220" s="1108"/>
      <c r="X220" s="1108"/>
      <c r="Y220" s="1108"/>
      <c r="Z220" s="1108"/>
      <c r="AA220" s="1108"/>
      <c r="AB220" s="1108"/>
      <c r="AC220" s="1108"/>
      <c r="AD220" s="1108"/>
      <c r="AE220" s="1108"/>
      <c r="AF220" s="1108"/>
      <c r="AG220" s="1108"/>
      <c r="AH220" s="1108"/>
      <c r="AI220" s="1108"/>
      <c r="AJ220" s="1108"/>
      <c r="AK220" s="1108"/>
      <c r="AL220" s="1108"/>
      <c r="AM220" s="1108"/>
      <c r="AN220" s="1108"/>
      <c r="AO220" s="1108"/>
      <c r="AP220" s="1108"/>
      <c r="AQ220" s="1108"/>
      <c r="AR220" s="1108"/>
      <c r="AS220" s="1108"/>
      <c r="AT220" s="1108"/>
      <c r="AU220" s="1108"/>
      <c r="AV220" s="1108"/>
      <c r="AW220" s="1108"/>
      <c r="AX220" s="1108"/>
      <c r="AY220" s="1108"/>
      <c r="AZ220" s="1108"/>
      <c r="BA220" s="1108"/>
      <c r="BB220" s="1108"/>
      <c r="BC220" s="1108"/>
      <c r="BD220" s="1108"/>
      <c r="BE220" s="1108"/>
      <c r="BF220" s="1108"/>
      <c r="BG220" s="1108"/>
      <c r="BH220" s="1108"/>
    </row>
    <row r="221" spans="1:60" x14ac:dyDescent="0.3">
      <c r="A221" s="1108"/>
      <c r="B221" s="1108">
        <v>571</v>
      </c>
      <c r="C221" s="1108"/>
      <c r="D221" s="1108"/>
      <c r="E221" s="1108"/>
      <c r="F221" s="1108"/>
      <c r="G221" s="1108"/>
      <c r="H221" s="1108"/>
      <c r="I221" s="1108"/>
      <c r="J221" s="1108"/>
      <c r="K221" s="1108"/>
      <c r="L221" s="1108"/>
      <c r="M221" s="1108"/>
      <c r="N221" s="1108"/>
      <c r="O221" s="1108"/>
      <c r="P221" s="1108"/>
      <c r="Q221" s="1108"/>
      <c r="R221" s="1108"/>
      <c r="S221" s="1108"/>
      <c r="T221" s="1108"/>
      <c r="U221" s="1108"/>
      <c r="V221" s="1108"/>
      <c r="W221" s="1108"/>
      <c r="X221" s="1108"/>
      <c r="Y221" s="1108"/>
      <c r="Z221" s="1108"/>
      <c r="AA221" s="1108"/>
      <c r="AB221" s="1108"/>
      <c r="AC221" s="1108"/>
      <c r="AD221" s="1108"/>
      <c r="AE221" s="1108"/>
      <c r="AF221" s="1108"/>
      <c r="AG221" s="1108"/>
      <c r="AH221" s="1108"/>
      <c r="AI221" s="1108"/>
      <c r="AJ221" s="1108"/>
      <c r="AK221" s="1108"/>
      <c r="AL221" s="1108"/>
      <c r="AM221" s="1108"/>
      <c r="AN221" s="1108"/>
      <c r="AO221" s="1108"/>
      <c r="AP221" s="1108"/>
      <c r="AQ221" s="1108"/>
      <c r="AR221" s="1108"/>
      <c r="AS221" s="1108"/>
      <c r="AT221" s="1108"/>
      <c r="AU221" s="1108"/>
      <c r="AV221" s="1108"/>
      <c r="AW221" s="1108"/>
      <c r="AX221" s="1108"/>
      <c r="AY221" s="1108"/>
      <c r="AZ221" s="1108"/>
      <c r="BA221" s="1108"/>
      <c r="BB221" s="1108"/>
      <c r="BC221" s="1108"/>
      <c r="BD221" s="1108"/>
      <c r="BE221" s="1108"/>
      <c r="BF221" s="1108"/>
      <c r="BG221" s="1108"/>
      <c r="BH221" s="1108"/>
    </row>
    <row r="222" spans="1:60" x14ac:dyDescent="0.3">
      <c r="A222" s="1108"/>
      <c r="B222" s="1108">
        <v>572</v>
      </c>
      <c r="C222" s="1108"/>
      <c r="D222" s="1108"/>
      <c r="E222" s="1108"/>
      <c r="F222" s="1108"/>
      <c r="G222" s="1108"/>
      <c r="H222" s="1108"/>
      <c r="I222" s="1108"/>
      <c r="J222" s="1108"/>
      <c r="K222" s="1108"/>
      <c r="L222" s="1108"/>
      <c r="M222" s="1108"/>
      <c r="N222" s="1108"/>
      <c r="O222" s="1108"/>
      <c r="P222" s="1108"/>
      <c r="Q222" s="1108"/>
      <c r="R222" s="1108"/>
      <c r="S222" s="1108"/>
      <c r="T222" s="1108"/>
      <c r="U222" s="1108"/>
      <c r="V222" s="1108"/>
      <c r="W222" s="1108"/>
      <c r="X222" s="1108"/>
      <c r="Y222" s="1108"/>
      <c r="Z222" s="1108"/>
      <c r="AA222" s="1108"/>
      <c r="AB222" s="1108"/>
      <c r="AC222" s="1108"/>
      <c r="AD222" s="1108"/>
      <c r="AE222" s="1108"/>
      <c r="AF222" s="1108"/>
      <c r="AG222" s="1108"/>
      <c r="AH222" s="1108"/>
      <c r="AI222" s="1108"/>
      <c r="AJ222" s="1108"/>
      <c r="AK222" s="1108"/>
      <c r="AL222" s="1108"/>
      <c r="AM222" s="1108"/>
      <c r="AN222" s="1108"/>
      <c r="AO222" s="1108"/>
      <c r="AP222" s="1108"/>
      <c r="AQ222" s="1108"/>
      <c r="AR222" s="1108"/>
      <c r="AS222" s="1108"/>
      <c r="AT222" s="1108"/>
      <c r="AU222" s="1108"/>
      <c r="AV222" s="1108"/>
      <c r="AW222" s="1108"/>
      <c r="AX222" s="1108"/>
      <c r="AY222" s="1108"/>
      <c r="AZ222" s="1108"/>
      <c r="BA222" s="1108"/>
      <c r="BB222" s="1108"/>
      <c r="BC222" s="1108"/>
      <c r="BD222" s="1108"/>
      <c r="BE222" s="1108"/>
      <c r="BF222" s="1108"/>
      <c r="BG222" s="1108"/>
      <c r="BH222" s="1108"/>
    </row>
    <row r="223" spans="1:60" x14ac:dyDescent="0.3">
      <c r="A223" s="1108"/>
      <c r="B223" s="1108">
        <v>573</v>
      </c>
      <c r="C223" s="1108"/>
      <c r="D223" s="1108"/>
      <c r="E223" s="1108"/>
      <c r="F223" s="1108"/>
      <c r="G223" s="1108"/>
      <c r="H223" s="1108"/>
      <c r="I223" s="1108"/>
      <c r="J223" s="1108"/>
      <c r="K223" s="1108"/>
      <c r="L223" s="1108"/>
      <c r="M223" s="1108"/>
      <c r="N223" s="1108"/>
      <c r="O223" s="1108"/>
      <c r="P223" s="1108"/>
      <c r="Q223" s="1108"/>
      <c r="R223" s="1108"/>
      <c r="S223" s="1108"/>
      <c r="T223" s="1108"/>
      <c r="U223" s="1108"/>
      <c r="V223" s="1108"/>
      <c r="W223" s="1108"/>
      <c r="X223" s="1108"/>
      <c r="Y223" s="1108"/>
      <c r="Z223" s="1108"/>
      <c r="AA223" s="1108"/>
      <c r="AB223" s="1108"/>
      <c r="AC223" s="1108"/>
      <c r="AD223" s="1108"/>
      <c r="AE223" s="1108"/>
      <c r="AF223" s="1108"/>
      <c r="AG223" s="1108"/>
      <c r="AH223" s="1108"/>
      <c r="AI223" s="1108"/>
      <c r="AJ223" s="1108"/>
      <c r="AK223" s="1108"/>
      <c r="AL223" s="1108"/>
      <c r="AM223" s="1108"/>
      <c r="AN223" s="1108"/>
      <c r="AO223" s="1108"/>
      <c r="AP223" s="1108"/>
      <c r="AQ223" s="1108"/>
      <c r="AR223" s="1108"/>
      <c r="AS223" s="1108"/>
      <c r="AT223" s="1108"/>
      <c r="AU223" s="1108"/>
      <c r="AV223" s="1108"/>
      <c r="AW223" s="1108"/>
      <c r="AX223" s="1108"/>
      <c r="AY223" s="1108"/>
      <c r="AZ223" s="1108"/>
      <c r="BA223" s="1108"/>
      <c r="BB223" s="1108"/>
      <c r="BC223" s="1108"/>
      <c r="BD223" s="1108"/>
      <c r="BE223" s="1108"/>
      <c r="BF223" s="1108"/>
      <c r="BG223" s="1108"/>
      <c r="BH223" s="1108"/>
    </row>
    <row r="224" spans="1:60" x14ac:dyDescent="0.3">
      <c r="A224" s="1108"/>
      <c r="B224" s="1108">
        <v>574</v>
      </c>
      <c r="C224" s="1108"/>
      <c r="D224" s="1108"/>
      <c r="E224" s="1108"/>
      <c r="F224" s="1108"/>
      <c r="G224" s="1108"/>
      <c r="H224" s="1108"/>
      <c r="I224" s="1108"/>
      <c r="J224" s="1108"/>
      <c r="K224" s="1108"/>
      <c r="L224" s="1108"/>
      <c r="M224" s="1108"/>
      <c r="N224" s="1108"/>
      <c r="O224" s="1108"/>
      <c r="P224" s="1108"/>
      <c r="Q224" s="1108"/>
      <c r="R224" s="1108"/>
      <c r="S224" s="1108"/>
      <c r="T224" s="1108"/>
      <c r="U224" s="1108"/>
      <c r="V224" s="1108"/>
      <c r="W224" s="1108"/>
      <c r="X224" s="1108"/>
      <c r="Y224" s="1108"/>
      <c r="Z224" s="1108"/>
      <c r="AA224" s="1108"/>
      <c r="AB224" s="1108"/>
      <c r="AC224" s="1108"/>
      <c r="AD224" s="1108"/>
      <c r="AE224" s="1108"/>
      <c r="AF224" s="1108"/>
      <c r="AG224" s="1108"/>
      <c r="AH224" s="1108"/>
      <c r="AI224" s="1108"/>
      <c r="AJ224" s="1108"/>
      <c r="AK224" s="1108"/>
      <c r="AL224" s="1108"/>
      <c r="AM224" s="1108"/>
      <c r="AN224" s="1108"/>
      <c r="AO224" s="1108"/>
      <c r="AP224" s="1108"/>
      <c r="AQ224" s="1108"/>
      <c r="AR224" s="1108"/>
      <c r="AS224" s="1108"/>
      <c r="AT224" s="1108"/>
      <c r="AU224" s="1108"/>
      <c r="AV224" s="1108"/>
      <c r="AW224" s="1108"/>
      <c r="AX224" s="1108"/>
      <c r="AY224" s="1108"/>
      <c r="AZ224" s="1108"/>
      <c r="BA224" s="1108"/>
      <c r="BB224" s="1108"/>
      <c r="BC224" s="1108"/>
      <c r="BD224" s="1108"/>
      <c r="BE224" s="1108"/>
      <c r="BF224" s="1108"/>
      <c r="BG224" s="1108"/>
      <c r="BH224" s="1108"/>
    </row>
    <row r="225" spans="1:60" x14ac:dyDescent="0.3">
      <c r="A225" s="1108">
        <v>575</v>
      </c>
      <c r="B225" s="1108">
        <v>575</v>
      </c>
      <c r="C225" s="1108" t="s">
        <v>333</v>
      </c>
      <c r="D225" s="1130">
        <v>100331</v>
      </c>
      <c r="E225" s="1130">
        <v>353005</v>
      </c>
      <c r="F225" s="1108">
        <v>0</v>
      </c>
      <c r="G225" s="1108">
        <v>0</v>
      </c>
      <c r="H225" s="1130">
        <v>553388</v>
      </c>
      <c r="I225" s="1108">
        <v>0</v>
      </c>
      <c r="J225" s="1130">
        <v>18771</v>
      </c>
      <c r="K225" s="1108">
        <v>0</v>
      </c>
      <c r="L225" s="1108">
        <v>0</v>
      </c>
      <c r="M225" s="1108">
        <v>0</v>
      </c>
      <c r="N225" s="1108">
        <v>0</v>
      </c>
      <c r="O225" s="1108">
        <v>0</v>
      </c>
      <c r="P225" s="1108">
        <v>0</v>
      </c>
      <c r="Q225" s="1108">
        <v>0</v>
      </c>
      <c r="R225" s="1108">
        <v>0</v>
      </c>
      <c r="S225" s="1108">
        <v>0</v>
      </c>
      <c r="T225" s="1108">
        <v>0</v>
      </c>
      <c r="U225" s="1108">
        <v>0</v>
      </c>
      <c r="V225" s="1108">
        <v>0</v>
      </c>
      <c r="W225" s="1130">
        <v>10082</v>
      </c>
      <c r="X225" s="1108">
        <v>0</v>
      </c>
      <c r="Y225" s="1108">
        <v>0</v>
      </c>
      <c r="Z225" s="1108">
        <v>0</v>
      </c>
      <c r="AA225" s="1130">
        <v>85000</v>
      </c>
      <c r="AB225" s="1108">
        <v>0</v>
      </c>
      <c r="AC225" s="1108">
        <v>0</v>
      </c>
      <c r="AD225" s="1130">
        <v>248377</v>
      </c>
      <c r="AE225" s="1108">
        <v>0</v>
      </c>
      <c r="AF225" s="1108">
        <v>0</v>
      </c>
      <c r="AG225" s="1108">
        <v>0</v>
      </c>
      <c r="AH225" s="1108">
        <v>0</v>
      </c>
      <c r="AI225" s="1108">
        <v>0</v>
      </c>
      <c r="AJ225" s="1108">
        <v>0</v>
      </c>
      <c r="AK225" s="1108">
        <v>0</v>
      </c>
      <c r="AL225" s="1108">
        <v>0</v>
      </c>
      <c r="AM225" s="1108">
        <v>0</v>
      </c>
      <c r="AN225" s="1130">
        <v>242966</v>
      </c>
      <c r="AO225" s="1108">
        <v>0</v>
      </c>
      <c r="AP225" s="1130">
        <v>53097</v>
      </c>
      <c r="AQ225" s="1130">
        <v>10833</v>
      </c>
      <c r="AR225" s="1108">
        <v>0</v>
      </c>
      <c r="AS225" s="1108">
        <v>0</v>
      </c>
      <c r="AT225" s="1108">
        <v>0</v>
      </c>
      <c r="AU225" s="1130">
        <v>1300000</v>
      </c>
      <c r="AV225" s="1108">
        <v>0</v>
      </c>
      <c r="AW225" s="1108">
        <v>0</v>
      </c>
      <c r="AX225" s="1130">
        <v>11965</v>
      </c>
      <c r="AY225" s="1108">
        <v>0</v>
      </c>
      <c r="AZ225" s="1108">
        <v>0</v>
      </c>
      <c r="BA225" s="1130">
        <v>281051</v>
      </c>
      <c r="BB225" s="1108">
        <v>0</v>
      </c>
      <c r="BC225" s="1108">
        <v>0</v>
      </c>
      <c r="BD225" s="1130">
        <v>1330</v>
      </c>
      <c r="BE225" s="1108">
        <v>0</v>
      </c>
      <c r="BF225" s="1108">
        <v>0</v>
      </c>
      <c r="BG225" s="1108">
        <v>0</v>
      </c>
      <c r="BH225" s="1108">
        <v>0</v>
      </c>
    </row>
    <row r="226" spans="1:60" x14ac:dyDescent="0.3">
      <c r="A226" s="1108">
        <v>576</v>
      </c>
      <c r="B226" s="1108">
        <v>576</v>
      </c>
      <c r="C226" s="1108" t="s">
        <v>334</v>
      </c>
      <c r="D226" s="1108">
        <v>0</v>
      </c>
      <c r="E226" s="1108">
        <v>0</v>
      </c>
      <c r="F226" s="1108">
        <v>0</v>
      </c>
      <c r="G226" s="1108">
        <v>0</v>
      </c>
      <c r="H226" s="1108">
        <v>0</v>
      </c>
      <c r="I226" s="1108">
        <v>0</v>
      </c>
      <c r="J226" s="1108">
        <v>0</v>
      </c>
      <c r="K226" s="1108">
        <v>0</v>
      </c>
      <c r="L226" s="1108">
        <v>0</v>
      </c>
      <c r="M226" s="1108">
        <v>0</v>
      </c>
      <c r="N226" s="1108">
        <v>0</v>
      </c>
      <c r="O226" s="1108">
        <v>0</v>
      </c>
      <c r="P226" s="1130">
        <v>12908</v>
      </c>
      <c r="Q226" s="1108">
        <v>0</v>
      </c>
      <c r="R226" s="1108">
        <v>0</v>
      </c>
      <c r="S226" s="1130">
        <v>44020</v>
      </c>
      <c r="T226" s="1108">
        <v>0</v>
      </c>
      <c r="U226" s="1130">
        <v>125000</v>
      </c>
      <c r="V226" s="1108">
        <v>0</v>
      </c>
      <c r="W226" s="1108">
        <v>0</v>
      </c>
      <c r="X226" s="1108">
        <v>0</v>
      </c>
      <c r="Y226" s="1108">
        <v>0</v>
      </c>
      <c r="Z226" s="1130">
        <v>74234</v>
      </c>
      <c r="AA226" s="1108">
        <v>0</v>
      </c>
      <c r="AB226" s="1108">
        <v>0</v>
      </c>
      <c r="AC226" s="1108">
        <v>0</v>
      </c>
      <c r="AD226" s="1108">
        <v>0</v>
      </c>
      <c r="AE226" s="1108">
        <v>0</v>
      </c>
      <c r="AF226" s="1108">
        <v>0</v>
      </c>
      <c r="AG226" s="1108">
        <v>0</v>
      </c>
      <c r="AH226" s="1130">
        <v>151680</v>
      </c>
      <c r="AI226" s="1108">
        <v>0</v>
      </c>
      <c r="AJ226" s="1108">
        <v>0</v>
      </c>
      <c r="AK226" s="1108">
        <v>0</v>
      </c>
      <c r="AL226" s="1130">
        <v>30538</v>
      </c>
      <c r="AM226" s="1130">
        <v>144174</v>
      </c>
      <c r="AN226" s="1108">
        <v>0</v>
      </c>
      <c r="AO226" s="1108">
        <v>0</v>
      </c>
      <c r="AP226" s="1108">
        <v>0</v>
      </c>
      <c r="AQ226" s="1108">
        <v>0</v>
      </c>
      <c r="AR226" s="1130">
        <v>567803</v>
      </c>
      <c r="AS226" s="1108">
        <v>0</v>
      </c>
      <c r="AT226" s="1108">
        <v>0</v>
      </c>
      <c r="AU226" s="1108">
        <v>0</v>
      </c>
      <c r="AV226" s="1108">
        <v>0</v>
      </c>
      <c r="AW226" s="1130">
        <v>272190</v>
      </c>
      <c r="AX226" s="1108">
        <v>0</v>
      </c>
      <c r="AY226" s="1108">
        <v>0</v>
      </c>
      <c r="AZ226" s="1130">
        <v>6349</v>
      </c>
      <c r="BA226" s="1130">
        <v>3281051</v>
      </c>
      <c r="BB226" s="1108">
        <v>0</v>
      </c>
      <c r="BC226" s="1108">
        <v>0</v>
      </c>
      <c r="BD226" s="1108">
        <v>0</v>
      </c>
      <c r="BE226" s="1108">
        <v>0</v>
      </c>
      <c r="BF226" s="1130">
        <v>223465</v>
      </c>
      <c r="BG226" s="1108">
        <v>358</v>
      </c>
      <c r="BH226" s="1108">
        <v>0</v>
      </c>
    </row>
    <row r="227" spans="1:60" x14ac:dyDescent="0.3">
      <c r="A227" s="1108">
        <v>577</v>
      </c>
      <c r="B227" s="1108">
        <v>577</v>
      </c>
      <c r="C227" s="1108" t="s">
        <v>383</v>
      </c>
      <c r="D227" s="1108"/>
      <c r="E227" s="1108"/>
      <c r="F227" s="1108"/>
      <c r="G227" s="1108"/>
      <c r="H227" s="1108"/>
      <c r="I227" s="1108"/>
      <c r="J227" s="1108"/>
      <c r="K227" s="1108"/>
      <c r="L227" s="1108"/>
      <c r="M227" s="1108"/>
      <c r="N227" s="1108"/>
      <c r="O227" s="1108"/>
      <c r="P227" s="1108"/>
      <c r="Q227" s="1108"/>
      <c r="R227" s="1108"/>
      <c r="S227" s="1108"/>
      <c r="T227" s="1108"/>
      <c r="U227" s="1108"/>
      <c r="V227" s="1108"/>
      <c r="W227" s="1108"/>
      <c r="X227" s="1108"/>
      <c r="Y227" s="1108"/>
      <c r="Z227" s="1108"/>
      <c r="AA227" s="1108"/>
      <c r="AB227" s="1108"/>
      <c r="AC227" s="1108"/>
      <c r="AD227" s="1108"/>
      <c r="AE227" s="1108"/>
      <c r="AF227" s="1108"/>
      <c r="AG227" s="1108"/>
      <c r="AH227" s="1108"/>
      <c r="AI227" s="1108"/>
      <c r="AJ227" s="1108"/>
      <c r="AK227" s="1108"/>
      <c r="AL227" s="1108"/>
      <c r="AM227" s="1108"/>
      <c r="AN227" s="1108"/>
      <c r="AO227" s="1108"/>
      <c r="AP227" s="1108"/>
      <c r="AQ227" s="1108"/>
      <c r="AR227" s="1108"/>
      <c r="AS227" s="1108"/>
      <c r="AT227" s="1108"/>
      <c r="AU227" s="1108"/>
      <c r="AV227" s="1108"/>
      <c r="AW227" s="1108"/>
      <c r="AX227" s="1108"/>
      <c r="AY227" s="1108"/>
      <c r="AZ227" s="1108"/>
      <c r="BA227" s="1108"/>
      <c r="BB227" s="1108"/>
      <c r="BC227" s="1108"/>
      <c r="BD227" s="1108"/>
      <c r="BE227" s="1108"/>
      <c r="BF227" s="1108"/>
      <c r="BG227" s="1108"/>
      <c r="BH227" s="1108"/>
    </row>
    <row r="228" spans="1:60" x14ac:dyDescent="0.3">
      <c r="A228" s="1108"/>
      <c r="B228" s="1108">
        <v>578</v>
      </c>
      <c r="C228" s="1108" t="s">
        <v>384</v>
      </c>
      <c r="D228" s="1108"/>
      <c r="E228" s="1108"/>
      <c r="F228" s="1108"/>
      <c r="G228" s="1108"/>
      <c r="H228" s="1108"/>
      <c r="I228" s="1108"/>
      <c r="J228" s="1108"/>
      <c r="K228" s="1108"/>
      <c r="L228" s="1108"/>
      <c r="M228" s="1108"/>
      <c r="N228" s="1108"/>
      <c r="O228" s="1108"/>
      <c r="P228" s="1108"/>
      <c r="Q228" s="1108"/>
      <c r="R228" s="1108"/>
      <c r="S228" s="1108"/>
      <c r="T228" s="1108"/>
      <c r="U228" s="1108"/>
      <c r="V228" s="1108"/>
      <c r="W228" s="1108"/>
      <c r="X228" s="1108"/>
      <c r="Y228" s="1108"/>
      <c r="Z228" s="1108"/>
      <c r="AA228" s="1108"/>
      <c r="AB228" s="1108"/>
      <c r="AC228" s="1108"/>
      <c r="AD228" s="1108"/>
      <c r="AE228" s="1108"/>
      <c r="AF228" s="1108"/>
      <c r="AG228" s="1108"/>
      <c r="AH228" s="1108"/>
      <c r="AI228" s="1108"/>
      <c r="AJ228" s="1108"/>
      <c r="AK228" s="1108"/>
      <c r="AL228" s="1108"/>
      <c r="AM228" s="1108"/>
      <c r="AN228" s="1108"/>
      <c r="AO228" s="1108"/>
      <c r="AP228" s="1108"/>
      <c r="AQ228" s="1108"/>
      <c r="AR228" s="1108"/>
      <c r="AS228" s="1108"/>
      <c r="AT228" s="1108"/>
      <c r="AU228" s="1108"/>
      <c r="AV228" s="1108"/>
      <c r="AW228" s="1108"/>
      <c r="AX228" s="1108"/>
      <c r="AY228" s="1108"/>
      <c r="AZ228" s="1108"/>
      <c r="BA228" s="1108"/>
      <c r="BB228" s="1108"/>
      <c r="BC228" s="1108"/>
      <c r="BD228" s="1108"/>
      <c r="BE228" s="1108"/>
      <c r="BF228" s="1108"/>
      <c r="BG228" s="1108"/>
      <c r="BH228" s="1108"/>
    </row>
    <row r="229" spans="1:60" x14ac:dyDescent="0.3">
      <c r="A229" s="1108"/>
      <c r="B229" s="1108">
        <v>579</v>
      </c>
      <c r="C229" s="1108" t="s">
        <v>385</v>
      </c>
      <c r="D229" s="1108"/>
      <c r="E229" s="1108"/>
      <c r="F229" s="1108"/>
      <c r="G229" s="1108"/>
      <c r="H229" s="1108"/>
      <c r="I229" s="1108"/>
      <c r="J229" s="1108"/>
      <c r="K229" s="1108"/>
      <c r="L229" s="1108"/>
      <c r="M229" s="1108"/>
      <c r="N229" s="1108"/>
      <c r="O229" s="1108"/>
      <c r="P229" s="1108"/>
      <c r="Q229" s="1108"/>
      <c r="R229" s="1108"/>
      <c r="S229" s="1108"/>
      <c r="T229" s="1108"/>
      <c r="U229" s="1108"/>
      <c r="V229" s="1108"/>
      <c r="W229" s="1108"/>
      <c r="X229" s="1108"/>
      <c r="Y229" s="1108"/>
      <c r="Z229" s="1108"/>
      <c r="AA229" s="1108"/>
      <c r="AB229" s="1108"/>
      <c r="AC229" s="1108"/>
      <c r="AD229" s="1108"/>
      <c r="AE229" s="1108"/>
      <c r="AF229" s="1108"/>
      <c r="AG229" s="1108"/>
      <c r="AH229" s="1108"/>
      <c r="AI229" s="1108"/>
      <c r="AJ229" s="1108"/>
      <c r="AK229" s="1108"/>
      <c r="AL229" s="1108"/>
      <c r="AM229" s="1108"/>
      <c r="AN229" s="1108"/>
      <c r="AO229" s="1108"/>
      <c r="AP229" s="1108"/>
      <c r="AQ229" s="1108"/>
      <c r="AR229" s="1108"/>
      <c r="AS229" s="1108"/>
      <c r="AT229" s="1108"/>
      <c r="AU229" s="1108"/>
      <c r="AV229" s="1108"/>
      <c r="AW229" s="1108"/>
      <c r="AX229" s="1108"/>
      <c r="AY229" s="1108"/>
      <c r="AZ229" s="1108"/>
      <c r="BA229" s="1108"/>
      <c r="BB229" s="1108"/>
      <c r="BC229" s="1108"/>
      <c r="BD229" s="1108"/>
      <c r="BE229" s="1108"/>
      <c r="BF229" s="1108"/>
      <c r="BG229" s="1108"/>
      <c r="BH229" s="1108"/>
    </row>
    <row r="230" spans="1:60" x14ac:dyDescent="0.3">
      <c r="A230" s="1108"/>
      <c r="B230" s="1108">
        <v>580</v>
      </c>
      <c r="C230" s="1108" t="s">
        <v>386</v>
      </c>
      <c r="D230" s="1108"/>
      <c r="E230" s="1108"/>
      <c r="F230" s="1108"/>
      <c r="G230" s="1108"/>
      <c r="H230" s="1108"/>
      <c r="I230" s="1108"/>
      <c r="J230" s="1108"/>
      <c r="K230" s="1108"/>
      <c r="L230" s="1108"/>
      <c r="M230" s="1108"/>
      <c r="N230" s="1108"/>
      <c r="O230" s="1108"/>
      <c r="P230" s="1108"/>
      <c r="Q230" s="1108"/>
      <c r="R230" s="1108"/>
      <c r="S230" s="1108"/>
      <c r="T230" s="1108"/>
      <c r="U230" s="1108"/>
      <c r="V230" s="1108"/>
      <c r="W230" s="1108"/>
      <c r="X230" s="1108"/>
      <c r="Y230" s="1108"/>
      <c r="Z230" s="1108"/>
      <c r="AA230" s="1108"/>
      <c r="AB230" s="1108"/>
      <c r="AC230" s="1108"/>
      <c r="AD230" s="1108"/>
      <c r="AE230" s="1108"/>
      <c r="AF230" s="1108"/>
      <c r="AG230" s="1108"/>
      <c r="AH230" s="1108"/>
      <c r="AI230" s="1108"/>
      <c r="AJ230" s="1108"/>
      <c r="AK230" s="1108"/>
      <c r="AL230" s="1108"/>
      <c r="AM230" s="1108"/>
      <c r="AN230" s="1108"/>
      <c r="AO230" s="1108"/>
      <c r="AP230" s="1108"/>
      <c r="AQ230" s="1108"/>
      <c r="AR230" s="1108"/>
      <c r="AS230" s="1108"/>
      <c r="AT230" s="1108"/>
      <c r="AU230" s="1108"/>
      <c r="AV230" s="1108"/>
      <c r="AW230" s="1108"/>
      <c r="AX230" s="1108"/>
      <c r="AY230" s="1108"/>
      <c r="AZ230" s="1108"/>
      <c r="BA230" s="1108"/>
      <c r="BB230" s="1108"/>
      <c r="BC230" s="1108"/>
      <c r="BD230" s="1108"/>
      <c r="BE230" s="1108"/>
      <c r="BF230" s="1108"/>
      <c r="BG230" s="1108"/>
      <c r="BH230" s="1108"/>
    </row>
    <row r="231" spans="1:60" x14ac:dyDescent="0.3">
      <c r="A231" s="1108"/>
      <c r="B231" s="1108">
        <v>581</v>
      </c>
      <c r="C231" s="1108" t="s">
        <v>387</v>
      </c>
      <c r="D231" s="1108"/>
      <c r="E231" s="1108"/>
      <c r="F231" s="1108"/>
      <c r="G231" s="1108"/>
      <c r="H231" s="1108"/>
      <c r="I231" s="1108"/>
      <c r="J231" s="1108"/>
      <c r="K231" s="1108"/>
      <c r="L231" s="1108"/>
      <c r="M231" s="1108"/>
      <c r="N231" s="1108"/>
      <c r="O231" s="1108"/>
      <c r="P231" s="1108"/>
      <c r="Q231" s="1108"/>
      <c r="R231" s="1108"/>
      <c r="S231" s="1108"/>
      <c r="T231" s="1108"/>
      <c r="U231" s="1108"/>
      <c r="V231" s="1108"/>
      <c r="W231" s="1108"/>
      <c r="X231" s="1108"/>
      <c r="Y231" s="1108"/>
      <c r="Z231" s="1108"/>
      <c r="AA231" s="1108"/>
      <c r="AB231" s="1108"/>
      <c r="AC231" s="1108"/>
      <c r="AD231" s="1108"/>
      <c r="AE231" s="1108"/>
      <c r="AF231" s="1108"/>
      <c r="AG231" s="1108"/>
      <c r="AH231" s="1108"/>
      <c r="AI231" s="1108"/>
      <c r="AJ231" s="1108"/>
      <c r="AK231" s="1108"/>
      <c r="AL231" s="1108"/>
      <c r="AM231" s="1108"/>
      <c r="AN231" s="1108"/>
      <c r="AO231" s="1108"/>
      <c r="AP231" s="1108"/>
      <c r="AQ231" s="1108"/>
      <c r="AR231" s="1108"/>
      <c r="AS231" s="1108"/>
      <c r="AT231" s="1108"/>
      <c r="AU231" s="1108"/>
      <c r="AV231" s="1108"/>
      <c r="AW231" s="1108"/>
      <c r="AX231" s="1108"/>
      <c r="AY231" s="1108"/>
      <c r="AZ231" s="1108"/>
      <c r="BA231" s="1108"/>
      <c r="BB231" s="1108"/>
      <c r="BC231" s="1108"/>
      <c r="BD231" s="1108"/>
      <c r="BE231" s="1108"/>
      <c r="BF231" s="1108"/>
      <c r="BG231" s="1108"/>
      <c r="BH231" s="1108"/>
    </row>
    <row r="232" spans="1:60" x14ac:dyDescent="0.3">
      <c r="A232" s="1108"/>
      <c r="B232" s="1108">
        <v>582</v>
      </c>
      <c r="C232" s="1108" t="s">
        <v>388</v>
      </c>
      <c r="D232" s="1108"/>
      <c r="E232" s="1108"/>
      <c r="F232" s="1108"/>
      <c r="G232" s="1108"/>
      <c r="H232" s="1108"/>
      <c r="I232" s="1108"/>
      <c r="J232" s="1108"/>
      <c r="K232" s="1108"/>
      <c r="L232" s="1108"/>
      <c r="M232" s="1108"/>
      <c r="N232" s="1108"/>
      <c r="O232" s="1108"/>
      <c r="P232" s="1108"/>
      <c r="Q232" s="1108"/>
      <c r="R232" s="1108"/>
      <c r="S232" s="1108"/>
      <c r="T232" s="1108"/>
      <c r="U232" s="1108"/>
      <c r="V232" s="1108"/>
      <c r="W232" s="1108"/>
      <c r="X232" s="1108"/>
      <c r="Y232" s="1108"/>
      <c r="Z232" s="1108"/>
      <c r="AA232" s="1108"/>
      <c r="AB232" s="1108"/>
      <c r="AC232" s="1108"/>
      <c r="AD232" s="1108"/>
      <c r="AE232" s="1108"/>
      <c r="AF232" s="1108"/>
      <c r="AG232" s="1108"/>
      <c r="AH232" s="1108"/>
      <c r="AI232" s="1108"/>
      <c r="AJ232" s="1108"/>
      <c r="AK232" s="1108"/>
      <c r="AL232" s="1108"/>
      <c r="AM232" s="1108"/>
      <c r="AN232" s="1108"/>
      <c r="AO232" s="1108"/>
      <c r="AP232" s="1108"/>
      <c r="AQ232" s="1108"/>
      <c r="AR232" s="1108"/>
      <c r="AS232" s="1108"/>
      <c r="AT232" s="1108"/>
      <c r="AU232" s="1108"/>
      <c r="AV232" s="1108"/>
      <c r="AW232" s="1108"/>
      <c r="AX232" s="1108"/>
      <c r="AY232" s="1108"/>
      <c r="AZ232" s="1108"/>
      <c r="BA232" s="1108"/>
      <c r="BB232" s="1108"/>
      <c r="BC232" s="1108"/>
      <c r="BD232" s="1108"/>
      <c r="BE232" s="1108"/>
      <c r="BF232" s="1108"/>
      <c r="BG232" s="1108"/>
      <c r="BH232" s="1108"/>
    </row>
    <row r="233" spans="1:60" x14ac:dyDescent="0.3">
      <c r="A233" s="1108"/>
      <c r="B233" s="1108">
        <v>583</v>
      </c>
      <c r="C233" s="1108" t="s">
        <v>389</v>
      </c>
      <c r="D233" s="1108"/>
      <c r="E233" s="1108"/>
      <c r="F233" s="1108"/>
      <c r="G233" s="1108"/>
      <c r="H233" s="1108"/>
      <c r="I233" s="1108"/>
      <c r="J233" s="1108"/>
      <c r="K233" s="1108"/>
      <c r="L233" s="1108"/>
      <c r="M233" s="1108"/>
      <c r="N233" s="1108"/>
      <c r="O233" s="1108"/>
      <c r="P233" s="1108"/>
      <c r="Q233" s="1108"/>
      <c r="R233" s="1108"/>
      <c r="S233" s="1108"/>
      <c r="T233" s="1108"/>
      <c r="U233" s="1108"/>
      <c r="V233" s="1108"/>
      <c r="W233" s="1108"/>
      <c r="X233" s="1108"/>
      <c r="Y233" s="1108"/>
      <c r="Z233" s="1108"/>
      <c r="AA233" s="1108"/>
      <c r="AB233" s="1108"/>
      <c r="AC233" s="1108"/>
      <c r="AD233" s="1108"/>
      <c r="AE233" s="1108"/>
      <c r="AF233" s="1108"/>
      <c r="AG233" s="1108"/>
      <c r="AH233" s="1108"/>
      <c r="AI233" s="1108"/>
      <c r="AJ233" s="1108"/>
      <c r="AK233" s="1108"/>
      <c r="AL233" s="1108"/>
      <c r="AM233" s="1108"/>
      <c r="AN233" s="1108"/>
      <c r="AO233" s="1108"/>
      <c r="AP233" s="1108"/>
      <c r="AQ233" s="1108"/>
      <c r="AR233" s="1108"/>
      <c r="AS233" s="1108"/>
      <c r="AT233" s="1108"/>
      <c r="AU233" s="1108"/>
      <c r="AV233" s="1108"/>
      <c r="AW233" s="1108"/>
      <c r="AX233" s="1108"/>
      <c r="AY233" s="1108"/>
      <c r="AZ233" s="1108"/>
      <c r="BA233" s="1108"/>
      <c r="BB233" s="1108"/>
      <c r="BC233" s="1108"/>
      <c r="BD233" s="1108"/>
      <c r="BE233" s="1108"/>
      <c r="BF233" s="1108"/>
      <c r="BG233" s="1108"/>
      <c r="BH233" s="1108"/>
    </row>
    <row r="234" spans="1:60" x14ac:dyDescent="0.3">
      <c r="A234" s="1108"/>
      <c r="B234" s="1108">
        <v>584</v>
      </c>
      <c r="C234" s="1108" t="s">
        <v>390</v>
      </c>
      <c r="D234" s="1108"/>
      <c r="E234" s="1108"/>
      <c r="F234" s="1108"/>
      <c r="G234" s="1108"/>
      <c r="H234" s="1108"/>
      <c r="I234" s="1108"/>
      <c r="J234" s="1108"/>
      <c r="K234" s="1108"/>
      <c r="L234" s="1108"/>
      <c r="M234" s="1108"/>
      <c r="N234" s="1108"/>
      <c r="O234" s="1108"/>
      <c r="P234" s="1108"/>
      <c r="Q234" s="1108"/>
      <c r="R234" s="1108"/>
      <c r="S234" s="1108"/>
      <c r="T234" s="1108"/>
      <c r="U234" s="1108"/>
      <c r="V234" s="1108"/>
      <c r="W234" s="1108"/>
      <c r="X234" s="1108"/>
      <c r="Y234" s="1108"/>
      <c r="Z234" s="1108"/>
      <c r="AA234" s="1108"/>
      <c r="AB234" s="1108"/>
      <c r="AC234" s="1108"/>
      <c r="AD234" s="1108"/>
      <c r="AE234" s="1108"/>
      <c r="AF234" s="1108"/>
      <c r="AG234" s="1108"/>
      <c r="AH234" s="1108"/>
      <c r="AI234" s="1108"/>
      <c r="AJ234" s="1108"/>
      <c r="AK234" s="1108"/>
      <c r="AL234" s="1108"/>
      <c r="AM234" s="1108"/>
      <c r="AN234" s="1108"/>
      <c r="AO234" s="1108"/>
      <c r="AP234" s="1108"/>
      <c r="AQ234" s="1108"/>
      <c r="AR234" s="1108"/>
      <c r="AS234" s="1108"/>
      <c r="AT234" s="1108"/>
      <c r="AU234" s="1108"/>
      <c r="AV234" s="1108"/>
      <c r="AW234" s="1108"/>
      <c r="AX234" s="1108"/>
      <c r="AY234" s="1108"/>
      <c r="AZ234" s="1108"/>
      <c r="BA234" s="1108"/>
      <c r="BB234" s="1108"/>
      <c r="BC234" s="1108"/>
      <c r="BD234" s="1108"/>
      <c r="BE234" s="1108"/>
      <c r="BF234" s="1108"/>
      <c r="BG234" s="1108"/>
      <c r="BH234" s="1108"/>
    </row>
    <row r="235" spans="1:60" x14ac:dyDescent="0.3">
      <c r="A235" s="1108"/>
      <c r="B235" s="1108">
        <v>585</v>
      </c>
      <c r="C235" s="1108" t="s">
        <v>391</v>
      </c>
      <c r="D235" s="1108"/>
      <c r="E235" s="1108"/>
      <c r="F235" s="1108"/>
      <c r="G235" s="1108"/>
      <c r="H235" s="1108"/>
      <c r="I235" s="1108"/>
      <c r="J235" s="1108"/>
      <c r="K235" s="1108"/>
      <c r="L235" s="1108"/>
      <c r="M235" s="1108"/>
      <c r="N235" s="1108"/>
      <c r="O235" s="1108"/>
      <c r="P235" s="1108"/>
      <c r="Q235" s="1108"/>
      <c r="R235" s="1108"/>
      <c r="S235" s="1108"/>
      <c r="T235" s="1108"/>
      <c r="U235" s="1108"/>
      <c r="V235" s="1108"/>
      <c r="W235" s="1108"/>
      <c r="X235" s="1108"/>
      <c r="Y235" s="1108"/>
      <c r="Z235" s="1108"/>
      <c r="AA235" s="1108"/>
      <c r="AB235" s="1108"/>
      <c r="AC235" s="1108"/>
      <c r="AD235" s="1108"/>
      <c r="AE235" s="1108"/>
      <c r="AF235" s="1108"/>
      <c r="AG235" s="1108"/>
      <c r="AH235" s="1108"/>
      <c r="AI235" s="1108"/>
      <c r="AJ235" s="1108"/>
      <c r="AK235" s="1108"/>
      <c r="AL235" s="1108"/>
      <c r="AM235" s="1108"/>
      <c r="AN235" s="1108"/>
      <c r="AO235" s="1108"/>
      <c r="AP235" s="1108"/>
      <c r="AQ235" s="1108"/>
      <c r="AR235" s="1108"/>
      <c r="AS235" s="1108"/>
      <c r="AT235" s="1108"/>
      <c r="AU235" s="1108"/>
      <c r="AV235" s="1108"/>
      <c r="AW235" s="1108"/>
      <c r="AX235" s="1108"/>
      <c r="AY235" s="1108"/>
      <c r="AZ235" s="1108"/>
      <c r="BA235" s="1108"/>
      <c r="BB235" s="1108"/>
      <c r="BC235" s="1108"/>
      <c r="BD235" s="1108"/>
      <c r="BE235" s="1108"/>
      <c r="BF235" s="1108"/>
      <c r="BG235" s="1108"/>
      <c r="BH235" s="1108"/>
    </row>
    <row r="236" spans="1:60" x14ac:dyDescent="0.3">
      <c r="A236" s="1108">
        <v>586</v>
      </c>
      <c r="B236" s="1108">
        <v>586</v>
      </c>
      <c r="C236" s="1108" t="s">
        <v>392</v>
      </c>
      <c r="D236" s="1108">
        <v>0</v>
      </c>
      <c r="E236" s="1108">
        <v>0</v>
      </c>
      <c r="F236" s="1108">
        <v>0</v>
      </c>
      <c r="G236" s="1108">
        <v>0</v>
      </c>
      <c r="H236" s="1108">
        <v>0</v>
      </c>
      <c r="I236" s="1108">
        <v>0</v>
      </c>
      <c r="J236" s="1108">
        <v>0</v>
      </c>
      <c r="K236" s="1108">
        <v>0</v>
      </c>
      <c r="L236" s="1108">
        <v>0</v>
      </c>
      <c r="M236" s="1108">
        <v>0</v>
      </c>
      <c r="N236" s="1108">
        <v>0</v>
      </c>
      <c r="O236" s="1108">
        <v>0</v>
      </c>
      <c r="P236" s="1108">
        <v>0</v>
      </c>
      <c r="Q236" s="1108">
        <v>0</v>
      </c>
      <c r="R236" s="1108">
        <v>0</v>
      </c>
      <c r="S236" s="1108">
        <v>0</v>
      </c>
      <c r="T236" s="1108">
        <v>0</v>
      </c>
      <c r="U236" s="1108">
        <v>0</v>
      </c>
      <c r="V236" s="1108">
        <v>0</v>
      </c>
      <c r="W236" s="1108">
        <v>0</v>
      </c>
      <c r="X236" s="1108">
        <v>0</v>
      </c>
      <c r="Y236" s="1108">
        <v>0</v>
      </c>
      <c r="Z236" s="1108">
        <v>0</v>
      </c>
      <c r="AA236" s="1108">
        <v>0</v>
      </c>
      <c r="AB236" s="1108">
        <v>0</v>
      </c>
      <c r="AC236" s="1108">
        <v>0</v>
      </c>
      <c r="AD236" s="1108">
        <v>0</v>
      </c>
      <c r="AE236" s="1108">
        <v>0</v>
      </c>
      <c r="AF236" s="1108">
        <v>0</v>
      </c>
      <c r="AG236" s="1108">
        <v>0</v>
      </c>
      <c r="AH236" s="1108">
        <v>0</v>
      </c>
      <c r="AI236" s="1108">
        <v>0</v>
      </c>
      <c r="AJ236" s="1108">
        <v>0</v>
      </c>
      <c r="AK236" s="1108">
        <v>0</v>
      </c>
      <c r="AL236" s="1108">
        <v>0</v>
      </c>
      <c r="AM236" s="1108">
        <v>0</v>
      </c>
      <c r="AN236" s="1108">
        <v>0</v>
      </c>
      <c r="AO236" s="1108">
        <v>0</v>
      </c>
      <c r="AP236" s="1108">
        <v>0</v>
      </c>
      <c r="AQ236" s="1108">
        <v>0</v>
      </c>
      <c r="AR236" s="1108">
        <v>0</v>
      </c>
      <c r="AS236" s="1108">
        <v>0</v>
      </c>
      <c r="AT236" s="1108">
        <v>0</v>
      </c>
      <c r="AU236" s="1108">
        <v>0</v>
      </c>
      <c r="AV236" s="1108">
        <v>0</v>
      </c>
      <c r="AW236" s="1108">
        <v>0</v>
      </c>
      <c r="AX236" s="1108">
        <v>0</v>
      </c>
      <c r="AY236" s="1108">
        <v>0</v>
      </c>
      <c r="AZ236" s="1108">
        <v>0</v>
      </c>
      <c r="BA236" s="1108">
        <v>0</v>
      </c>
      <c r="BB236" s="1108">
        <v>0</v>
      </c>
      <c r="BC236" s="1108">
        <v>0</v>
      </c>
      <c r="BD236" s="1108">
        <v>0</v>
      </c>
      <c r="BE236" s="1108">
        <v>0</v>
      </c>
      <c r="BF236" s="1108">
        <v>0</v>
      </c>
      <c r="BG236" s="1108">
        <v>0</v>
      </c>
      <c r="BH236" s="1108">
        <v>0</v>
      </c>
    </row>
    <row r="237" spans="1:60" x14ac:dyDescent="0.3">
      <c r="A237" s="1108">
        <v>587</v>
      </c>
      <c r="B237" s="1108">
        <v>587</v>
      </c>
      <c r="C237" s="1108" t="s">
        <v>393</v>
      </c>
      <c r="D237" s="1108">
        <v>0</v>
      </c>
      <c r="E237" s="1108">
        <v>0</v>
      </c>
      <c r="F237" s="1108">
        <v>0</v>
      </c>
      <c r="G237" s="1108">
        <v>0</v>
      </c>
      <c r="H237" s="1108">
        <v>0</v>
      </c>
      <c r="I237" s="1108">
        <v>0</v>
      </c>
      <c r="J237" s="1108">
        <v>0</v>
      </c>
      <c r="K237" s="1108">
        <v>0</v>
      </c>
      <c r="L237" s="1108">
        <v>0</v>
      </c>
      <c r="M237" s="1108">
        <v>0</v>
      </c>
      <c r="N237" s="1108">
        <v>0</v>
      </c>
      <c r="O237" s="1108">
        <v>0</v>
      </c>
      <c r="P237" s="1108">
        <v>0</v>
      </c>
      <c r="Q237" s="1108">
        <v>0</v>
      </c>
      <c r="R237" s="1108">
        <v>0</v>
      </c>
      <c r="S237" s="1108">
        <v>0</v>
      </c>
      <c r="T237" s="1108">
        <v>0</v>
      </c>
      <c r="U237" s="1108">
        <v>0</v>
      </c>
      <c r="V237" s="1108">
        <v>0</v>
      </c>
      <c r="W237" s="1108">
        <v>0</v>
      </c>
      <c r="X237" s="1108">
        <v>0</v>
      </c>
      <c r="Y237" s="1108">
        <v>0</v>
      </c>
      <c r="Z237" s="1108">
        <v>0</v>
      </c>
      <c r="AA237" s="1108">
        <v>0</v>
      </c>
      <c r="AB237" s="1108">
        <v>0</v>
      </c>
      <c r="AC237" s="1108">
        <v>0</v>
      </c>
      <c r="AD237" s="1108">
        <v>0</v>
      </c>
      <c r="AE237" s="1108">
        <v>0</v>
      </c>
      <c r="AF237" s="1108">
        <v>0</v>
      </c>
      <c r="AG237" s="1108">
        <v>0</v>
      </c>
      <c r="AH237" s="1108">
        <v>0</v>
      </c>
      <c r="AI237" s="1108">
        <v>0</v>
      </c>
      <c r="AJ237" s="1108">
        <v>0</v>
      </c>
      <c r="AK237" s="1108">
        <v>0</v>
      </c>
      <c r="AL237" s="1108">
        <v>0</v>
      </c>
      <c r="AM237" s="1108">
        <v>0</v>
      </c>
      <c r="AN237" s="1108">
        <v>0</v>
      </c>
      <c r="AO237" s="1108">
        <v>0</v>
      </c>
      <c r="AP237" s="1108">
        <v>0</v>
      </c>
      <c r="AQ237" s="1108">
        <v>0</v>
      </c>
      <c r="AR237" s="1108">
        <v>0</v>
      </c>
      <c r="AS237" s="1108">
        <v>0</v>
      </c>
      <c r="AT237" s="1108">
        <v>0</v>
      </c>
      <c r="AU237" s="1108">
        <v>0</v>
      </c>
      <c r="AV237" s="1108">
        <v>0</v>
      </c>
      <c r="AW237" s="1108">
        <v>0</v>
      </c>
      <c r="AX237" s="1108">
        <v>0</v>
      </c>
      <c r="AY237" s="1108">
        <v>0</v>
      </c>
      <c r="AZ237" s="1108">
        <v>0</v>
      </c>
      <c r="BA237" s="1108">
        <v>0</v>
      </c>
      <c r="BB237" s="1108">
        <v>0</v>
      </c>
      <c r="BC237" s="1108">
        <v>0</v>
      </c>
      <c r="BD237" s="1108">
        <v>0</v>
      </c>
      <c r="BE237" s="1108">
        <v>0</v>
      </c>
      <c r="BF237" s="1108">
        <v>0</v>
      </c>
      <c r="BG237" s="1108">
        <v>0</v>
      </c>
      <c r="BH237" s="1108">
        <v>0</v>
      </c>
    </row>
    <row r="238" spans="1:60" x14ac:dyDescent="0.3">
      <c r="A238" s="1108">
        <v>588</v>
      </c>
      <c r="B238" s="1108">
        <v>588</v>
      </c>
      <c r="C238" s="1108" t="s">
        <v>394</v>
      </c>
      <c r="D238" s="1108">
        <v>0</v>
      </c>
      <c r="E238" s="1108">
        <v>0</v>
      </c>
      <c r="F238" s="1108">
        <v>0</v>
      </c>
      <c r="G238" s="1108">
        <v>0</v>
      </c>
      <c r="H238" s="1108">
        <v>0</v>
      </c>
      <c r="I238" s="1108">
        <v>0</v>
      </c>
      <c r="J238" s="1108">
        <v>0</v>
      </c>
      <c r="K238" s="1108">
        <v>0</v>
      </c>
      <c r="L238" s="1108">
        <v>0</v>
      </c>
      <c r="M238" s="1108">
        <v>0</v>
      </c>
      <c r="N238" s="1108">
        <v>0</v>
      </c>
      <c r="O238" s="1108">
        <v>0</v>
      </c>
      <c r="P238" s="1108">
        <v>0</v>
      </c>
      <c r="Q238" s="1108">
        <v>0</v>
      </c>
      <c r="R238" s="1108">
        <v>0</v>
      </c>
      <c r="S238" s="1108">
        <v>0</v>
      </c>
      <c r="T238" s="1108">
        <v>0</v>
      </c>
      <c r="U238" s="1108">
        <v>0</v>
      </c>
      <c r="V238" s="1108">
        <v>0</v>
      </c>
      <c r="W238" s="1108">
        <v>0</v>
      </c>
      <c r="X238" s="1108">
        <v>0</v>
      </c>
      <c r="Y238" s="1108">
        <v>0</v>
      </c>
      <c r="Z238" s="1108">
        <v>0</v>
      </c>
      <c r="AA238" s="1108">
        <v>0</v>
      </c>
      <c r="AB238" s="1108">
        <v>0</v>
      </c>
      <c r="AC238" s="1108">
        <v>0</v>
      </c>
      <c r="AD238" s="1108">
        <v>0</v>
      </c>
      <c r="AE238" s="1108">
        <v>0</v>
      </c>
      <c r="AF238" s="1108">
        <v>0</v>
      </c>
      <c r="AG238" s="1108">
        <v>0</v>
      </c>
      <c r="AH238" s="1108">
        <v>0</v>
      </c>
      <c r="AI238" s="1108">
        <v>0</v>
      </c>
      <c r="AJ238" s="1108">
        <v>0</v>
      </c>
      <c r="AK238" s="1108">
        <v>0</v>
      </c>
      <c r="AL238" s="1108">
        <v>0</v>
      </c>
      <c r="AM238" s="1108">
        <v>0</v>
      </c>
      <c r="AN238" s="1108">
        <v>0</v>
      </c>
      <c r="AO238" s="1108">
        <v>0</v>
      </c>
      <c r="AP238" s="1108">
        <v>0</v>
      </c>
      <c r="AQ238" s="1108">
        <v>0</v>
      </c>
      <c r="AR238" s="1108">
        <v>0</v>
      </c>
      <c r="AS238" s="1108">
        <v>0</v>
      </c>
      <c r="AT238" s="1108">
        <v>0</v>
      </c>
      <c r="AU238" s="1108">
        <v>0</v>
      </c>
      <c r="AV238" s="1108">
        <v>0</v>
      </c>
      <c r="AW238" s="1108">
        <v>0</v>
      </c>
      <c r="AX238" s="1108">
        <v>0</v>
      </c>
      <c r="AY238" s="1108">
        <v>0</v>
      </c>
      <c r="AZ238" s="1108">
        <v>0</v>
      </c>
      <c r="BA238" s="1108">
        <v>0</v>
      </c>
      <c r="BB238" s="1108">
        <v>0</v>
      </c>
      <c r="BC238" s="1108">
        <v>0</v>
      </c>
      <c r="BD238" s="1108">
        <v>0</v>
      </c>
      <c r="BE238" s="1108">
        <v>0</v>
      </c>
      <c r="BF238" s="1108">
        <v>0</v>
      </c>
      <c r="BG238" s="1108">
        <v>0</v>
      </c>
      <c r="BH238" s="1108">
        <v>0</v>
      </c>
    </row>
    <row r="239" spans="1:60" x14ac:dyDescent="0.3">
      <c r="A239" s="1108"/>
      <c r="B239" s="1108">
        <v>589</v>
      </c>
      <c r="C239" s="1108" t="s">
        <v>395</v>
      </c>
      <c r="D239" s="1108"/>
      <c r="E239" s="1108"/>
      <c r="F239" s="1108"/>
      <c r="G239" s="1108"/>
      <c r="H239" s="1108"/>
      <c r="I239" s="1108"/>
      <c r="J239" s="1108"/>
      <c r="K239" s="1108"/>
      <c r="L239" s="1108"/>
      <c r="M239" s="1108"/>
      <c r="N239" s="1108"/>
      <c r="O239" s="1108"/>
      <c r="P239" s="1108"/>
      <c r="Q239" s="1108"/>
      <c r="R239" s="1108"/>
      <c r="S239" s="1108"/>
      <c r="T239" s="1108"/>
      <c r="U239" s="1108"/>
      <c r="V239" s="1108"/>
      <c r="W239" s="1108"/>
      <c r="X239" s="1108"/>
      <c r="Y239" s="1108"/>
      <c r="Z239" s="1108"/>
      <c r="AA239" s="1108"/>
      <c r="AB239" s="1108"/>
      <c r="AC239" s="1108"/>
      <c r="AD239" s="1108"/>
      <c r="AE239" s="1108"/>
      <c r="AF239" s="1108"/>
      <c r="AG239" s="1108"/>
      <c r="AH239" s="1108"/>
      <c r="AI239" s="1108"/>
      <c r="AJ239" s="1108"/>
      <c r="AK239" s="1108"/>
      <c r="AL239" s="1108"/>
      <c r="AM239" s="1108"/>
      <c r="AN239" s="1108"/>
      <c r="AO239" s="1108"/>
      <c r="AP239" s="1108"/>
      <c r="AQ239" s="1108"/>
      <c r="AR239" s="1108"/>
      <c r="AS239" s="1108"/>
      <c r="AT239" s="1108"/>
      <c r="AU239" s="1108"/>
      <c r="AV239" s="1108"/>
      <c r="AW239" s="1108"/>
      <c r="AX239" s="1108"/>
      <c r="AY239" s="1108"/>
      <c r="AZ239" s="1108"/>
      <c r="BA239" s="1108"/>
      <c r="BB239" s="1108"/>
      <c r="BC239" s="1108"/>
      <c r="BD239" s="1108"/>
      <c r="BE239" s="1108"/>
      <c r="BF239" s="1108"/>
      <c r="BG239" s="1108"/>
      <c r="BH239" s="1108"/>
    </row>
    <row r="240" spans="1:60" x14ac:dyDescent="0.3">
      <c r="A240" s="1108"/>
      <c r="B240" s="1108">
        <v>590</v>
      </c>
      <c r="C240" s="1108" t="s">
        <v>396</v>
      </c>
      <c r="D240" s="1108"/>
      <c r="E240" s="1108"/>
      <c r="F240" s="1108"/>
      <c r="G240" s="1108"/>
      <c r="H240" s="1108"/>
      <c r="I240" s="1108"/>
      <c r="J240" s="1108"/>
      <c r="K240" s="1108"/>
      <c r="L240" s="1108"/>
      <c r="M240" s="1108"/>
      <c r="N240" s="1108"/>
      <c r="O240" s="1108"/>
      <c r="P240" s="1108"/>
      <c r="Q240" s="1108"/>
      <c r="R240" s="1108"/>
      <c r="S240" s="1108"/>
      <c r="T240" s="1108"/>
      <c r="U240" s="1108"/>
      <c r="V240" s="1108"/>
      <c r="W240" s="1108"/>
      <c r="X240" s="1108"/>
      <c r="Y240" s="1108"/>
      <c r="Z240" s="1108"/>
      <c r="AA240" s="1108"/>
      <c r="AB240" s="1108"/>
      <c r="AC240" s="1108"/>
      <c r="AD240" s="1108"/>
      <c r="AE240" s="1108"/>
      <c r="AF240" s="1108"/>
      <c r="AG240" s="1108"/>
      <c r="AH240" s="1108"/>
      <c r="AI240" s="1108"/>
      <c r="AJ240" s="1108"/>
      <c r="AK240" s="1108"/>
      <c r="AL240" s="1108"/>
      <c r="AM240" s="1108"/>
      <c r="AN240" s="1108"/>
      <c r="AO240" s="1108"/>
      <c r="AP240" s="1108"/>
      <c r="AQ240" s="1108"/>
      <c r="AR240" s="1108"/>
      <c r="AS240" s="1108"/>
      <c r="AT240" s="1108"/>
      <c r="AU240" s="1108"/>
      <c r="AV240" s="1108"/>
      <c r="AW240" s="1108"/>
      <c r="AX240" s="1108"/>
      <c r="AY240" s="1108"/>
      <c r="AZ240" s="1108"/>
      <c r="BA240" s="1108"/>
      <c r="BB240" s="1108"/>
      <c r="BC240" s="1108"/>
      <c r="BD240" s="1108"/>
      <c r="BE240" s="1108"/>
      <c r="BF240" s="1108"/>
      <c r="BG240" s="1108"/>
      <c r="BH240" s="1108"/>
    </row>
    <row r="241" spans="1:60" x14ac:dyDescent="0.3">
      <c r="A241" s="1108"/>
      <c r="B241" s="1108">
        <v>992</v>
      </c>
      <c r="C241" s="1108"/>
      <c r="D241" s="1108"/>
      <c r="E241" s="1108"/>
      <c r="F241" s="1108"/>
      <c r="G241" s="1108"/>
      <c r="H241" s="1108"/>
      <c r="I241" s="1108"/>
      <c r="J241" s="1108"/>
      <c r="K241" s="1108"/>
      <c r="L241" s="1108"/>
      <c r="M241" s="1108"/>
      <c r="N241" s="1108"/>
      <c r="O241" s="1108"/>
      <c r="P241" s="1108"/>
      <c r="Q241" s="1108"/>
      <c r="R241" s="1108"/>
      <c r="S241" s="1108"/>
      <c r="T241" s="1108"/>
      <c r="U241" s="1108"/>
      <c r="V241" s="1108"/>
      <c r="W241" s="1108"/>
      <c r="X241" s="1108"/>
      <c r="Y241" s="1108"/>
      <c r="Z241" s="1108"/>
      <c r="AA241" s="1108"/>
      <c r="AB241" s="1108"/>
      <c r="AC241" s="1108"/>
      <c r="AD241" s="1108"/>
      <c r="AE241" s="1108"/>
      <c r="AF241" s="1108"/>
      <c r="AG241" s="1108"/>
      <c r="AH241" s="1108"/>
      <c r="AI241" s="1108"/>
      <c r="AJ241" s="1108"/>
      <c r="AK241" s="1108"/>
      <c r="AL241" s="1108"/>
      <c r="AM241" s="1108"/>
      <c r="AN241" s="1108"/>
      <c r="AO241" s="1108"/>
      <c r="AP241" s="1108"/>
      <c r="AQ241" s="1108"/>
      <c r="AR241" s="1108"/>
      <c r="AS241" s="1108"/>
      <c r="AT241" s="1108"/>
      <c r="AU241" s="1108"/>
      <c r="AV241" s="1108"/>
      <c r="AW241" s="1108"/>
      <c r="AX241" s="1108"/>
      <c r="AY241" s="1108"/>
      <c r="AZ241" s="1108"/>
      <c r="BA241" s="1108"/>
      <c r="BB241" s="1108"/>
      <c r="BC241" s="1108"/>
      <c r="BD241" s="1108"/>
      <c r="BE241" s="1108"/>
      <c r="BF241" s="1108"/>
      <c r="BG241" s="1108"/>
      <c r="BH241" s="1108"/>
    </row>
    <row r="242" spans="1:60" x14ac:dyDescent="0.3">
      <c r="A242" s="1108"/>
      <c r="B242" s="1108">
        <v>993</v>
      </c>
      <c r="C242" s="1108" t="s">
        <v>1421</v>
      </c>
      <c r="D242" s="1108"/>
      <c r="E242" s="1108"/>
      <c r="F242" s="1108"/>
      <c r="G242" s="1108"/>
      <c r="H242" s="1108"/>
      <c r="I242" s="1108"/>
      <c r="J242" s="1108"/>
      <c r="K242" s="1108"/>
      <c r="L242" s="1108"/>
      <c r="M242" s="1108"/>
      <c r="N242" s="1108"/>
      <c r="O242" s="1108"/>
      <c r="P242" s="1108"/>
      <c r="Q242" s="1108"/>
      <c r="R242" s="1108"/>
      <c r="S242" s="1108"/>
      <c r="T242" s="1108"/>
      <c r="U242" s="1108"/>
      <c r="V242" s="1108"/>
      <c r="W242" s="1108"/>
      <c r="X242" s="1108"/>
      <c r="Y242" s="1108"/>
      <c r="Z242" s="1108"/>
      <c r="AA242" s="1108"/>
      <c r="AB242" s="1108"/>
      <c r="AC242" s="1108"/>
      <c r="AD242" s="1108"/>
      <c r="AE242" s="1108"/>
      <c r="AF242" s="1108"/>
      <c r="AG242" s="1108"/>
      <c r="AH242" s="1108"/>
      <c r="AI242" s="1108"/>
      <c r="AJ242" s="1108"/>
      <c r="AK242" s="1108"/>
      <c r="AL242" s="1108"/>
      <c r="AM242" s="1108"/>
      <c r="AN242" s="1108"/>
      <c r="AO242" s="1108"/>
      <c r="AP242" s="1108"/>
      <c r="AQ242" s="1108"/>
      <c r="AR242" s="1108"/>
      <c r="AS242" s="1108"/>
      <c r="AT242" s="1108"/>
      <c r="AU242" s="1108"/>
      <c r="AV242" s="1108"/>
      <c r="AW242" s="1108"/>
      <c r="AX242" s="1108"/>
      <c r="AY242" s="1108"/>
      <c r="AZ242" s="1108"/>
      <c r="BA242" s="1108"/>
      <c r="BB242" s="1108"/>
      <c r="BC242" s="1108"/>
      <c r="BD242" s="1108"/>
      <c r="BE242" s="1108"/>
      <c r="BF242" s="1108"/>
      <c r="BG242" s="1108"/>
      <c r="BH242" s="1108"/>
    </row>
    <row r="243" spans="1:60" x14ac:dyDescent="0.3">
      <c r="A243" s="1108"/>
      <c r="B243" s="1108">
        <v>994</v>
      </c>
      <c r="C243" s="1108" t="s">
        <v>1422</v>
      </c>
      <c r="D243" s="1108"/>
      <c r="E243" s="1108"/>
      <c r="F243" s="1108"/>
      <c r="G243" s="1108"/>
      <c r="H243" s="1108"/>
      <c r="I243" s="1108"/>
      <c r="J243" s="1108"/>
      <c r="K243" s="1108"/>
      <c r="L243" s="1108"/>
      <c r="M243" s="1108"/>
      <c r="N243" s="1108"/>
      <c r="O243" s="1108"/>
      <c r="P243" s="1108"/>
      <c r="Q243" s="1108"/>
      <c r="R243" s="1108"/>
      <c r="S243" s="1108"/>
      <c r="T243" s="1108"/>
      <c r="U243" s="1108"/>
      <c r="V243" s="1108"/>
      <c r="W243" s="1108"/>
      <c r="X243" s="1108"/>
      <c r="Y243" s="1108"/>
      <c r="Z243" s="1108"/>
      <c r="AA243" s="1108"/>
      <c r="AB243" s="1108"/>
      <c r="AC243" s="1108"/>
      <c r="AD243" s="1108"/>
      <c r="AE243" s="1108"/>
      <c r="AF243" s="1108"/>
      <c r="AG243" s="1108"/>
      <c r="AH243" s="1108"/>
      <c r="AI243" s="1108"/>
      <c r="AJ243" s="1108"/>
      <c r="AK243" s="1108"/>
      <c r="AL243" s="1108"/>
      <c r="AM243" s="1108"/>
      <c r="AN243" s="1108"/>
      <c r="AO243" s="1108"/>
      <c r="AP243" s="1108"/>
      <c r="AQ243" s="1108"/>
      <c r="AR243" s="1108"/>
      <c r="AS243" s="1108"/>
      <c r="AT243" s="1108"/>
      <c r="AU243" s="1108"/>
      <c r="AV243" s="1108"/>
      <c r="AW243" s="1108"/>
      <c r="AX243" s="1108"/>
      <c r="AY243" s="1108"/>
      <c r="AZ243" s="1108"/>
      <c r="BA243" s="1108"/>
      <c r="BB243" s="1108"/>
      <c r="BC243" s="1108"/>
      <c r="BD243" s="1108"/>
      <c r="BE243" s="1108"/>
      <c r="BF243" s="1108"/>
      <c r="BG243" s="1108"/>
      <c r="BH243" s="1108"/>
    </row>
    <row r="244" spans="1:60" x14ac:dyDescent="0.3">
      <c r="A244" s="1108"/>
      <c r="B244" s="1108">
        <v>995</v>
      </c>
      <c r="C244" s="1108" t="s">
        <v>285</v>
      </c>
      <c r="D244" s="1108"/>
      <c r="E244" s="1108"/>
      <c r="F244" s="1108"/>
      <c r="G244" s="1108"/>
      <c r="H244" s="1108"/>
      <c r="I244" s="1108"/>
      <c r="J244" s="1108"/>
      <c r="K244" s="1108"/>
      <c r="L244" s="1108"/>
      <c r="M244" s="1108"/>
      <c r="N244" s="1108"/>
      <c r="O244" s="1108"/>
      <c r="P244" s="1108"/>
      <c r="Q244" s="1108"/>
      <c r="R244" s="1108"/>
      <c r="S244" s="1108"/>
      <c r="T244" s="1108"/>
      <c r="U244" s="1108"/>
      <c r="V244" s="1108"/>
      <c r="W244" s="1108"/>
      <c r="X244" s="1108"/>
      <c r="Y244" s="1108"/>
      <c r="Z244" s="1108"/>
      <c r="AA244" s="1108"/>
      <c r="AB244" s="1108"/>
      <c r="AC244" s="1108"/>
      <c r="AD244" s="1108"/>
      <c r="AE244" s="1108"/>
      <c r="AF244" s="1108"/>
      <c r="AG244" s="1108"/>
      <c r="AH244" s="1108"/>
      <c r="AI244" s="1108"/>
      <c r="AJ244" s="1108"/>
      <c r="AK244" s="1108"/>
      <c r="AL244" s="1108"/>
      <c r="AM244" s="1108"/>
      <c r="AN244" s="1108"/>
      <c r="AO244" s="1108"/>
      <c r="AP244" s="1108"/>
      <c r="AQ244" s="1108"/>
      <c r="AR244" s="1108"/>
      <c r="AS244" s="1108"/>
      <c r="AT244" s="1108"/>
      <c r="AU244" s="1108"/>
      <c r="AV244" s="1108"/>
      <c r="AW244" s="1108"/>
      <c r="AX244" s="1108"/>
      <c r="AY244" s="1108"/>
      <c r="AZ244" s="1108"/>
      <c r="BA244" s="1108"/>
      <c r="BB244" s="1108"/>
      <c r="BC244" s="1108"/>
      <c r="BD244" s="1108"/>
      <c r="BE244" s="1108"/>
      <c r="BF244" s="1108"/>
      <c r="BG244" s="1108"/>
      <c r="BH244" s="1108"/>
    </row>
    <row r="245" spans="1:60" x14ac:dyDescent="0.3">
      <c r="A245" s="1108"/>
      <c r="B245" s="1108">
        <v>996</v>
      </c>
      <c r="C245" s="1108" t="s">
        <v>312</v>
      </c>
      <c r="D245" s="1108"/>
      <c r="E245" s="1108"/>
      <c r="F245" s="1108"/>
      <c r="G245" s="1108"/>
      <c r="H245" s="1108"/>
      <c r="I245" s="1108"/>
      <c r="J245" s="1108"/>
      <c r="K245" s="1108"/>
      <c r="L245" s="1108"/>
      <c r="M245" s="1108"/>
      <c r="N245" s="1108"/>
      <c r="O245" s="1108"/>
      <c r="P245" s="1108"/>
      <c r="Q245" s="1108"/>
      <c r="R245" s="1108"/>
      <c r="S245" s="1108"/>
      <c r="T245" s="1108"/>
      <c r="U245" s="1108"/>
      <c r="V245" s="1108"/>
      <c r="W245" s="1108"/>
      <c r="X245" s="1108"/>
      <c r="Y245" s="1108"/>
      <c r="Z245" s="1108"/>
      <c r="AA245" s="1108"/>
      <c r="AB245" s="1108"/>
      <c r="AC245" s="1108"/>
      <c r="AD245" s="1108"/>
      <c r="AE245" s="1108"/>
      <c r="AF245" s="1108"/>
      <c r="AG245" s="1108"/>
      <c r="AH245" s="1108"/>
      <c r="AI245" s="1108"/>
      <c r="AJ245" s="1108"/>
      <c r="AK245" s="1108"/>
      <c r="AL245" s="1108"/>
      <c r="AM245" s="1108"/>
      <c r="AN245" s="1108"/>
      <c r="AO245" s="1108"/>
      <c r="AP245" s="1108"/>
      <c r="AQ245" s="1108"/>
      <c r="AR245" s="1108"/>
      <c r="AS245" s="1108"/>
      <c r="AT245" s="1108"/>
      <c r="AU245" s="1108"/>
      <c r="AV245" s="1108"/>
      <c r="AW245" s="1108"/>
      <c r="AX245" s="1108"/>
      <c r="AY245" s="1108"/>
      <c r="AZ245" s="1108"/>
      <c r="BA245" s="1108"/>
      <c r="BB245" s="1108"/>
      <c r="BC245" s="1108"/>
      <c r="BD245" s="1108"/>
      <c r="BE245" s="1108"/>
      <c r="BF245" s="1108"/>
      <c r="BG245" s="1108"/>
      <c r="BH245" s="1108"/>
    </row>
    <row r="246" spans="1:60" x14ac:dyDescent="0.3">
      <c r="A246" s="1108"/>
      <c r="B246" s="1108">
        <v>997</v>
      </c>
      <c r="C246" s="1108"/>
      <c r="D246" s="1108"/>
      <c r="E246" s="1108"/>
      <c r="F246" s="1108"/>
      <c r="G246" s="1108"/>
      <c r="H246" s="1108"/>
      <c r="I246" s="1108"/>
      <c r="J246" s="1108"/>
      <c r="K246" s="1108"/>
      <c r="L246" s="1108"/>
      <c r="M246" s="1108"/>
      <c r="N246" s="1108"/>
      <c r="O246" s="1108"/>
      <c r="P246" s="1108"/>
      <c r="Q246" s="1108"/>
      <c r="R246" s="1108"/>
      <c r="S246" s="1108"/>
      <c r="T246" s="1108"/>
      <c r="U246" s="1108"/>
      <c r="V246" s="1108"/>
      <c r="W246" s="1108"/>
      <c r="X246" s="1108"/>
      <c r="Y246" s="1108"/>
      <c r="Z246" s="1108"/>
      <c r="AA246" s="1108"/>
      <c r="AB246" s="1108"/>
      <c r="AC246" s="1108"/>
      <c r="AD246" s="1108"/>
      <c r="AE246" s="1108"/>
      <c r="AF246" s="1108"/>
      <c r="AG246" s="1108"/>
      <c r="AH246" s="1108"/>
      <c r="AI246" s="1108"/>
      <c r="AJ246" s="1108"/>
      <c r="AK246" s="1108"/>
      <c r="AL246" s="1108"/>
      <c r="AM246" s="1108"/>
      <c r="AN246" s="1108"/>
      <c r="AO246" s="1108"/>
      <c r="AP246" s="1108"/>
      <c r="AQ246" s="1108"/>
      <c r="AR246" s="1108"/>
      <c r="AS246" s="1108"/>
      <c r="AT246" s="1108"/>
      <c r="AU246" s="1108"/>
      <c r="AV246" s="1108"/>
      <c r="AW246" s="1108"/>
      <c r="AX246" s="1108"/>
      <c r="AY246" s="1108"/>
      <c r="AZ246" s="1108"/>
      <c r="BA246" s="1108"/>
      <c r="BB246" s="1108"/>
      <c r="BC246" s="1108"/>
      <c r="BD246" s="1108"/>
      <c r="BE246" s="1108"/>
      <c r="BF246" s="1108"/>
      <c r="BG246" s="1108"/>
      <c r="BH246" s="1108"/>
    </row>
    <row r="247" spans="1:60" x14ac:dyDescent="0.3">
      <c r="A247" s="1108">
        <v>998</v>
      </c>
      <c r="B247" s="1108">
        <v>998</v>
      </c>
      <c r="C247" s="1108" t="s">
        <v>287</v>
      </c>
      <c r="D247" s="1108">
        <v>52</v>
      </c>
      <c r="E247" s="1108">
        <v>52</v>
      </c>
      <c r="F247" s="1108">
        <v>52</v>
      </c>
      <c r="G247" s="1108">
        <v>52</v>
      </c>
      <c r="H247" s="1108">
        <v>52</v>
      </c>
      <c r="I247" s="1108">
        <v>52</v>
      </c>
      <c r="J247" s="1108">
        <v>52</v>
      </c>
      <c r="K247" s="1108">
        <v>52</v>
      </c>
      <c r="L247" s="1108">
        <v>52</v>
      </c>
      <c r="M247" s="1108">
        <v>52</v>
      </c>
      <c r="N247" s="1108">
        <v>52</v>
      </c>
      <c r="O247" s="1108">
        <v>52</v>
      </c>
      <c r="P247" s="1108">
        <v>52</v>
      </c>
      <c r="Q247" s="1108">
        <v>52</v>
      </c>
      <c r="R247" s="1108">
        <v>52</v>
      </c>
      <c r="S247" s="1108">
        <v>52</v>
      </c>
      <c r="T247" s="1108">
        <v>52</v>
      </c>
      <c r="U247" s="1108">
        <v>52</v>
      </c>
      <c r="V247" s="1108">
        <v>52</v>
      </c>
      <c r="W247" s="1108">
        <v>52</v>
      </c>
      <c r="X247" s="1108">
        <v>52</v>
      </c>
      <c r="Y247" s="1108">
        <v>52</v>
      </c>
      <c r="Z247" s="1108">
        <v>52</v>
      </c>
      <c r="AA247" s="1108">
        <v>52</v>
      </c>
      <c r="AB247" s="1108">
        <v>52</v>
      </c>
      <c r="AC247" s="1108">
        <v>52</v>
      </c>
      <c r="AD247" s="1108">
        <v>52</v>
      </c>
      <c r="AE247" s="1108">
        <v>52</v>
      </c>
      <c r="AF247" s="1108">
        <v>52</v>
      </c>
      <c r="AG247" s="1108">
        <v>52</v>
      </c>
      <c r="AH247" s="1108">
        <v>52</v>
      </c>
      <c r="AI247" s="1108">
        <v>52</v>
      </c>
      <c r="AJ247" s="1108">
        <v>52</v>
      </c>
      <c r="AK247" s="1108">
        <v>52</v>
      </c>
      <c r="AL247" s="1108">
        <v>52</v>
      </c>
      <c r="AM247" s="1108">
        <v>52</v>
      </c>
      <c r="AN247" s="1108">
        <v>52</v>
      </c>
      <c r="AO247" s="1108">
        <v>52</v>
      </c>
      <c r="AP247" s="1108">
        <v>52</v>
      </c>
      <c r="AQ247" s="1108">
        <v>52</v>
      </c>
      <c r="AR247" s="1108">
        <v>52</v>
      </c>
      <c r="AS247" s="1108">
        <v>52</v>
      </c>
      <c r="AT247" s="1108">
        <v>52</v>
      </c>
      <c r="AU247" s="1108">
        <v>52</v>
      </c>
      <c r="AV247" s="1108">
        <v>52</v>
      </c>
      <c r="AW247" s="1108">
        <v>52</v>
      </c>
      <c r="AX247" s="1108">
        <v>52</v>
      </c>
      <c r="AY247" s="1108">
        <v>52</v>
      </c>
      <c r="AZ247" s="1108">
        <v>52</v>
      </c>
      <c r="BA247" s="1108">
        <v>52</v>
      </c>
      <c r="BB247" s="1108">
        <v>52</v>
      </c>
      <c r="BC247" s="1108">
        <v>52</v>
      </c>
      <c r="BD247" s="1108">
        <v>52</v>
      </c>
      <c r="BE247" s="1108">
        <v>52</v>
      </c>
      <c r="BF247" s="1108">
        <v>52</v>
      </c>
      <c r="BG247" s="1108">
        <v>52</v>
      </c>
      <c r="BH247" s="1108">
        <v>52</v>
      </c>
    </row>
    <row r="248" spans="1:60" x14ac:dyDescent="0.3">
      <c r="A248" s="1108">
        <v>999</v>
      </c>
      <c r="B248" s="1108">
        <v>999</v>
      </c>
      <c r="C248" s="1108" t="s">
        <v>288</v>
      </c>
      <c r="D248" s="1108">
        <v>52821</v>
      </c>
      <c r="E248" s="1108">
        <v>52823</v>
      </c>
      <c r="F248" s="1108">
        <v>52824</v>
      </c>
      <c r="G248" s="1108">
        <v>52825</v>
      </c>
      <c r="H248" s="1108">
        <v>52826</v>
      </c>
      <c r="I248" s="1108">
        <v>52827</v>
      </c>
      <c r="J248" s="1108">
        <v>52828</v>
      </c>
      <c r="K248" s="1108">
        <v>52829</v>
      </c>
      <c r="L248" s="1108">
        <v>52830</v>
      </c>
      <c r="M248" s="1108">
        <v>52831</v>
      </c>
      <c r="N248" s="1108">
        <v>52832</v>
      </c>
      <c r="O248" s="1108">
        <v>52833</v>
      </c>
      <c r="P248" s="1108">
        <v>52834</v>
      </c>
      <c r="Q248" s="1108">
        <v>52835</v>
      </c>
      <c r="R248" s="1108">
        <v>524017</v>
      </c>
      <c r="S248" s="1108">
        <v>52994</v>
      </c>
      <c r="T248" s="1108">
        <v>52836</v>
      </c>
      <c r="U248" s="1108">
        <v>52837</v>
      </c>
      <c r="V248" s="1108">
        <v>52838</v>
      </c>
      <c r="W248" s="1108">
        <v>52839</v>
      </c>
      <c r="X248" s="1108">
        <v>52840</v>
      </c>
      <c r="Y248" s="1108">
        <v>52841</v>
      </c>
      <c r="Z248" s="1108">
        <v>52842</v>
      </c>
      <c r="AA248" s="1108">
        <v>52843</v>
      </c>
      <c r="AB248" s="1108">
        <v>52844</v>
      </c>
      <c r="AC248" s="1108">
        <v>52845</v>
      </c>
      <c r="AD248" s="1108">
        <v>52846</v>
      </c>
      <c r="AE248" s="1108">
        <v>52847</v>
      </c>
      <c r="AF248" s="1108">
        <v>52848</v>
      </c>
      <c r="AG248" s="1108">
        <v>52849</v>
      </c>
      <c r="AH248" s="1108">
        <v>52850</v>
      </c>
      <c r="AI248" s="1108">
        <v>52851</v>
      </c>
      <c r="AJ248" s="1108">
        <v>52995</v>
      </c>
      <c r="AK248" s="1108">
        <v>52852</v>
      </c>
      <c r="AL248" s="1108">
        <v>52853</v>
      </c>
      <c r="AM248" s="1108">
        <v>52854</v>
      </c>
      <c r="AN248" s="1108">
        <v>52856</v>
      </c>
      <c r="AO248" s="1108">
        <v>52857</v>
      </c>
      <c r="AP248" s="1108">
        <v>52858</v>
      </c>
      <c r="AQ248" s="1108">
        <v>52859</v>
      </c>
      <c r="AR248" s="1108">
        <v>52860</v>
      </c>
      <c r="AS248" s="1108">
        <v>52861</v>
      </c>
      <c r="AT248" s="1108">
        <v>52862</v>
      </c>
      <c r="AU248" s="1108">
        <v>52863</v>
      </c>
      <c r="AV248" s="1108">
        <v>52864</v>
      </c>
      <c r="AW248" s="1108">
        <v>52865</v>
      </c>
      <c r="AX248" s="1108">
        <v>52866</v>
      </c>
      <c r="AY248" s="1108">
        <v>52867</v>
      </c>
      <c r="AZ248" s="1108">
        <v>52868</v>
      </c>
      <c r="BA248" s="1108">
        <v>52869</v>
      </c>
      <c r="BB248" s="1108">
        <v>52870</v>
      </c>
      <c r="BC248" s="1108">
        <v>52871</v>
      </c>
      <c r="BD248" s="1108">
        <v>52872</v>
      </c>
      <c r="BE248" s="1108">
        <v>52873</v>
      </c>
      <c r="BF248" s="1108">
        <v>52996</v>
      </c>
      <c r="BG248" s="1108">
        <v>52874</v>
      </c>
      <c r="BH248" s="1108">
        <v>52875</v>
      </c>
    </row>
    <row r="249" spans="1:60" x14ac:dyDescent="0.3">
      <c r="A249" s="1108">
        <v>591</v>
      </c>
      <c r="B249" s="1108"/>
      <c r="C249" s="1108" t="s">
        <v>365</v>
      </c>
      <c r="D249" s="1108">
        <v>3481071</v>
      </c>
      <c r="E249" s="1108">
        <v>4875069</v>
      </c>
      <c r="F249" s="1108">
        <v>5638227</v>
      </c>
      <c r="G249" s="1108">
        <v>2129127</v>
      </c>
      <c r="H249" s="1108">
        <v>8979026</v>
      </c>
      <c r="I249" s="1108">
        <v>3013091</v>
      </c>
      <c r="J249" s="1108">
        <v>2299263</v>
      </c>
      <c r="K249" s="1108">
        <v>2059562</v>
      </c>
      <c r="L249" s="1108">
        <v>3939566</v>
      </c>
      <c r="M249" s="1108">
        <v>949916</v>
      </c>
      <c r="N249" s="1108">
        <v>2782692</v>
      </c>
      <c r="O249" s="1108">
        <v>4897995</v>
      </c>
      <c r="P249" s="1108">
        <v>3129328</v>
      </c>
      <c r="Q249" s="1108">
        <v>1162705</v>
      </c>
      <c r="R249" s="1108">
        <v>0</v>
      </c>
      <c r="S249" s="1108">
        <v>8236961</v>
      </c>
      <c r="T249" s="1108">
        <v>12076621</v>
      </c>
      <c r="U249" s="1108">
        <v>2529138</v>
      </c>
      <c r="V249" s="1108">
        <v>1480361</v>
      </c>
      <c r="W249" s="1108">
        <v>11000026</v>
      </c>
      <c r="X249" s="1108">
        <v>3771187</v>
      </c>
      <c r="Y249" s="1108">
        <v>701901</v>
      </c>
      <c r="Z249" s="1108">
        <v>4135021</v>
      </c>
      <c r="AA249" s="1108">
        <v>999989</v>
      </c>
      <c r="AB249" s="1108">
        <v>2810192</v>
      </c>
      <c r="AC249" s="1108">
        <v>11122647</v>
      </c>
      <c r="AD249" s="1108">
        <v>1358321</v>
      </c>
      <c r="AE249" s="1108">
        <v>8745245</v>
      </c>
      <c r="AF249" s="1108">
        <v>4665602</v>
      </c>
      <c r="AG249" s="1108">
        <v>1812400</v>
      </c>
      <c r="AH249" s="1108">
        <v>19766313</v>
      </c>
      <c r="AI249" s="1108">
        <v>5598277</v>
      </c>
      <c r="AJ249" s="1108">
        <v>12077095</v>
      </c>
      <c r="AK249" s="1108">
        <v>5482074</v>
      </c>
      <c r="AL249" s="1108">
        <v>5280534</v>
      </c>
      <c r="AM249" s="1108">
        <v>3794189</v>
      </c>
      <c r="AN249" s="1108">
        <v>3787920</v>
      </c>
      <c r="AO249" s="1108">
        <v>3514914</v>
      </c>
      <c r="AP249" s="1108">
        <v>5758869</v>
      </c>
      <c r="AQ249" s="1108">
        <v>1829859</v>
      </c>
      <c r="AR249" s="1108">
        <v>3255339</v>
      </c>
      <c r="AS249" s="1108">
        <v>2433404</v>
      </c>
      <c r="AT249" s="1108">
        <v>614604</v>
      </c>
      <c r="AU249" s="1108">
        <v>20688307</v>
      </c>
      <c r="AV249" s="1108">
        <v>4134398</v>
      </c>
      <c r="AW249" s="1108">
        <v>67976943</v>
      </c>
      <c r="AX249" s="1108">
        <v>1567511</v>
      </c>
      <c r="AY249" s="1108">
        <v>1290995</v>
      </c>
      <c r="AZ249" s="1108">
        <v>2299503</v>
      </c>
      <c r="BA249" s="1108">
        <v>12845650</v>
      </c>
      <c r="BB249" s="1108">
        <v>745601</v>
      </c>
      <c r="BC249" s="1108">
        <v>1770195</v>
      </c>
      <c r="BD249" s="1108">
        <v>5812341</v>
      </c>
      <c r="BE249" s="1108">
        <v>6540967</v>
      </c>
      <c r="BF249" s="1108">
        <v>26561821</v>
      </c>
      <c r="BG249" s="1108">
        <v>4429889</v>
      </c>
      <c r="BH249" s="1108">
        <v>1013353</v>
      </c>
    </row>
    <row r="250" spans="1:60" x14ac:dyDescent="0.3">
      <c r="A250" s="1108">
        <v>592</v>
      </c>
      <c r="B250" s="1108"/>
      <c r="C250" s="1108" t="s">
        <v>366</v>
      </c>
      <c r="D250" s="1108">
        <v>6230</v>
      </c>
      <c r="E250" s="1108">
        <v>202902</v>
      </c>
      <c r="F250" s="1108">
        <v>290867</v>
      </c>
      <c r="G250" s="1108">
        <v>306407</v>
      </c>
      <c r="H250" s="1108">
        <v>-2921908</v>
      </c>
      <c r="I250" s="1108">
        <v>-107701</v>
      </c>
      <c r="J250" s="1108">
        <v>-427760</v>
      </c>
      <c r="K250" s="1108">
        <v>72772</v>
      </c>
      <c r="L250" s="1108">
        <v>142145</v>
      </c>
      <c r="M250" s="1108">
        <v>43105</v>
      </c>
      <c r="N250" s="1108">
        <v>67178</v>
      </c>
      <c r="O250" s="1108">
        <v>290613</v>
      </c>
      <c r="P250" s="1108">
        <v>334031</v>
      </c>
      <c r="Q250" s="1108">
        <v>-3895</v>
      </c>
      <c r="R250" s="1108">
        <v>0</v>
      </c>
      <c r="S250" s="1108">
        <v>-106980</v>
      </c>
      <c r="T250" s="1108">
        <v>404582</v>
      </c>
      <c r="U250" s="1108">
        <v>162816</v>
      </c>
      <c r="V250" s="1108">
        <v>-43968</v>
      </c>
      <c r="W250" s="1108">
        <v>1478520</v>
      </c>
      <c r="X250" s="1108">
        <v>222994</v>
      </c>
      <c r="Y250" s="1108">
        <v>87896</v>
      </c>
      <c r="Z250" s="1108">
        <v>352548</v>
      </c>
      <c r="AA250" s="1108">
        <v>-33756</v>
      </c>
      <c r="AB250" s="1108">
        <v>231699</v>
      </c>
      <c r="AC250" s="1108">
        <v>250968</v>
      </c>
      <c r="AD250" s="1108">
        <v>38558</v>
      </c>
      <c r="AE250" s="1108">
        <v>-86408</v>
      </c>
      <c r="AF250" s="1108">
        <v>303398</v>
      </c>
      <c r="AG250" s="1108">
        <v>-197371</v>
      </c>
      <c r="AH250" s="1108">
        <v>-1242240</v>
      </c>
      <c r="AI250" s="1108">
        <v>1010791</v>
      </c>
      <c r="AJ250" s="1108">
        <v>316440</v>
      </c>
      <c r="AK250" s="1108">
        <v>-188262</v>
      </c>
      <c r="AL250" s="1108">
        <v>347863</v>
      </c>
      <c r="AM250" s="1108">
        <v>157580</v>
      </c>
      <c r="AN250" s="1108">
        <v>616719</v>
      </c>
      <c r="AO250" s="1108">
        <v>150842</v>
      </c>
      <c r="AP250" s="1108">
        <v>83537</v>
      </c>
      <c r="AQ250" s="1108">
        <v>104099</v>
      </c>
      <c r="AR250" s="1108">
        <v>311065</v>
      </c>
      <c r="AS250" s="1108">
        <v>-44459</v>
      </c>
      <c r="AT250" s="1108">
        <v>66164</v>
      </c>
      <c r="AU250" s="1108">
        <v>-648668</v>
      </c>
      <c r="AV250" s="1108">
        <v>83715</v>
      </c>
      <c r="AW250" s="1108">
        <v>-553329</v>
      </c>
      <c r="AX250" s="1108">
        <v>4693</v>
      </c>
      <c r="AY250" s="1108">
        <v>-28140</v>
      </c>
      <c r="AZ250" s="1108">
        <v>132136</v>
      </c>
      <c r="BA250" s="1108">
        <v>-3946045</v>
      </c>
      <c r="BB250" s="1108">
        <v>3897</v>
      </c>
      <c r="BC250" s="1108">
        <v>220200</v>
      </c>
      <c r="BD250" s="1108">
        <v>119588</v>
      </c>
      <c r="BE250" s="1108">
        <v>253628</v>
      </c>
      <c r="BF250" s="1108">
        <v>605458</v>
      </c>
      <c r="BG250" s="1108">
        <v>98931</v>
      </c>
      <c r="BH250" s="1108">
        <v>122903</v>
      </c>
    </row>
    <row r="251" spans="1:60" ht="100.8" x14ac:dyDescent="0.3">
      <c r="A251" s="1108"/>
      <c r="B251" s="1108">
        <v>600</v>
      </c>
      <c r="C251" s="1109" t="s">
        <v>564</v>
      </c>
      <c r="D251" s="1108"/>
      <c r="E251" s="1108"/>
      <c r="F251" s="1108"/>
      <c r="G251" s="1108"/>
      <c r="H251" s="1108"/>
      <c r="I251" s="1108"/>
      <c r="J251" s="1108"/>
      <c r="K251" s="1108"/>
      <c r="L251" s="1108"/>
      <c r="M251" s="1108"/>
      <c r="N251" s="1108"/>
      <c r="O251" s="1108"/>
      <c r="P251" s="1108"/>
      <c r="Q251" s="1108"/>
      <c r="R251" s="1108"/>
      <c r="S251" s="1108"/>
      <c r="T251" s="1108"/>
      <c r="U251" s="1108"/>
      <c r="V251" s="1108"/>
      <c r="W251" s="1108"/>
      <c r="X251" s="1108"/>
      <c r="Y251" s="1108"/>
      <c r="Z251" s="1108"/>
      <c r="AA251" s="1108"/>
      <c r="AB251" s="1108"/>
      <c r="AC251" s="1108"/>
      <c r="AD251" s="1108"/>
      <c r="AE251" s="1108"/>
      <c r="AF251" s="1108"/>
      <c r="AG251" s="1108"/>
      <c r="AH251" s="1108"/>
      <c r="AI251" s="1108"/>
      <c r="AJ251" s="1108"/>
      <c r="AK251" s="1108"/>
      <c r="AL251" s="1108"/>
      <c r="AM251" s="1108"/>
      <c r="AN251" s="1108"/>
      <c r="AO251" s="1108"/>
      <c r="AP251" s="1108"/>
      <c r="AQ251" s="1108"/>
      <c r="AR251" s="1108"/>
      <c r="AS251" s="1108"/>
      <c r="AT251" s="1108"/>
      <c r="AU251" s="1108"/>
      <c r="AV251" s="1108"/>
      <c r="AW251" s="1108"/>
      <c r="AX251" s="1108"/>
      <c r="AY251" s="1108"/>
      <c r="AZ251" s="1108"/>
      <c r="BA251" s="1108"/>
      <c r="BB251" s="1108"/>
      <c r="BC251" s="1108"/>
      <c r="BD251" s="1108"/>
      <c r="BE251" s="1108"/>
      <c r="BF251" s="1108"/>
      <c r="BG251" s="1108"/>
      <c r="BH251" s="1108"/>
    </row>
    <row r="252" spans="1:60" ht="230.4" x14ac:dyDescent="0.3">
      <c r="A252" s="1108"/>
      <c r="B252" s="1108">
        <v>601</v>
      </c>
      <c r="C252" s="1109" t="s">
        <v>565</v>
      </c>
      <c r="D252" s="1108"/>
      <c r="E252" s="1108"/>
      <c r="F252" s="1108"/>
      <c r="G252" s="1108"/>
      <c r="H252" s="1108"/>
      <c r="I252" s="1108"/>
      <c r="J252" s="1108"/>
      <c r="K252" s="1108"/>
      <c r="L252" s="1108"/>
      <c r="M252" s="1108"/>
      <c r="N252" s="1108"/>
      <c r="O252" s="1108"/>
      <c r="P252" s="1108"/>
      <c r="Q252" s="1108"/>
      <c r="R252" s="1108"/>
      <c r="S252" s="1108"/>
      <c r="T252" s="1108"/>
      <c r="U252" s="1108"/>
      <c r="V252" s="1108"/>
      <c r="W252" s="1108"/>
      <c r="X252" s="1108"/>
      <c r="Y252" s="1108"/>
      <c r="Z252" s="1108"/>
      <c r="AA252" s="1108"/>
      <c r="AB252" s="1108"/>
      <c r="AC252" s="1108"/>
      <c r="AD252" s="1108"/>
      <c r="AE252" s="1108"/>
      <c r="AF252" s="1108"/>
      <c r="AG252" s="1108"/>
      <c r="AH252" s="1108"/>
      <c r="AI252" s="1108"/>
      <c r="AJ252" s="1108"/>
      <c r="AK252" s="1108"/>
      <c r="AL252" s="1108"/>
      <c r="AM252" s="1108"/>
      <c r="AN252" s="1108"/>
      <c r="AO252" s="1108"/>
      <c r="AP252" s="1108"/>
      <c r="AQ252" s="1108"/>
      <c r="AR252" s="1108"/>
      <c r="AS252" s="1108"/>
      <c r="AT252" s="1108"/>
      <c r="AU252" s="1108"/>
      <c r="AV252" s="1108"/>
      <c r="AW252" s="1108"/>
      <c r="AX252" s="1108"/>
      <c r="AY252" s="1108"/>
      <c r="AZ252" s="1108"/>
      <c r="BA252" s="1108"/>
      <c r="BB252" s="1108"/>
      <c r="BC252" s="1108"/>
      <c r="BD252" s="1108"/>
      <c r="BE252" s="1108"/>
      <c r="BF252" s="1108"/>
      <c r="BG252" s="1108"/>
      <c r="BH252" s="1108"/>
    </row>
    <row r="253" spans="1:60" ht="172.8" x14ac:dyDescent="0.3">
      <c r="A253" s="1108">
        <v>603</v>
      </c>
      <c r="B253" s="1108">
        <v>603</v>
      </c>
      <c r="C253" s="1109" t="s">
        <v>415</v>
      </c>
      <c r="D253" s="1108">
        <v>1</v>
      </c>
      <c r="E253" s="1108">
        <v>1</v>
      </c>
      <c r="F253" s="1108">
        <v>7</v>
      </c>
      <c r="G253" s="1108">
        <v>1</v>
      </c>
      <c r="H253" s="1108">
        <v>2</v>
      </c>
      <c r="I253" s="1108">
        <v>2</v>
      </c>
      <c r="J253" s="1108">
        <v>2</v>
      </c>
      <c r="K253" s="1108">
        <v>1</v>
      </c>
      <c r="L253" s="1108">
        <v>2</v>
      </c>
      <c r="M253" s="1108">
        <v>2</v>
      </c>
      <c r="N253" s="1108">
        <v>1</v>
      </c>
      <c r="O253" s="1108">
        <v>1</v>
      </c>
      <c r="P253" s="1108">
        <v>1</v>
      </c>
      <c r="Q253" s="1108">
        <v>2</v>
      </c>
      <c r="R253" s="1108">
        <v>1</v>
      </c>
      <c r="S253" s="1108">
        <v>7</v>
      </c>
      <c r="T253" s="1108">
        <v>1</v>
      </c>
      <c r="U253" s="1108">
        <v>1</v>
      </c>
      <c r="V253" s="1108">
        <v>2</v>
      </c>
      <c r="W253" s="1108">
        <v>1</v>
      </c>
      <c r="X253" s="1108">
        <v>1</v>
      </c>
      <c r="Y253" s="1108">
        <v>1</v>
      </c>
      <c r="Z253" s="1108">
        <v>1</v>
      </c>
      <c r="AA253" s="1108">
        <v>7</v>
      </c>
      <c r="AB253" s="1108">
        <v>1</v>
      </c>
      <c r="AC253" s="1108">
        <v>1</v>
      </c>
      <c r="AD253" s="1108">
        <v>2</v>
      </c>
      <c r="AE253" s="1108">
        <v>2</v>
      </c>
      <c r="AF253" s="1108">
        <v>1</v>
      </c>
      <c r="AG253" s="1108">
        <v>1</v>
      </c>
      <c r="AH253" s="1108">
        <v>7</v>
      </c>
      <c r="AI253" s="1108">
        <v>1</v>
      </c>
      <c r="AJ253" s="1108">
        <v>2</v>
      </c>
      <c r="AK253" s="1108">
        <v>1</v>
      </c>
      <c r="AL253" s="1108">
        <v>2</v>
      </c>
      <c r="AM253" s="1108">
        <v>7</v>
      </c>
      <c r="AN253" s="1108">
        <v>2</v>
      </c>
      <c r="AO253" s="1108">
        <v>1</v>
      </c>
      <c r="AP253" s="1108">
        <v>1</v>
      </c>
      <c r="AQ253" s="1108">
        <v>1</v>
      </c>
      <c r="AR253" s="1108">
        <v>7</v>
      </c>
      <c r="AS253" s="1108">
        <v>2</v>
      </c>
      <c r="AT253" s="1108">
        <v>7</v>
      </c>
      <c r="AU253" s="1108">
        <v>1</v>
      </c>
      <c r="AV253" s="1108">
        <v>2</v>
      </c>
      <c r="AW253" s="1108">
        <v>1</v>
      </c>
      <c r="AX253" s="1108">
        <v>7</v>
      </c>
      <c r="AY253" s="1108">
        <v>7</v>
      </c>
      <c r="AZ253" s="1108">
        <v>1</v>
      </c>
      <c r="BA253" s="1108">
        <v>7</v>
      </c>
      <c r="BB253" s="1108">
        <v>2</v>
      </c>
      <c r="BC253" s="1108">
        <v>1</v>
      </c>
      <c r="BD253" s="1108">
        <v>1</v>
      </c>
      <c r="BE253" s="1108">
        <v>1</v>
      </c>
      <c r="BF253" s="1108">
        <v>7</v>
      </c>
      <c r="BG253" s="1108">
        <v>1</v>
      </c>
      <c r="BH253" s="1108">
        <v>1</v>
      </c>
    </row>
    <row r="254" spans="1:60" ht="129.6" x14ac:dyDescent="0.3">
      <c r="A254" s="1108"/>
      <c r="B254" s="1108">
        <v>604</v>
      </c>
      <c r="C254" s="1109" t="s">
        <v>416</v>
      </c>
      <c r="D254" s="1108">
        <v>0</v>
      </c>
      <c r="E254" s="1108">
        <v>0</v>
      </c>
      <c r="F254" s="1108">
        <v>0</v>
      </c>
      <c r="G254" s="1108">
        <v>0</v>
      </c>
      <c r="H254" s="1108">
        <v>0</v>
      </c>
      <c r="I254" s="1108">
        <v>0</v>
      </c>
      <c r="J254" s="1108">
        <v>0</v>
      </c>
      <c r="K254" s="1108">
        <v>0</v>
      </c>
      <c r="L254" s="1108">
        <v>0</v>
      </c>
      <c r="M254" s="1108">
        <v>0</v>
      </c>
      <c r="N254" s="1108">
        <v>0</v>
      </c>
      <c r="O254" s="1108">
        <v>0</v>
      </c>
      <c r="P254" s="1108">
        <v>0</v>
      </c>
      <c r="Q254" s="1108">
        <v>0</v>
      </c>
      <c r="R254" s="1108">
        <v>0</v>
      </c>
      <c r="S254" s="1108">
        <v>0</v>
      </c>
      <c r="T254" s="1108">
        <v>0</v>
      </c>
      <c r="U254" s="1108">
        <v>0</v>
      </c>
      <c r="V254" s="1108">
        <v>0</v>
      </c>
      <c r="W254" s="1108">
        <v>0</v>
      </c>
      <c r="X254" s="1108">
        <v>0</v>
      </c>
      <c r="Y254" s="1108">
        <v>0</v>
      </c>
      <c r="Z254" s="1108">
        <v>0</v>
      </c>
      <c r="AA254" s="1108">
        <v>0</v>
      </c>
      <c r="AB254" s="1108">
        <v>0</v>
      </c>
      <c r="AC254" s="1108">
        <v>0</v>
      </c>
      <c r="AD254" s="1108">
        <v>0</v>
      </c>
      <c r="AE254" s="1108">
        <v>0</v>
      </c>
      <c r="AF254" s="1108">
        <v>0</v>
      </c>
      <c r="AG254" s="1108">
        <v>0</v>
      </c>
      <c r="AH254" s="1108">
        <v>0</v>
      </c>
      <c r="AI254" s="1108">
        <v>0</v>
      </c>
      <c r="AJ254" s="1108">
        <v>0</v>
      </c>
      <c r="AK254" s="1108">
        <v>0</v>
      </c>
      <c r="AL254" s="1108">
        <v>0</v>
      </c>
      <c r="AM254" s="1108">
        <v>0</v>
      </c>
      <c r="AN254" s="1108">
        <v>0</v>
      </c>
      <c r="AO254" s="1108">
        <v>0</v>
      </c>
      <c r="AP254" s="1108">
        <v>0</v>
      </c>
      <c r="AQ254" s="1108">
        <v>0</v>
      </c>
      <c r="AR254" s="1108">
        <v>0</v>
      </c>
      <c r="AS254" s="1108">
        <v>0</v>
      </c>
      <c r="AT254" s="1108">
        <v>0</v>
      </c>
      <c r="AU254" s="1108">
        <v>0</v>
      </c>
      <c r="AV254" s="1108">
        <v>0</v>
      </c>
      <c r="AW254" s="1108">
        <v>0</v>
      </c>
      <c r="AX254" s="1108">
        <v>0</v>
      </c>
      <c r="AY254" s="1108">
        <v>0</v>
      </c>
      <c r="AZ254" s="1108">
        <v>0</v>
      </c>
      <c r="BA254" s="1108">
        <v>0</v>
      </c>
      <c r="BB254" s="1108">
        <v>0</v>
      </c>
      <c r="BC254" s="1108">
        <v>0</v>
      </c>
      <c r="BD254" s="1108">
        <v>0</v>
      </c>
      <c r="BE254" s="1108">
        <v>0</v>
      </c>
      <c r="BF254" s="1108">
        <v>0</v>
      </c>
      <c r="BG254" s="1108">
        <v>0</v>
      </c>
      <c r="BH254" s="1108">
        <v>0</v>
      </c>
    </row>
    <row r="255" spans="1:60" x14ac:dyDescent="0.3">
      <c r="A255" s="1108">
        <v>605</v>
      </c>
      <c r="B255" s="1108">
        <v>605</v>
      </c>
      <c r="C255" s="1108" t="s">
        <v>418</v>
      </c>
      <c r="D255" s="1108">
        <v>1</v>
      </c>
      <c r="E255" s="1108">
        <v>1</v>
      </c>
      <c r="F255" s="1108">
        <v>1</v>
      </c>
      <c r="G255" s="1108">
        <v>1</v>
      </c>
      <c r="H255" s="1108">
        <v>1</v>
      </c>
      <c r="I255" s="1108">
        <v>1</v>
      </c>
      <c r="J255" s="1108">
        <v>1</v>
      </c>
      <c r="K255" s="1108">
        <v>1</v>
      </c>
      <c r="L255" s="1108">
        <v>1</v>
      </c>
      <c r="M255" s="1108">
        <v>1</v>
      </c>
      <c r="N255" s="1108">
        <v>1</v>
      </c>
      <c r="O255" s="1108">
        <v>1</v>
      </c>
      <c r="P255" s="1108">
        <v>1</v>
      </c>
      <c r="Q255" s="1108">
        <v>1</v>
      </c>
      <c r="R255" s="1108">
        <v>1</v>
      </c>
      <c r="S255" s="1108">
        <v>1</v>
      </c>
      <c r="T255" s="1108">
        <v>1</v>
      </c>
      <c r="U255" s="1108">
        <v>1</v>
      </c>
      <c r="V255" s="1108">
        <v>1</v>
      </c>
      <c r="W255" s="1108">
        <v>1</v>
      </c>
      <c r="X255" s="1108">
        <v>1</v>
      </c>
      <c r="Y255" s="1108">
        <v>1</v>
      </c>
      <c r="Z255" s="1108">
        <v>1</v>
      </c>
      <c r="AA255" s="1108">
        <v>1</v>
      </c>
      <c r="AB255" s="1108">
        <v>1</v>
      </c>
      <c r="AC255" s="1108">
        <v>1</v>
      </c>
      <c r="AD255" s="1108">
        <v>1</v>
      </c>
      <c r="AE255" s="1108">
        <v>1</v>
      </c>
      <c r="AF255" s="1108">
        <v>1</v>
      </c>
      <c r="AG255" s="1108">
        <v>1</v>
      </c>
      <c r="AH255" s="1108">
        <v>1</v>
      </c>
      <c r="AI255" s="1108">
        <v>1</v>
      </c>
      <c r="AJ255" s="1108">
        <v>1</v>
      </c>
      <c r="AK255" s="1108">
        <v>1</v>
      </c>
      <c r="AL255" s="1108">
        <v>1</v>
      </c>
      <c r="AM255" s="1108">
        <v>1</v>
      </c>
      <c r="AN255" s="1108">
        <v>1</v>
      </c>
      <c r="AO255" s="1108">
        <v>1</v>
      </c>
      <c r="AP255" s="1108">
        <v>1</v>
      </c>
      <c r="AQ255" s="1108">
        <v>1</v>
      </c>
      <c r="AR255" s="1108">
        <v>1</v>
      </c>
      <c r="AS255" s="1108">
        <v>1</v>
      </c>
      <c r="AT255" s="1108">
        <v>1</v>
      </c>
      <c r="AU255" s="1108">
        <v>1</v>
      </c>
      <c r="AV255" s="1108">
        <v>1</v>
      </c>
      <c r="AW255" s="1108">
        <v>1</v>
      </c>
      <c r="AX255" s="1108">
        <v>1</v>
      </c>
      <c r="AY255" s="1108">
        <v>1</v>
      </c>
      <c r="AZ255" s="1108">
        <v>1</v>
      </c>
      <c r="BA255" s="1108">
        <v>1</v>
      </c>
      <c r="BB255" s="1108">
        <v>1</v>
      </c>
      <c r="BC255" s="1108">
        <v>1</v>
      </c>
      <c r="BD255" s="1108">
        <v>1</v>
      </c>
      <c r="BE255" s="1108">
        <v>1</v>
      </c>
      <c r="BF255" s="1108">
        <v>1</v>
      </c>
      <c r="BG255" s="1108">
        <v>1</v>
      </c>
      <c r="BH255" s="1108">
        <v>1</v>
      </c>
    </row>
    <row r="256" spans="1:60" x14ac:dyDescent="0.3">
      <c r="A256" s="1108">
        <v>606</v>
      </c>
      <c r="B256" s="1108">
        <v>606</v>
      </c>
      <c r="C256" s="1108" t="s">
        <v>432</v>
      </c>
      <c r="D256" s="1108">
        <v>1</v>
      </c>
      <c r="E256" s="1108">
        <v>1</v>
      </c>
      <c r="F256" s="1108">
        <v>1</v>
      </c>
      <c r="G256" s="1108">
        <v>1</v>
      </c>
      <c r="H256" s="1108">
        <v>1</v>
      </c>
      <c r="I256" s="1108">
        <v>1</v>
      </c>
      <c r="J256" s="1108">
        <v>1</v>
      </c>
      <c r="K256" s="1108">
        <v>1</v>
      </c>
      <c r="L256" s="1108">
        <v>1</v>
      </c>
      <c r="M256" s="1108">
        <v>1</v>
      </c>
      <c r="N256" s="1108">
        <v>1</v>
      </c>
      <c r="O256" s="1108">
        <v>1</v>
      </c>
      <c r="P256" s="1108">
        <v>1</v>
      </c>
      <c r="Q256" s="1108">
        <v>1</v>
      </c>
      <c r="R256" s="1108">
        <v>1</v>
      </c>
      <c r="S256" s="1108">
        <v>1</v>
      </c>
      <c r="T256" s="1108">
        <v>1</v>
      </c>
      <c r="U256" s="1108">
        <v>1</v>
      </c>
      <c r="V256" s="1108">
        <v>1</v>
      </c>
      <c r="W256" s="1108">
        <v>1</v>
      </c>
      <c r="X256" s="1108">
        <v>1</v>
      </c>
      <c r="Y256" s="1108">
        <v>1</v>
      </c>
      <c r="Z256" s="1108">
        <v>1</v>
      </c>
      <c r="AA256" s="1108">
        <v>1</v>
      </c>
      <c r="AB256" s="1108">
        <v>1</v>
      </c>
      <c r="AC256" s="1108">
        <v>1</v>
      </c>
      <c r="AD256" s="1108">
        <v>1</v>
      </c>
      <c r="AE256" s="1108">
        <v>1</v>
      </c>
      <c r="AF256" s="1108">
        <v>1</v>
      </c>
      <c r="AG256" s="1108">
        <v>1</v>
      </c>
      <c r="AH256" s="1108">
        <v>1</v>
      </c>
      <c r="AI256" s="1108">
        <v>1</v>
      </c>
      <c r="AJ256" s="1108">
        <v>1</v>
      </c>
      <c r="AK256" s="1108">
        <v>1</v>
      </c>
      <c r="AL256" s="1108">
        <v>1</v>
      </c>
      <c r="AM256" s="1108">
        <v>0</v>
      </c>
      <c r="AN256" s="1108">
        <v>1</v>
      </c>
      <c r="AO256" s="1108">
        <v>1</v>
      </c>
      <c r="AP256" s="1108">
        <v>1</v>
      </c>
      <c r="AQ256" s="1108">
        <v>1</v>
      </c>
      <c r="AR256" s="1108">
        <v>1</v>
      </c>
      <c r="AS256" s="1108">
        <v>1</v>
      </c>
      <c r="AT256" s="1108">
        <v>1</v>
      </c>
      <c r="AU256" s="1108">
        <v>1</v>
      </c>
      <c r="AV256" s="1108">
        <v>1</v>
      </c>
      <c r="AW256" s="1108">
        <v>1</v>
      </c>
      <c r="AX256" s="1108">
        <v>1</v>
      </c>
      <c r="AY256" s="1108">
        <v>1</v>
      </c>
      <c r="AZ256" s="1108">
        <v>1</v>
      </c>
      <c r="BA256" s="1108">
        <v>1</v>
      </c>
      <c r="BB256" s="1108">
        <v>1</v>
      </c>
      <c r="BC256" s="1108">
        <v>1</v>
      </c>
      <c r="BD256" s="1108">
        <v>1</v>
      </c>
      <c r="BE256" s="1108">
        <v>1</v>
      </c>
      <c r="BF256" s="1108">
        <v>1</v>
      </c>
      <c r="BG256" s="1108">
        <v>1</v>
      </c>
      <c r="BH256" s="1108">
        <v>0</v>
      </c>
    </row>
    <row r="257" spans="1:60" x14ac:dyDescent="0.3">
      <c r="A257" s="1108">
        <v>621</v>
      </c>
      <c r="B257" s="1108">
        <v>621</v>
      </c>
      <c r="C257" s="1108" t="s">
        <v>1514</v>
      </c>
      <c r="D257" s="1108">
        <v>54488462</v>
      </c>
      <c r="E257" s="1108">
        <v>105851521</v>
      </c>
      <c r="F257" s="1108">
        <v>75163137</v>
      </c>
      <c r="G257" s="1108">
        <v>30293604</v>
      </c>
      <c r="H257" s="1108">
        <v>104436765</v>
      </c>
      <c r="I257" s="1108">
        <v>44029560</v>
      </c>
      <c r="J257" s="1108">
        <v>23520079</v>
      </c>
      <c r="K257" s="1108">
        <v>31772767</v>
      </c>
      <c r="L257" s="1108">
        <v>62407997</v>
      </c>
      <c r="M257" s="1108">
        <v>18538938</v>
      </c>
      <c r="N257" s="1108">
        <v>39051580</v>
      </c>
      <c r="O257" s="1108">
        <v>126359923</v>
      </c>
      <c r="P257" s="1108">
        <v>58138075</v>
      </c>
      <c r="Q257" s="1108">
        <v>15475508</v>
      </c>
      <c r="R257" s="1108">
        <v>1727330</v>
      </c>
      <c r="S257" s="1108">
        <v>138834918</v>
      </c>
      <c r="T257" s="1108">
        <v>279785407</v>
      </c>
      <c r="U257" s="1108">
        <v>33107078</v>
      </c>
      <c r="V257" s="1108">
        <v>19339852</v>
      </c>
      <c r="W257" s="1108">
        <v>238274599</v>
      </c>
      <c r="X257" s="1108">
        <v>90850434</v>
      </c>
      <c r="Y257" s="1108">
        <v>16118650</v>
      </c>
      <c r="Z257" s="1108">
        <v>82956834</v>
      </c>
      <c r="AA257" s="1108">
        <v>18039126</v>
      </c>
      <c r="AB257" s="1108">
        <v>49167898</v>
      </c>
      <c r="AC257" s="1108">
        <v>230082539</v>
      </c>
      <c r="AD257" s="1108">
        <v>25266365</v>
      </c>
      <c r="AE257" s="1108">
        <v>157545108</v>
      </c>
      <c r="AF257" s="1108">
        <v>66705494</v>
      </c>
      <c r="AG257" s="1108">
        <v>28690858</v>
      </c>
      <c r="AH257" s="1108">
        <v>209266203</v>
      </c>
      <c r="AI257" s="1108">
        <v>106821567</v>
      </c>
      <c r="AJ257" s="1108">
        <v>184012858</v>
      </c>
      <c r="AK257" s="1108">
        <v>81870895</v>
      </c>
      <c r="AL257" s="1108">
        <v>76765735</v>
      </c>
      <c r="AM257" s="1108">
        <v>60652731</v>
      </c>
      <c r="AN257" s="1108">
        <v>75981458</v>
      </c>
      <c r="AO257" s="1108">
        <v>58569545</v>
      </c>
      <c r="AP257" s="1108">
        <v>75362160</v>
      </c>
      <c r="AQ257" s="1108">
        <v>22720343</v>
      </c>
      <c r="AR257" s="1108">
        <v>26446913</v>
      </c>
      <c r="AS257" s="1108">
        <v>38855529</v>
      </c>
      <c r="AT257" s="1108">
        <v>8351698</v>
      </c>
      <c r="AU257" s="1108">
        <v>394819992</v>
      </c>
      <c r="AV257" s="1108">
        <v>55355517</v>
      </c>
      <c r="AW257" s="1108">
        <v>1688971690</v>
      </c>
      <c r="AX257" s="1108">
        <v>20457229</v>
      </c>
      <c r="AY257" s="1108">
        <v>15424676</v>
      </c>
      <c r="AZ257" s="1108">
        <v>50695094</v>
      </c>
      <c r="BA257" s="1108">
        <v>163367703</v>
      </c>
      <c r="BB257" s="1108">
        <v>10464346</v>
      </c>
      <c r="BC257" s="1108">
        <v>20693987</v>
      </c>
      <c r="BD257" s="1108">
        <v>92156930</v>
      </c>
      <c r="BE257" s="1108">
        <v>107387249</v>
      </c>
      <c r="BF257" s="1108">
        <v>520848818</v>
      </c>
      <c r="BG257" s="1108">
        <v>53220149</v>
      </c>
      <c r="BH257" s="1108">
        <v>24475794</v>
      </c>
    </row>
    <row r="258" spans="1:60" x14ac:dyDescent="0.3">
      <c r="A258" s="1108">
        <v>607</v>
      </c>
      <c r="B258" s="1108">
        <v>607</v>
      </c>
      <c r="C258" s="1108" t="s">
        <v>408</v>
      </c>
      <c r="D258" s="1108">
        <v>0</v>
      </c>
      <c r="E258" s="1108">
        <v>0</v>
      </c>
      <c r="F258" s="1108">
        <v>100</v>
      </c>
      <c r="G258" s="1108">
        <v>0</v>
      </c>
      <c r="H258" s="1108">
        <v>0</v>
      </c>
      <c r="I258" s="1108">
        <v>100</v>
      </c>
      <c r="J258" s="1108">
        <v>0</v>
      </c>
      <c r="K258" s="1108">
        <v>0</v>
      </c>
      <c r="L258" s="1108">
        <v>0</v>
      </c>
      <c r="M258" s="1108">
        <v>0</v>
      </c>
      <c r="N258" s="1108">
        <v>0</v>
      </c>
      <c r="O258" s="1108">
        <v>0</v>
      </c>
      <c r="P258" s="1108">
        <v>0</v>
      </c>
      <c r="Q258" s="1108">
        <v>0</v>
      </c>
      <c r="R258" s="1108">
        <v>100</v>
      </c>
      <c r="S258" s="1108">
        <v>0</v>
      </c>
      <c r="T258" s="1108">
        <v>0</v>
      </c>
      <c r="U258" s="1108">
        <v>0</v>
      </c>
      <c r="V258" s="1108">
        <v>0</v>
      </c>
      <c r="W258" s="1108">
        <v>0</v>
      </c>
      <c r="X258" s="1108">
        <v>0</v>
      </c>
      <c r="Y258" s="1108">
        <v>0</v>
      </c>
      <c r="Z258" s="1108">
        <v>0</v>
      </c>
      <c r="AA258" s="1108">
        <v>0</v>
      </c>
      <c r="AB258" s="1108">
        <v>100</v>
      </c>
      <c r="AC258" s="1108">
        <v>0</v>
      </c>
      <c r="AD258" s="1108">
        <v>0</v>
      </c>
      <c r="AE258" s="1108">
        <v>0</v>
      </c>
      <c r="AF258" s="1108">
        <v>100</v>
      </c>
      <c r="AG258" s="1108">
        <v>100</v>
      </c>
      <c r="AH258" s="1108">
        <v>0</v>
      </c>
      <c r="AI258" s="1108">
        <v>0</v>
      </c>
      <c r="AJ258" s="1108">
        <v>0</v>
      </c>
      <c r="AK258" s="1108">
        <v>0</v>
      </c>
      <c r="AL258" s="1108">
        <v>0</v>
      </c>
      <c r="AM258" s="1108">
        <v>100</v>
      </c>
      <c r="AN258" s="1108">
        <v>0</v>
      </c>
      <c r="AO258" s="1108">
        <v>0</v>
      </c>
      <c r="AP258" s="1108">
        <v>0</v>
      </c>
      <c r="AQ258" s="1108">
        <v>0</v>
      </c>
      <c r="AR258" s="1108">
        <v>0</v>
      </c>
      <c r="AS258" s="1108">
        <v>0</v>
      </c>
      <c r="AT258" s="1108">
        <v>100</v>
      </c>
      <c r="AU258" s="1108">
        <v>100</v>
      </c>
      <c r="AV258" s="1108">
        <v>0</v>
      </c>
      <c r="AW258" s="1108">
        <v>100</v>
      </c>
      <c r="AX258" s="1108">
        <v>100</v>
      </c>
      <c r="AY258" s="1108">
        <v>0</v>
      </c>
      <c r="AZ258" s="1108">
        <v>100</v>
      </c>
      <c r="BA258" s="1108">
        <v>0</v>
      </c>
      <c r="BB258" s="1108">
        <v>0</v>
      </c>
      <c r="BC258" s="1108">
        <v>0</v>
      </c>
      <c r="BD258" s="1108">
        <v>0</v>
      </c>
      <c r="BE258" s="1108">
        <v>0</v>
      </c>
      <c r="BF258" s="1108">
        <v>553374203</v>
      </c>
      <c r="BG258" s="1108">
        <v>0</v>
      </c>
      <c r="BH258" s="1108">
        <v>100</v>
      </c>
    </row>
    <row r="259" spans="1:60" x14ac:dyDescent="0.3">
      <c r="A259" s="1108">
        <v>608</v>
      </c>
      <c r="B259" s="1108">
        <v>608</v>
      </c>
      <c r="C259" s="1108" t="s">
        <v>409</v>
      </c>
      <c r="D259" s="1108">
        <v>0</v>
      </c>
      <c r="E259" s="1108">
        <v>0</v>
      </c>
      <c r="F259" s="1108">
        <v>50</v>
      </c>
      <c r="G259" s="1108">
        <v>0</v>
      </c>
      <c r="H259" s="1108">
        <v>0</v>
      </c>
      <c r="I259" s="1108">
        <v>50</v>
      </c>
      <c r="J259" s="1108">
        <v>0</v>
      </c>
      <c r="K259" s="1108">
        <v>0</v>
      </c>
      <c r="L259" s="1108">
        <v>0</v>
      </c>
      <c r="M259" s="1108">
        <v>0</v>
      </c>
      <c r="N259" s="1108">
        <v>0</v>
      </c>
      <c r="O259" s="1108">
        <v>0</v>
      </c>
      <c r="P259" s="1108">
        <v>0</v>
      </c>
      <c r="Q259" s="1108">
        <v>0</v>
      </c>
      <c r="R259" s="1108">
        <v>50</v>
      </c>
      <c r="S259" s="1108">
        <v>0</v>
      </c>
      <c r="T259" s="1108">
        <v>0</v>
      </c>
      <c r="U259" s="1108">
        <v>0</v>
      </c>
      <c r="V259" s="1108">
        <v>0</v>
      </c>
      <c r="W259" s="1108">
        <v>0</v>
      </c>
      <c r="X259" s="1108">
        <v>0</v>
      </c>
      <c r="Y259" s="1108">
        <v>0</v>
      </c>
      <c r="Z259" s="1108">
        <v>0</v>
      </c>
      <c r="AA259" s="1108">
        <v>0</v>
      </c>
      <c r="AB259" s="1108">
        <v>50</v>
      </c>
      <c r="AC259" s="1108">
        <v>0</v>
      </c>
      <c r="AD259" s="1108">
        <v>0</v>
      </c>
      <c r="AE259" s="1108">
        <v>0</v>
      </c>
      <c r="AF259" s="1108">
        <v>50</v>
      </c>
      <c r="AG259" s="1108">
        <v>50</v>
      </c>
      <c r="AH259" s="1108">
        <v>0</v>
      </c>
      <c r="AI259" s="1108">
        <v>0</v>
      </c>
      <c r="AJ259" s="1108">
        <v>0</v>
      </c>
      <c r="AK259" s="1108">
        <v>0</v>
      </c>
      <c r="AL259" s="1108">
        <v>0</v>
      </c>
      <c r="AM259" s="1108">
        <v>50</v>
      </c>
      <c r="AN259" s="1108">
        <v>0</v>
      </c>
      <c r="AO259" s="1108">
        <v>0</v>
      </c>
      <c r="AP259" s="1108">
        <v>0</v>
      </c>
      <c r="AQ259" s="1108">
        <v>0</v>
      </c>
      <c r="AR259" s="1108">
        <v>0</v>
      </c>
      <c r="AS259" s="1108">
        <v>0</v>
      </c>
      <c r="AT259" s="1108">
        <v>50</v>
      </c>
      <c r="AU259" s="1108">
        <v>50</v>
      </c>
      <c r="AV259" s="1108">
        <v>0</v>
      </c>
      <c r="AW259" s="1108">
        <v>50</v>
      </c>
      <c r="AX259" s="1108">
        <v>50</v>
      </c>
      <c r="AY259" s="1108">
        <v>0</v>
      </c>
      <c r="AZ259" s="1108">
        <v>50</v>
      </c>
      <c r="BA259" s="1108">
        <v>0</v>
      </c>
      <c r="BB259" s="1108">
        <v>0</v>
      </c>
      <c r="BC259" s="1108">
        <v>0</v>
      </c>
      <c r="BD259" s="1108">
        <v>0</v>
      </c>
      <c r="BE259" s="1108">
        <v>0</v>
      </c>
      <c r="BF259" s="1108">
        <v>0</v>
      </c>
      <c r="BG259" s="1108">
        <v>0</v>
      </c>
      <c r="BH259" s="1108">
        <v>50</v>
      </c>
    </row>
    <row r="260" spans="1:60" x14ac:dyDescent="0.3">
      <c r="A260" s="1108">
        <v>609</v>
      </c>
      <c r="B260" s="1108">
        <v>609</v>
      </c>
      <c r="C260" s="1108" t="s">
        <v>426</v>
      </c>
      <c r="D260" s="1108">
        <v>0</v>
      </c>
      <c r="E260" s="1108">
        <v>0</v>
      </c>
      <c r="F260" s="1108">
        <v>50</v>
      </c>
      <c r="G260" s="1108">
        <v>0</v>
      </c>
      <c r="H260" s="1108">
        <v>0</v>
      </c>
      <c r="I260" s="1108">
        <v>50</v>
      </c>
      <c r="J260" s="1108">
        <v>0</v>
      </c>
      <c r="K260" s="1108">
        <v>0</v>
      </c>
      <c r="L260" s="1108">
        <v>0</v>
      </c>
      <c r="M260" s="1108">
        <v>0</v>
      </c>
      <c r="N260" s="1108">
        <v>0</v>
      </c>
      <c r="O260" s="1108">
        <v>0</v>
      </c>
      <c r="P260" s="1108">
        <v>0</v>
      </c>
      <c r="Q260" s="1108">
        <v>0</v>
      </c>
      <c r="R260" s="1108">
        <v>50</v>
      </c>
      <c r="S260" s="1108">
        <v>0</v>
      </c>
      <c r="T260" s="1108">
        <v>0</v>
      </c>
      <c r="U260" s="1108">
        <v>0</v>
      </c>
      <c r="V260" s="1108">
        <v>0</v>
      </c>
      <c r="W260" s="1108">
        <v>0</v>
      </c>
      <c r="X260" s="1108">
        <v>0</v>
      </c>
      <c r="Y260" s="1108">
        <v>0</v>
      </c>
      <c r="Z260" s="1108">
        <v>0</v>
      </c>
      <c r="AA260" s="1108">
        <v>0</v>
      </c>
      <c r="AB260" s="1108">
        <v>50</v>
      </c>
      <c r="AC260" s="1108">
        <v>0</v>
      </c>
      <c r="AD260" s="1108">
        <v>0</v>
      </c>
      <c r="AE260" s="1108">
        <v>0</v>
      </c>
      <c r="AF260" s="1108">
        <v>50</v>
      </c>
      <c r="AG260" s="1108">
        <v>50</v>
      </c>
      <c r="AH260" s="1108">
        <v>0</v>
      </c>
      <c r="AI260" s="1108">
        <v>0</v>
      </c>
      <c r="AJ260" s="1108">
        <v>0</v>
      </c>
      <c r="AK260" s="1108">
        <v>0</v>
      </c>
      <c r="AL260" s="1108">
        <v>0</v>
      </c>
      <c r="AM260" s="1108">
        <v>50</v>
      </c>
      <c r="AN260" s="1108">
        <v>0</v>
      </c>
      <c r="AO260" s="1108">
        <v>0</v>
      </c>
      <c r="AP260" s="1108">
        <v>0</v>
      </c>
      <c r="AQ260" s="1108">
        <v>0</v>
      </c>
      <c r="AR260" s="1108">
        <v>0</v>
      </c>
      <c r="AS260" s="1108">
        <v>0</v>
      </c>
      <c r="AT260" s="1108">
        <v>50</v>
      </c>
      <c r="AU260" s="1108">
        <v>50</v>
      </c>
      <c r="AV260" s="1108">
        <v>0</v>
      </c>
      <c r="AW260" s="1108">
        <v>50</v>
      </c>
      <c r="AX260" s="1108">
        <v>50</v>
      </c>
      <c r="AY260" s="1108">
        <v>0</v>
      </c>
      <c r="AZ260" s="1108">
        <v>50</v>
      </c>
      <c r="BA260" s="1108">
        <v>0</v>
      </c>
      <c r="BB260" s="1108">
        <v>0</v>
      </c>
      <c r="BC260" s="1108">
        <v>0</v>
      </c>
      <c r="BD260" s="1108">
        <v>0</v>
      </c>
      <c r="BE260" s="1108">
        <v>0</v>
      </c>
      <c r="BF260" s="1108">
        <v>0</v>
      </c>
      <c r="BG260" s="1108">
        <v>0</v>
      </c>
      <c r="BH260" s="1108">
        <v>50</v>
      </c>
    </row>
    <row r="261" spans="1:60" x14ac:dyDescent="0.3">
      <c r="A261" s="1108">
        <v>610</v>
      </c>
      <c r="B261" s="1108">
        <v>610</v>
      </c>
      <c r="C261" s="1108" t="s">
        <v>410</v>
      </c>
      <c r="D261" s="1108">
        <v>0</v>
      </c>
      <c r="E261" s="1108">
        <v>0</v>
      </c>
      <c r="F261" s="1108">
        <v>0</v>
      </c>
      <c r="G261" s="1108">
        <v>0</v>
      </c>
      <c r="H261" s="1108">
        <v>0</v>
      </c>
      <c r="I261" s="1108">
        <v>0</v>
      </c>
      <c r="J261" s="1108">
        <v>0</v>
      </c>
      <c r="K261" s="1108">
        <v>0</v>
      </c>
      <c r="L261" s="1108">
        <v>0</v>
      </c>
      <c r="M261" s="1108">
        <v>0</v>
      </c>
      <c r="N261" s="1108">
        <v>0</v>
      </c>
      <c r="O261" s="1108">
        <v>0</v>
      </c>
      <c r="P261" s="1108">
        <v>0</v>
      </c>
      <c r="Q261" s="1108">
        <v>0</v>
      </c>
      <c r="R261" s="1108">
        <v>0</v>
      </c>
      <c r="S261" s="1108">
        <v>0</v>
      </c>
      <c r="T261" s="1108">
        <v>0</v>
      </c>
      <c r="U261" s="1108">
        <v>0</v>
      </c>
      <c r="V261" s="1108">
        <v>0</v>
      </c>
      <c r="W261" s="1108">
        <v>0</v>
      </c>
      <c r="X261" s="1108">
        <v>0</v>
      </c>
      <c r="Y261" s="1108">
        <v>0</v>
      </c>
      <c r="Z261" s="1108">
        <v>0</v>
      </c>
      <c r="AA261" s="1108">
        <v>0</v>
      </c>
      <c r="AB261" s="1108">
        <v>0</v>
      </c>
      <c r="AC261" s="1108">
        <v>0</v>
      </c>
      <c r="AD261" s="1108">
        <v>0</v>
      </c>
      <c r="AE261" s="1108">
        <v>0</v>
      </c>
      <c r="AF261" s="1108">
        <v>0</v>
      </c>
      <c r="AG261" s="1108">
        <v>0</v>
      </c>
      <c r="AH261" s="1108">
        <v>0</v>
      </c>
      <c r="AI261" s="1108">
        <v>0</v>
      </c>
      <c r="AJ261" s="1108">
        <v>0</v>
      </c>
      <c r="AK261" s="1108">
        <v>0</v>
      </c>
      <c r="AL261" s="1108">
        <v>0</v>
      </c>
      <c r="AM261" s="1108">
        <v>0</v>
      </c>
      <c r="AN261" s="1108">
        <v>0</v>
      </c>
      <c r="AO261" s="1108">
        <v>0</v>
      </c>
      <c r="AP261" s="1108">
        <v>0</v>
      </c>
      <c r="AQ261" s="1108">
        <v>0</v>
      </c>
      <c r="AR261" s="1108">
        <v>0</v>
      </c>
      <c r="AS261" s="1108">
        <v>0</v>
      </c>
      <c r="AT261" s="1108">
        <v>0</v>
      </c>
      <c r="AU261" s="1108">
        <v>0</v>
      </c>
      <c r="AV261" s="1108">
        <v>0</v>
      </c>
      <c r="AW261" s="1108">
        <v>0</v>
      </c>
      <c r="AX261" s="1108">
        <v>0</v>
      </c>
      <c r="AY261" s="1108">
        <v>0</v>
      </c>
      <c r="AZ261" s="1108">
        <v>0</v>
      </c>
      <c r="BA261" s="1108">
        <v>0</v>
      </c>
      <c r="BB261" s="1108">
        <v>0</v>
      </c>
      <c r="BC261" s="1108">
        <v>0</v>
      </c>
      <c r="BD261" s="1108">
        <v>0</v>
      </c>
      <c r="BE261" s="1108">
        <v>0</v>
      </c>
      <c r="BF261" s="1108">
        <v>0</v>
      </c>
      <c r="BG261" s="1108">
        <v>0</v>
      </c>
      <c r="BH261" s="1108">
        <v>0</v>
      </c>
    </row>
    <row r="262" spans="1:60" x14ac:dyDescent="0.3">
      <c r="A262" s="1108">
        <v>611</v>
      </c>
      <c r="B262" s="1108">
        <v>611</v>
      </c>
      <c r="C262" s="1108" t="s">
        <v>411</v>
      </c>
      <c r="D262" s="1108">
        <v>0</v>
      </c>
      <c r="E262" s="1108">
        <v>0</v>
      </c>
      <c r="F262" s="1108">
        <v>0</v>
      </c>
      <c r="G262" s="1108">
        <v>0</v>
      </c>
      <c r="H262" s="1108">
        <v>0</v>
      </c>
      <c r="I262" s="1108">
        <v>0</v>
      </c>
      <c r="J262" s="1108">
        <v>0</v>
      </c>
      <c r="K262" s="1108">
        <v>0</v>
      </c>
      <c r="L262" s="1108">
        <v>0</v>
      </c>
      <c r="M262" s="1108">
        <v>0</v>
      </c>
      <c r="N262" s="1108">
        <v>0</v>
      </c>
      <c r="O262" s="1108">
        <v>0</v>
      </c>
      <c r="P262" s="1108">
        <v>0</v>
      </c>
      <c r="Q262" s="1108">
        <v>0</v>
      </c>
      <c r="R262" s="1108">
        <v>0</v>
      </c>
      <c r="S262" s="1108">
        <v>0</v>
      </c>
      <c r="T262" s="1108">
        <v>0</v>
      </c>
      <c r="U262" s="1108">
        <v>0</v>
      </c>
      <c r="V262" s="1108">
        <v>0</v>
      </c>
      <c r="W262" s="1108">
        <v>0</v>
      </c>
      <c r="X262" s="1108">
        <v>0</v>
      </c>
      <c r="Y262" s="1108">
        <v>0</v>
      </c>
      <c r="Z262" s="1108">
        <v>0</v>
      </c>
      <c r="AA262" s="1108">
        <v>0</v>
      </c>
      <c r="AB262" s="1108">
        <v>0</v>
      </c>
      <c r="AC262" s="1108">
        <v>0</v>
      </c>
      <c r="AD262" s="1108">
        <v>0</v>
      </c>
      <c r="AE262" s="1108">
        <v>0</v>
      </c>
      <c r="AF262" s="1108">
        <v>0</v>
      </c>
      <c r="AG262" s="1108">
        <v>0</v>
      </c>
      <c r="AH262" s="1108">
        <v>0</v>
      </c>
      <c r="AI262" s="1108">
        <v>0</v>
      </c>
      <c r="AJ262" s="1108">
        <v>0</v>
      </c>
      <c r="AK262" s="1108">
        <v>0</v>
      </c>
      <c r="AL262" s="1108">
        <v>0</v>
      </c>
      <c r="AM262" s="1108">
        <v>0</v>
      </c>
      <c r="AN262" s="1108">
        <v>0</v>
      </c>
      <c r="AO262" s="1108">
        <v>0</v>
      </c>
      <c r="AP262" s="1108">
        <v>0</v>
      </c>
      <c r="AQ262" s="1108">
        <v>0</v>
      </c>
      <c r="AR262" s="1108">
        <v>0</v>
      </c>
      <c r="AS262" s="1108">
        <v>0</v>
      </c>
      <c r="AT262" s="1108">
        <v>0</v>
      </c>
      <c r="AU262" s="1108">
        <v>0</v>
      </c>
      <c r="AV262" s="1108">
        <v>0</v>
      </c>
      <c r="AW262" s="1108">
        <v>0</v>
      </c>
      <c r="AX262" s="1108">
        <v>0</v>
      </c>
      <c r="AY262" s="1108">
        <v>0</v>
      </c>
      <c r="AZ262" s="1108">
        <v>0</v>
      </c>
      <c r="BA262" s="1108">
        <v>0</v>
      </c>
      <c r="BB262" s="1108">
        <v>0</v>
      </c>
      <c r="BC262" s="1108">
        <v>0</v>
      </c>
      <c r="BD262" s="1108">
        <v>0</v>
      </c>
      <c r="BE262" s="1108">
        <v>0</v>
      </c>
      <c r="BF262" s="1108">
        <v>0</v>
      </c>
      <c r="BG262" s="1108">
        <v>0</v>
      </c>
      <c r="BH262" s="1108">
        <v>0</v>
      </c>
    </row>
    <row r="263" spans="1:60" x14ac:dyDescent="0.3">
      <c r="A263" s="1108">
        <v>612</v>
      </c>
      <c r="B263" s="1108">
        <v>612</v>
      </c>
      <c r="C263" s="1108" t="s">
        <v>427</v>
      </c>
      <c r="D263" s="1108">
        <v>0</v>
      </c>
      <c r="E263" s="1108">
        <v>0</v>
      </c>
      <c r="F263" s="1108">
        <v>0</v>
      </c>
      <c r="G263" s="1108">
        <v>0</v>
      </c>
      <c r="H263" s="1108">
        <v>0</v>
      </c>
      <c r="I263" s="1108">
        <v>0</v>
      </c>
      <c r="J263" s="1108">
        <v>0</v>
      </c>
      <c r="K263" s="1108">
        <v>0</v>
      </c>
      <c r="L263" s="1108">
        <v>0</v>
      </c>
      <c r="M263" s="1108">
        <v>0</v>
      </c>
      <c r="N263" s="1108">
        <v>0</v>
      </c>
      <c r="O263" s="1108">
        <v>0</v>
      </c>
      <c r="P263" s="1108">
        <v>0</v>
      </c>
      <c r="Q263" s="1108">
        <v>0</v>
      </c>
      <c r="R263" s="1108">
        <v>0</v>
      </c>
      <c r="S263" s="1108">
        <v>0</v>
      </c>
      <c r="T263" s="1108">
        <v>0</v>
      </c>
      <c r="U263" s="1108">
        <v>0</v>
      </c>
      <c r="V263" s="1108">
        <v>0</v>
      </c>
      <c r="W263" s="1108">
        <v>0</v>
      </c>
      <c r="X263" s="1108">
        <v>0</v>
      </c>
      <c r="Y263" s="1108">
        <v>0</v>
      </c>
      <c r="Z263" s="1108">
        <v>0</v>
      </c>
      <c r="AA263" s="1108">
        <v>0</v>
      </c>
      <c r="AB263" s="1108">
        <v>0</v>
      </c>
      <c r="AC263" s="1108">
        <v>0</v>
      </c>
      <c r="AD263" s="1108">
        <v>0</v>
      </c>
      <c r="AE263" s="1108">
        <v>0</v>
      </c>
      <c r="AF263" s="1108">
        <v>0</v>
      </c>
      <c r="AG263" s="1108">
        <v>0</v>
      </c>
      <c r="AH263" s="1108">
        <v>0</v>
      </c>
      <c r="AI263" s="1108">
        <v>0</v>
      </c>
      <c r="AJ263" s="1108">
        <v>0</v>
      </c>
      <c r="AK263" s="1108">
        <v>0</v>
      </c>
      <c r="AL263" s="1108">
        <v>0</v>
      </c>
      <c r="AM263" s="1108">
        <v>0</v>
      </c>
      <c r="AN263" s="1108">
        <v>0</v>
      </c>
      <c r="AO263" s="1108">
        <v>0</v>
      </c>
      <c r="AP263" s="1108">
        <v>0</v>
      </c>
      <c r="AQ263" s="1108">
        <v>0</v>
      </c>
      <c r="AR263" s="1108">
        <v>0</v>
      </c>
      <c r="AS263" s="1108">
        <v>0</v>
      </c>
      <c r="AT263" s="1108">
        <v>0</v>
      </c>
      <c r="AU263" s="1108">
        <v>0</v>
      </c>
      <c r="AV263" s="1108">
        <v>0</v>
      </c>
      <c r="AW263" s="1108">
        <v>0</v>
      </c>
      <c r="AX263" s="1108">
        <v>0</v>
      </c>
      <c r="AY263" s="1108">
        <v>0</v>
      </c>
      <c r="AZ263" s="1108">
        <v>0</v>
      </c>
      <c r="BA263" s="1108">
        <v>0</v>
      </c>
      <c r="BB263" s="1108">
        <v>0</v>
      </c>
      <c r="BC263" s="1108">
        <v>0</v>
      </c>
      <c r="BD263" s="1108">
        <v>0</v>
      </c>
      <c r="BE263" s="1108">
        <v>0</v>
      </c>
      <c r="BF263" s="1108">
        <v>0</v>
      </c>
      <c r="BG263" s="1108">
        <v>0</v>
      </c>
      <c r="BH263" s="1108">
        <v>0</v>
      </c>
    </row>
    <row r="264" spans="1:60" x14ac:dyDescent="0.3">
      <c r="A264" s="1108">
        <v>613</v>
      </c>
      <c r="B264" s="1108">
        <v>613</v>
      </c>
      <c r="C264" s="1108" t="s">
        <v>419</v>
      </c>
      <c r="D264" s="1108">
        <v>0</v>
      </c>
      <c r="E264" s="1108">
        <v>0</v>
      </c>
      <c r="F264" s="1108">
        <v>0</v>
      </c>
      <c r="G264" s="1108">
        <v>0</v>
      </c>
      <c r="H264" s="1108">
        <v>0</v>
      </c>
      <c r="I264" s="1108">
        <v>0</v>
      </c>
      <c r="J264" s="1108">
        <v>0</v>
      </c>
      <c r="K264" s="1108">
        <v>0</v>
      </c>
      <c r="L264" s="1108">
        <v>0</v>
      </c>
      <c r="M264" s="1108">
        <v>0</v>
      </c>
      <c r="N264" s="1108">
        <v>0</v>
      </c>
      <c r="O264" s="1108">
        <v>0</v>
      </c>
      <c r="P264" s="1108">
        <v>0</v>
      </c>
      <c r="Q264" s="1108">
        <v>0</v>
      </c>
      <c r="R264" s="1108">
        <v>0</v>
      </c>
      <c r="S264" s="1108">
        <v>0</v>
      </c>
      <c r="T264" s="1108">
        <v>0</v>
      </c>
      <c r="U264" s="1108">
        <v>0</v>
      </c>
      <c r="V264" s="1108">
        <v>0</v>
      </c>
      <c r="W264" s="1108">
        <v>0</v>
      </c>
      <c r="X264" s="1108">
        <v>0</v>
      </c>
      <c r="Y264" s="1108">
        <v>0</v>
      </c>
      <c r="Z264" s="1108">
        <v>0</v>
      </c>
      <c r="AA264" s="1108">
        <v>0</v>
      </c>
      <c r="AB264" s="1108">
        <v>0</v>
      </c>
      <c r="AC264" s="1108">
        <v>0</v>
      </c>
      <c r="AD264" s="1108">
        <v>0</v>
      </c>
      <c r="AE264" s="1108">
        <v>0</v>
      </c>
      <c r="AF264" s="1108">
        <v>0</v>
      </c>
      <c r="AG264" s="1108">
        <v>0</v>
      </c>
      <c r="AH264" s="1108">
        <v>0</v>
      </c>
      <c r="AI264" s="1108">
        <v>0</v>
      </c>
      <c r="AJ264" s="1108">
        <v>0</v>
      </c>
      <c r="AK264" s="1108">
        <v>0</v>
      </c>
      <c r="AL264" s="1108">
        <v>0</v>
      </c>
      <c r="AM264" s="1108">
        <v>0</v>
      </c>
      <c r="AN264" s="1108">
        <v>0</v>
      </c>
      <c r="AO264" s="1108">
        <v>0</v>
      </c>
      <c r="AP264" s="1108">
        <v>0</v>
      </c>
      <c r="AQ264" s="1108">
        <v>0</v>
      </c>
      <c r="AR264" s="1108">
        <v>0</v>
      </c>
      <c r="AS264" s="1108">
        <v>0</v>
      </c>
      <c r="AT264" s="1108">
        <v>0</v>
      </c>
      <c r="AU264" s="1108">
        <v>0</v>
      </c>
      <c r="AV264" s="1108">
        <v>0</v>
      </c>
      <c r="AW264" s="1108">
        <v>0</v>
      </c>
      <c r="AX264" s="1108">
        <v>0</v>
      </c>
      <c r="AY264" s="1108">
        <v>0</v>
      </c>
      <c r="AZ264" s="1108">
        <v>0</v>
      </c>
      <c r="BA264" s="1108">
        <v>0</v>
      </c>
      <c r="BB264" s="1108">
        <v>0</v>
      </c>
      <c r="BC264" s="1108">
        <v>0</v>
      </c>
      <c r="BD264" s="1108">
        <v>0</v>
      </c>
      <c r="BE264" s="1108">
        <v>0</v>
      </c>
      <c r="BF264" s="1108">
        <v>32525385</v>
      </c>
      <c r="BG264" s="1108">
        <v>0</v>
      </c>
      <c r="BH264" s="1108">
        <v>0</v>
      </c>
    </row>
    <row r="265" spans="1:60" x14ac:dyDescent="0.3">
      <c r="A265" s="1108">
        <v>614</v>
      </c>
      <c r="B265" s="1108">
        <v>614</v>
      </c>
      <c r="C265" s="1108" t="s">
        <v>412</v>
      </c>
      <c r="D265" s="1108">
        <v>0</v>
      </c>
      <c r="E265" s="1108">
        <v>0</v>
      </c>
      <c r="F265" s="1108">
        <v>0</v>
      </c>
      <c r="G265" s="1108">
        <v>0</v>
      </c>
      <c r="H265" s="1108">
        <v>0</v>
      </c>
      <c r="I265" s="1108">
        <v>0</v>
      </c>
      <c r="J265" s="1108">
        <v>0</v>
      </c>
      <c r="K265" s="1108">
        <v>0</v>
      </c>
      <c r="L265" s="1108">
        <v>0</v>
      </c>
      <c r="M265" s="1108">
        <v>0</v>
      </c>
      <c r="N265" s="1108">
        <v>0</v>
      </c>
      <c r="O265" s="1108">
        <v>0</v>
      </c>
      <c r="P265" s="1108">
        <v>0</v>
      </c>
      <c r="Q265" s="1108">
        <v>0</v>
      </c>
      <c r="R265" s="1108">
        <v>0</v>
      </c>
      <c r="S265" s="1108">
        <v>0</v>
      </c>
      <c r="T265" s="1108">
        <v>0</v>
      </c>
      <c r="U265" s="1108">
        <v>0</v>
      </c>
      <c r="V265" s="1108">
        <v>0</v>
      </c>
      <c r="W265" s="1108">
        <v>0</v>
      </c>
      <c r="X265" s="1108">
        <v>0</v>
      </c>
      <c r="Y265" s="1108">
        <v>0</v>
      </c>
      <c r="Z265" s="1108">
        <v>0</v>
      </c>
      <c r="AA265" s="1108">
        <v>0</v>
      </c>
      <c r="AB265" s="1108">
        <v>0</v>
      </c>
      <c r="AC265" s="1108">
        <v>0</v>
      </c>
      <c r="AD265" s="1108">
        <v>0</v>
      </c>
      <c r="AE265" s="1108">
        <v>0</v>
      </c>
      <c r="AF265" s="1108">
        <v>0</v>
      </c>
      <c r="AG265" s="1108">
        <v>0</v>
      </c>
      <c r="AH265" s="1108">
        <v>0</v>
      </c>
      <c r="AI265" s="1108">
        <v>0</v>
      </c>
      <c r="AJ265" s="1108">
        <v>0</v>
      </c>
      <c r="AK265" s="1108">
        <v>0</v>
      </c>
      <c r="AL265" s="1108">
        <v>0</v>
      </c>
      <c r="AM265" s="1108">
        <v>0</v>
      </c>
      <c r="AN265" s="1108">
        <v>0</v>
      </c>
      <c r="AO265" s="1108">
        <v>0</v>
      </c>
      <c r="AP265" s="1108">
        <v>0</v>
      </c>
      <c r="AQ265" s="1108">
        <v>0</v>
      </c>
      <c r="AR265" s="1108">
        <v>0</v>
      </c>
      <c r="AS265" s="1108">
        <v>0</v>
      </c>
      <c r="AT265" s="1108">
        <v>0</v>
      </c>
      <c r="AU265" s="1108">
        <v>0</v>
      </c>
      <c r="AV265" s="1108">
        <v>0</v>
      </c>
      <c r="AW265" s="1108">
        <v>0</v>
      </c>
      <c r="AX265" s="1108">
        <v>0</v>
      </c>
      <c r="AY265" s="1108">
        <v>0</v>
      </c>
      <c r="AZ265" s="1108">
        <v>0</v>
      </c>
      <c r="BA265" s="1108">
        <v>0</v>
      </c>
      <c r="BB265" s="1108">
        <v>0</v>
      </c>
      <c r="BC265" s="1108">
        <v>0</v>
      </c>
      <c r="BD265" s="1108">
        <v>0</v>
      </c>
      <c r="BE265" s="1108">
        <v>0</v>
      </c>
      <c r="BF265" s="1108">
        <v>0</v>
      </c>
      <c r="BG265" s="1108">
        <v>0</v>
      </c>
      <c r="BH265" s="1108">
        <v>0</v>
      </c>
    </row>
    <row r="266" spans="1:60" x14ac:dyDescent="0.3">
      <c r="A266" s="1108">
        <v>615</v>
      </c>
      <c r="B266" s="1108">
        <v>615</v>
      </c>
      <c r="C266" s="1108" t="s">
        <v>428</v>
      </c>
      <c r="D266" s="1108">
        <v>0</v>
      </c>
      <c r="E266" s="1108">
        <v>0</v>
      </c>
      <c r="F266" s="1108">
        <v>0</v>
      </c>
      <c r="G266" s="1108">
        <v>0</v>
      </c>
      <c r="H266" s="1108">
        <v>0</v>
      </c>
      <c r="I266" s="1108">
        <v>0</v>
      </c>
      <c r="J266" s="1108">
        <v>0</v>
      </c>
      <c r="K266" s="1108">
        <v>0</v>
      </c>
      <c r="L266" s="1108">
        <v>0</v>
      </c>
      <c r="M266" s="1108">
        <v>0</v>
      </c>
      <c r="N266" s="1108">
        <v>0</v>
      </c>
      <c r="O266" s="1108">
        <v>0</v>
      </c>
      <c r="P266" s="1108">
        <v>0</v>
      </c>
      <c r="Q266" s="1108">
        <v>0</v>
      </c>
      <c r="R266" s="1108">
        <v>0</v>
      </c>
      <c r="S266" s="1108">
        <v>0</v>
      </c>
      <c r="T266" s="1108">
        <v>0</v>
      </c>
      <c r="U266" s="1108">
        <v>0</v>
      </c>
      <c r="V266" s="1108">
        <v>0</v>
      </c>
      <c r="W266" s="1108">
        <v>0</v>
      </c>
      <c r="X266" s="1108">
        <v>0</v>
      </c>
      <c r="Y266" s="1108">
        <v>0</v>
      </c>
      <c r="Z266" s="1108">
        <v>0</v>
      </c>
      <c r="AA266" s="1108">
        <v>0</v>
      </c>
      <c r="AB266" s="1108">
        <v>0</v>
      </c>
      <c r="AC266" s="1108">
        <v>0</v>
      </c>
      <c r="AD266" s="1108">
        <v>0</v>
      </c>
      <c r="AE266" s="1108">
        <v>0</v>
      </c>
      <c r="AF266" s="1108">
        <v>0</v>
      </c>
      <c r="AG266" s="1108">
        <v>0</v>
      </c>
      <c r="AH266" s="1108">
        <v>0</v>
      </c>
      <c r="AI266" s="1108">
        <v>0</v>
      </c>
      <c r="AJ266" s="1108">
        <v>0</v>
      </c>
      <c r="AK266" s="1108">
        <v>0</v>
      </c>
      <c r="AL266" s="1108">
        <v>0</v>
      </c>
      <c r="AM266" s="1108">
        <v>0</v>
      </c>
      <c r="AN266" s="1108">
        <v>0</v>
      </c>
      <c r="AO266" s="1108">
        <v>0</v>
      </c>
      <c r="AP266" s="1108">
        <v>0</v>
      </c>
      <c r="AQ266" s="1108">
        <v>0</v>
      </c>
      <c r="AR266" s="1108">
        <v>0</v>
      </c>
      <c r="AS266" s="1108">
        <v>0</v>
      </c>
      <c r="AT266" s="1108">
        <v>0</v>
      </c>
      <c r="AU266" s="1108">
        <v>0</v>
      </c>
      <c r="AV266" s="1108">
        <v>0</v>
      </c>
      <c r="AW266" s="1108">
        <v>0</v>
      </c>
      <c r="AX266" s="1108">
        <v>0</v>
      </c>
      <c r="AY266" s="1108">
        <v>0</v>
      </c>
      <c r="AZ266" s="1108">
        <v>0</v>
      </c>
      <c r="BA266" s="1108">
        <v>0</v>
      </c>
      <c r="BB266" s="1108">
        <v>0</v>
      </c>
      <c r="BC266" s="1108">
        <v>0</v>
      </c>
      <c r="BD266" s="1108">
        <v>0</v>
      </c>
      <c r="BE266" s="1108">
        <v>0</v>
      </c>
      <c r="BF266" s="1108">
        <v>0</v>
      </c>
      <c r="BG266" s="1108">
        <v>0</v>
      </c>
      <c r="BH266" s="1108">
        <v>0</v>
      </c>
    </row>
    <row r="267" spans="1:60" x14ac:dyDescent="0.3">
      <c r="A267" s="1108">
        <v>616</v>
      </c>
      <c r="B267" s="1108">
        <v>616</v>
      </c>
      <c r="C267" s="1108" t="s">
        <v>413</v>
      </c>
      <c r="D267" s="1108">
        <v>0</v>
      </c>
      <c r="E267" s="1108">
        <v>0</v>
      </c>
      <c r="F267" s="1108">
        <v>0</v>
      </c>
      <c r="G267" s="1108">
        <v>0</v>
      </c>
      <c r="H267" s="1108">
        <v>0</v>
      </c>
      <c r="I267" s="1108">
        <v>0</v>
      </c>
      <c r="J267" s="1108">
        <v>0</v>
      </c>
      <c r="K267" s="1108">
        <v>0</v>
      </c>
      <c r="L267" s="1108">
        <v>0</v>
      </c>
      <c r="M267" s="1108">
        <v>0</v>
      </c>
      <c r="N267" s="1108">
        <v>0</v>
      </c>
      <c r="O267" s="1108">
        <v>0</v>
      </c>
      <c r="P267" s="1108">
        <v>0</v>
      </c>
      <c r="Q267" s="1108">
        <v>0</v>
      </c>
      <c r="R267" s="1108">
        <v>-2081</v>
      </c>
      <c r="S267" s="1108">
        <v>0</v>
      </c>
      <c r="T267" s="1108">
        <v>0</v>
      </c>
      <c r="U267" s="1108">
        <v>0</v>
      </c>
      <c r="V267" s="1108">
        <v>0</v>
      </c>
      <c r="W267" s="1108">
        <v>0</v>
      </c>
      <c r="X267" s="1108">
        <v>0</v>
      </c>
      <c r="Y267" s="1108">
        <v>0</v>
      </c>
      <c r="Z267" s="1108">
        <v>0</v>
      </c>
      <c r="AA267" s="1108">
        <v>0</v>
      </c>
      <c r="AB267" s="1108">
        <v>0</v>
      </c>
      <c r="AC267" s="1108">
        <v>0</v>
      </c>
      <c r="AD267" s="1108">
        <v>0</v>
      </c>
      <c r="AE267" s="1108">
        <v>0</v>
      </c>
      <c r="AF267" s="1108">
        <v>0</v>
      </c>
      <c r="AG267" s="1108">
        <v>0</v>
      </c>
      <c r="AH267" s="1108">
        <v>0</v>
      </c>
      <c r="AI267" s="1108">
        <v>0</v>
      </c>
      <c r="AJ267" s="1108">
        <v>0</v>
      </c>
      <c r="AK267" s="1108">
        <v>0</v>
      </c>
      <c r="AL267" s="1108">
        <v>0</v>
      </c>
      <c r="AM267" s="1108">
        <v>0</v>
      </c>
      <c r="AN267" s="1108">
        <v>0</v>
      </c>
      <c r="AO267" s="1108">
        <v>0</v>
      </c>
      <c r="AP267" s="1108">
        <v>0</v>
      </c>
      <c r="AQ267" s="1108">
        <v>0</v>
      </c>
      <c r="AR267" s="1108">
        <v>0</v>
      </c>
      <c r="AS267" s="1108">
        <v>0</v>
      </c>
      <c r="AT267" s="1108">
        <v>0</v>
      </c>
      <c r="AU267" s="1108">
        <v>0</v>
      </c>
      <c r="AV267" s="1108">
        <v>-58504</v>
      </c>
      <c r="AW267" s="1108">
        <v>-1798317</v>
      </c>
      <c r="AX267" s="1108">
        <v>0</v>
      </c>
      <c r="AY267" s="1108">
        <v>0</v>
      </c>
      <c r="AZ267" s="1108">
        <v>0</v>
      </c>
      <c r="BA267" s="1108">
        <v>0</v>
      </c>
      <c r="BB267" s="1108">
        <v>0</v>
      </c>
      <c r="BC267" s="1108">
        <v>0</v>
      </c>
      <c r="BD267" s="1108">
        <v>0</v>
      </c>
      <c r="BE267" s="1108">
        <v>0</v>
      </c>
      <c r="BF267" s="1108">
        <v>0</v>
      </c>
      <c r="BG267" s="1108">
        <v>0</v>
      </c>
      <c r="BH267" s="1108">
        <v>0</v>
      </c>
    </row>
    <row r="268" spans="1:60" x14ac:dyDescent="0.3">
      <c r="A268" s="1108">
        <v>617</v>
      </c>
      <c r="B268" s="1108">
        <v>617</v>
      </c>
      <c r="C268" s="1108" t="s">
        <v>414</v>
      </c>
      <c r="D268" s="1108">
        <v>0</v>
      </c>
      <c r="E268" s="1108">
        <v>0</v>
      </c>
      <c r="F268" s="1108">
        <v>0</v>
      </c>
      <c r="G268" s="1108">
        <v>0</v>
      </c>
      <c r="H268" s="1108">
        <v>0</v>
      </c>
      <c r="I268" s="1108">
        <v>0</v>
      </c>
      <c r="J268" s="1108">
        <v>0</v>
      </c>
      <c r="K268" s="1108">
        <v>0</v>
      </c>
      <c r="L268" s="1108">
        <v>0</v>
      </c>
      <c r="M268" s="1108">
        <v>0</v>
      </c>
      <c r="N268" s="1108">
        <v>0</v>
      </c>
      <c r="O268" s="1108">
        <v>0</v>
      </c>
      <c r="P268" s="1108">
        <v>0</v>
      </c>
      <c r="Q268" s="1108">
        <v>0</v>
      </c>
      <c r="R268" s="1108">
        <v>0</v>
      </c>
      <c r="S268" s="1108">
        <v>0</v>
      </c>
      <c r="T268" s="1108">
        <v>0</v>
      </c>
      <c r="U268" s="1108">
        <v>0</v>
      </c>
      <c r="V268" s="1108">
        <v>0</v>
      </c>
      <c r="W268" s="1108">
        <v>0</v>
      </c>
      <c r="X268" s="1108">
        <v>0</v>
      </c>
      <c r="Y268" s="1108">
        <v>0</v>
      </c>
      <c r="Z268" s="1108">
        <v>0</v>
      </c>
      <c r="AA268" s="1108">
        <v>0</v>
      </c>
      <c r="AB268" s="1108">
        <v>0</v>
      </c>
      <c r="AC268" s="1108">
        <v>0</v>
      </c>
      <c r="AD268" s="1108">
        <v>0</v>
      </c>
      <c r="AE268" s="1108">
        <v>0</v>
      </c>
      <c r="AF268" s="1108">
        <v>0</v>
      </c>
      <c r="AG268" s="1108">
        <v>0</v>
      </c>
      <c r="AH268" s="1108">
        <v>0</v>
      </c>
      <c r="AI268" s="1108">
        <v>0</v>
      </c>
      <c r="AJ268" s="1108">
        <v>0</v>
      </c>
      <c r="AK268" s="1108">
        <v>0</v>
      </c>
      <c r="AL268" s="1108">
        <v>0</v>
      </c>
      <c r="AM268" s="1108">
        <v>0</v>
      </c>
      <c r="AN268" s="1108">
        <v>0</v>
      </c>
      <c r="AO268" s="1108">
        <v>0</v>
      </c>
      <c r="AP268" s="1108">
        <v>0</v>
      </c>
      <c r="AQ268" s="1108">
        <v>0</v>
      </c>
      <c r="AR268" s="1108">
        <v>0</v>
      </c>
      <c r="AS268" s="1108">
        <v>0</v>
      </c>
      <c r="AT268" s="1108">
        <v>0</v>
      </c>
      <c r="AU268" s="1108">
        <v>0</v>
      </c>
      <c r="AV268" s="1108">
        <v>0</v>
      </c>
      <c r="AW268" s="1108">
        <v>388807000</v>
      </c>
      <c r="AX268" s="1108">
        <v>0</v>
      </c>
      <c r="AY268" s="1108">
        <v>0</v>
      </c>
      <c r="AZ268" s="1108">
        <v>0</v>
      </c>
      <c r="BA268" s="1108">
        <v>0</v>
      </c>
      <c r="BB268" s="1108">
        <v>0</v>
      </c>
      <c r="BC268" s="1108">
        <v>0</v>
      </c>
      <c r="BD268" s="1108">
        <v>0</v>
      </c>
      <c r="BE268" s="1108">
        <v>0</v>
      </c>
      <c r="BF268" s="1108">
        <v>0</v>
      </c>
      <c r="BG268" s="1108">
        <v>0</v>
      </c>
      <c r="BH268" s="1108">
        <v>0</v>
      </c>
    </row>
    <row r="269" spans="1:60" x14ac:dyDescent="0.3">
      <c r="A269" s="1108">
        <v>618</v>
      </c>
      <c r="B269" s="1108">
        <v>618</v>
      </c>
      <c r="C269" s="1108" t="s">
        <v>429</v>
      </c>
      <c r="D269" s="1108">
        <v>0</v>
      </c>
      <c r="E269" s="1108">
        <v>0</v>
      </c>
      <c r="F269" s="1108">
        <v>0</v>
      </c>
      <c r="G269" s="1108">
        <v>0</v>
      </c>
      <c r="H269" s="1108">
        <v>0</v>
      </c>
      <c r="I269" s="1108">
        <v>0</v>
      </c>
      <c r="J269" s="1108">
        <v>0</v>
      </c>
      <c r="K269" s="1108">
        <v>0</v>
      </c>
      <c r="L269" s="1108">
        <v>0</v>
      </c>
      <c r="M269" s="1108">
        <v>0</v>
      </c>
      <c r="N269" s="1108">
        <v>0</v>
      </c>
      <c r="O269" s="1108">
        <v>0</v>
      </c>
      <c r="P269" s="1108">
        <v>0</v>
      </c>
      <c r="Q269" s="1108">
        <v>0</v>
      </c>
      <c r="R269" s="1108">
        <v>117</v>
      </c>
      <c r="S269" s="1108">
        <v>0</v>
      </c>
      <c r="T269" s="1108">
        <v>0</v>
      </c>
      <c r="U269" s="1108">
        <v>0</v>
      </c>
      <c r="V269" s="1108">
        <v>0</v>
      </c>
      <c r="W269" s="1108">
        <v>0</v>
      </c>
      <c r="X269" s="1108">
        <v>0</v>
      </c>
      <c r="Y269" s="1108">
        <v>0</v>
      </c>
      <c r="Z269" s="1108">
        <v>0</v>
      </c>
      <c r="AA269" s="1108">
        <v>0</v>
      </c>
      <c r="AB269" s="1108">
        <v>0</v>
      </c>
      <c r="AC269" s="1108">
        <v>0</v>
      </c>
      <c r="AD269" s="1108">
        <v>0</v>
      </c>
      <c r="AE269" s="1108">
        <v>0</v>
      </c>
      <c r="AF269" s="1108">
        <v>0</v>
      </c>
      <c r="AG269" s="1108">
        <v>0</v>
      </c>
      <c r="AH269" s="1108">
        <v>0</v>
      </c>
      <c r="AI269" s="1108">
        <v>0</v>
      </c>
      <c r="AJ269" s="1108">
        <v>0</v>
      </c>
      <c r="AK269" s="1108">
        <v>0</v>
      </c>
      <c r="AL269" s="1108">
        <v>0</v>
      </c>
      <c r="AM269" s="1108">
        <v>0</v>
      </c>
      <c r="AN269" s="1108">
        <v>0</v>
      </c>
      <c r="AO269" s="1108">
        <v>0</v>
      </c>
      <c r="AP269" s="1108">
        <v>0</v>
      </c>
      <c r="AQ269" s="1108">
        <v>0</v>
      </c>
      <c r="AR269" s="1108">
        <v>0</v>
      </c>
      <c r="AS269" s="1108">
        <v>0</v>
      </c>
      <c r="AT269" s="1108">
        <v>0</v>
      </c>
      <c r="AU269" s="1108">
        <v>0</v>
      </c>
      <c r="AV269" s="1108">
        <v>109</v>
      </c>
      <c r="AW269" s="1108">
        <v>109</v>
      </c>
      <c r="AX269" s="1108">
        <v>0</v>
      </c>
      <c r="AY269" s="1108">
        <v>0</v>
      </c>
      <c r="AZ269" s="1108">
        <v>0</v>
      </c>
      <c r="BA269" s="1108">
        <v>0</v>
      </c>
      <c r="BB269" s="1108">
        <v>0</v>
      </c>
      <c r="BC269" s="1108">
        <v>0</v>
      </c>
      <c r="BD269" s="1108">
        <v>0</v>
      </c>
      <c r="BE269" s="1108">
        <v>0</v>
      </c>
      <c r="BF269" s="1108">
        <v>0</v>
      </c>
      <c r="BG269" s="1108">
        <v>0</v>
      </c>
      <c r="BH269" s="1108">
        <v>0</v>
      </c>
    </row>
    <row r="270" spans="1:60" x14ac:dyDescent="0.3">
      <c r="A270" s="1108">
        <v>622</v>
      </c>
      <c r="B270" s="1108">
        <v>622</v>
      </c>
      <c r="C270" s="1108" t="s">
        <v>439</v>
      </c>
      <c r="D270" s="1108">
        <v>21337890</v>
      </c>
      <c r="E270" s="1108">
        <v>40950390</v>
      </c>
      <c r="F270" s="1108">
        <v>29691049</v>
      </c>
      <c r="G270" s="1108">
        <v>12134481</v>
      </c>
      <c r="H270" s="1108">
        <v>40588984</v>
      </c>
      <c r="I270" s="1108">
        <v>17457006</v>
      </c>
      <c r="J270" s="1108">
        <v>9379631</v>
      </c>
      <c r="K270" s="1108">
        <v>12701978</v>
      </c>
      <c r="L270" s="1108">
        <v>24824512</v>
      </c>
      <c r="M270" s="1108">
        <v>7268941</v>
      </c>
      <c r="N270" s="1108">
        <v>15797326</v>
      </c>
      <c r="O270" s="1108">
        <v>49374237</v>
      </c>
      <c r="P270" s="1108">
        <v>23024451</v>
      </c>
      <c r="Q270" s="1108">
        <v>5999539</v>
      </c>
      <c r="R270" s="1108">
        <v>760545</v>
      </c>
      <c r="S270" s="1108">
        <v>54763468</v>
      </c>
      <c r="T270" s="1108">
        <v>110377185</v>
      </c>
      <c r="U270" s="1108">
        <v>12889153</v>
      </c>
      <c r="V270" s="1108">
        <v>7638311</v>
      </c>
      <c r="W270" s="1108">
        <v>93792332</v>
      </c>
      <c r="X270" s="1108">
        <v>35231612</v>
      </c>
      <c r="Y270" s="1108">
        <v>6366919</v>
      </c>
      <c r="Z270" s="1108">
        <v>32558402</v>
      </c>
      <c r="AA270" s="1108">
        <v>6831868</v>
      </c>
      <c r="AB270" s="1108">
        <v>19334725</v>
      </c>
      <c r="AC270" s="1108">
        <v>89828813</v>
      </c>
      <c r="AD270" s="1108">
        <v>9930203</v>
      </c>
      <c r="AE270" s="1108">
        <v>61518667</v>
      </c>
      <c r="AF270" s="1108">
        <v>26135729</v>
      </c>
      <c r="AG270" s="1108">
        <v>11281244</v>
      </c>
      <c r="AH270" s="1108">
        <v>83224938</v>
      </c>
      <c r="AI270" s="1108">
        <v>42137155</v>
      </c>
      <c r="AJ270" s="1108">
        <v>72196579</v>
      </c>
      <c r="AK270" s="1108">
        <v>32410057</v>
      </c>
      <c r="AL270" s="1108">
        <v>30548268</v>
      </c>
      <c r="AM270" s="1108">
        <v>24325712</v>
      </c>
      <c r="AN270" s="1108">
        <v>29826451</v>
      </c>
      <c r="AO270" s="1108">
        <v>23055314</v>
      </c>
      <c r="AP270" s="1108">
        <v>29602439</v>
      </c>
      <c r="AQ270" s="1108">
        <v>8730494</v>
      </c>
      <c r="AR270" s="1108">
        <v>10446924</v>
      </c>
      <c r="AS270" s="1108">
        <v>15156154</v>
      </c>
      <c r="AT270" s="1108">
        <v>3288496</v>
      </c>
      <c r="AU270" s="1108">
        <v>154952587</v>
      </c>
      <c r="AV270" s="1108">
        <v>21847642</v>
      </c>
      <c r="AW270" s="1108">
        <v>660723896</v>
      </c>
      <c r="AX270" s="1108">
        <v>8165984</v>
      </c>
      <c r="AY270" s="1108">
        <v>6045337</v>
      </c>
      <c r="AZ270" s="1108">
        <v>19869367</v>
      </c>
      <c r="BA270" s="1108">
        <v>64722543</v>
      </c>
      <c r="BB270" s="1108">
        <v>4211426</v>
      </c>
      <c r="BC270" s="1108">
        <v>8222734</v>
      </c>
      <c r="BD270" s="1108">
        <v>36043033</v>
      </c>
      <c r="BE270" s="1108">
        <v>42299440</v>
      </c>
      <c r="BF270" s="1108">
        <v>205974556</v>
      </c>
      <c r="BG270" s="1108">
        <v>20638973</v>
      </c>
      <c r="BH270" s="1108">
        <v>9500100</v>
      </c>
    </row>
    <row r="271" spans="1:60" ht="115.2" x14ac:dyDescent="0.3">
      <c r="A271" s="1108">
        <v>625</v>
      </c>
      <c r="B271" s="1108">
        <v>625</v>
      </c>
      <c r="C271" s="1109" t="s">
        <v>532</v>
      </c>
      <c r="D271" s="1108">
        <v>1</v>
      </c>
      <c r="E271" s="1108">
        <v>5</v>
      </c>
      <c r="F271" s="1108">
        <v>5</v>
      </c>
      <c r="G271" s="1108">
        <v>1</v>
      </c>
      <c r="H271" s="1108">
        <v>1</v>
      </c>
      <c r="I271" s="1108">
        <v>1</v>
      </c>
      <c r="J271" s="1108">
        <v>1</v>
      </c>
      <c r="K271" s="1108">
        <v>1</v>
      </c>
      <c r="L271" s="1108">
        <v>1</v>
      </c>
      <c r="M271" s="1108">
        <v>1</v>
      </c>
      <c r="N271" s="1108">
        <v>1</v>
      </c>
      <c r="O271" s="1108">
        <v>1</v>
      </c>
      <c r="P271" s="1108">
        <v>1</v>
      </c>
      <c r="Q271" s="1108">
        <v>1</v>
      </c>
      <c r="R271" s="1108">
        <v>1</v>
      </c>
      <c r="S271" s="1108">
        <v>5</v>
      </c>
      <c r="T271" s="1108">
        <v>1</v>
      </c>
      <c r="U271" s="1108">
        <v>1</v>
      </c>
      <c r="V271" s="1108">
        <v>1</v>
      </c>
      <c r="W271" s="1108">
        <v>1</v>
      </c>
      <c r="X271" s="1108">
        <v>1</v>
      </c>
      <c r="Y271" s="1108">
        <v>1</v>
      </c>
      <c r="Z271" s="1108">
        <v>1</v>
      </c>
      <c r="AA271" s="1108">
        <v>5</v>
      </c>
      <c r="AB271" s="1108">
        <v>1</v>
      </c>
      <c r="AC271" s="1108">
        <v>5</v>
      </c>
      <c r="AD271" s="1108">
        <v>1</v>
      </c>
      <c r="AE271" s="1108">
        <v>1</v>
      </c>
      <c r="AF271" s="1108">
        <v>1</v>
      </c>
      <c r="AG271" s="1108">
        <v>1</v>
      </c>
      <c r="AH271" s="1108">
        <v>5</v>
      </c>
      <c r="AI271" s="1108">
        <v>1</v>
      </c>
      <c r="AJ271" s="1108">
        <v>1</v>
      </c>
      <c r="AK271" s="1108">
        <v>1</v>
      </c>
      <c r="AL271" s="1108">
        <v>1</v>
      </c>
      <c r="AM271" s="1108">
        <v>5</v>
      </c>
      <c r="AN271" s="1108">
        <v>1</v>
      </c>
      <c r="AO271" s="1108">
        <v>1</v>
      </c>
      <c r="AP271" s="1108">
        <v>1</v>
      </c>
      <c r="AQ271" s="1108">
        <v>1</v>
      </c>
      <c r="AR271" s="1108">
        <v>5</v>
      </c>
      <c r="AS271" s="1108">
        <v>1</v>
      </c>
      <c r="AT271" s="1108">
        <v>5</v>
      </c>
      <c r="AU271" s="1108">
        <v>1</v>
      </c>
      <c r="AV271" s="1108">
        <v>1</v>
      </c>
      <c r="AW271" s="1108">
        <v>1</v>
      </c>
      <c r="AX271" s="1108">
        <v>5</v>
      </c>
      <c r="AY271" s="1108">
        <v>5</v>
      </c>
      <c r="AZ271" s="1108">
        <v>1</v>
      </c>
      <c r="BA271" s="1108">
        <v>5</v>
      </c>
      <c r="BB271" s="1108">
        <v>1</v>
      </c>
      <c r="BC271" s="1108">
        <v>1</v>
      </c>
      <c r="BD271" s="1108">
        <v>1</v>
      </c>
      <c r="BE271" s="1108">
        <v>1</v>
      </c>
      <c r="BF271" s="1108">
        <v>5</v>
      </c>
      <c r="BG271" s="1108">
        <v>1</v>
      </c>
      <c r="BH271" s="1108">
        <v>1</v>
      </c>
    </row>
    <row r="272" spans="1:60" x14ac:dyDescent="0.3">
      <c r="A272" s="1096"/>
      <c r="B272" s="1096"/>
      <c r="C272" s="1095"/>
      <c r="D272" s="1102"/>
      <c r="E272" s="1102"/>
      <c r="F272" s="1102"/>
      <c r="G272" s="1102"/>
      <c r="H272" s="1102"/>
      <c r="I272" s="1102"/>
      <c r="J272" s="1102"/>
      <c r="K272" s="1102"/>
      <c r="L272" s="1102"/>
      <c r="M272" s="1102"/>
      <c r="N272" s="1102"/>
      <c r="O272" s="1102"/>
      <c r="P272" s="1102"/>
      <c r="Q272" s="1102"/>
      <c r="R272" s="1102"/>
      <c r="S272" s="1102"/>
      <c r="T272" s="1102"/>
      <c r="U272" s="1102"/>
      <c r="V272" s="1102"/>
      <c r="W272" s="1102"/>
      <c r="X272" s="1102"/>
      <c r="Y272" s="1102"/>
      <c r="Z272" s="1102"/>
      <c r="AA272" s="1102"/>
      <c r="AB272" s="1102"/>
      <c r="AC272" s="1102"/>
      <c r="AD272" s="1102"/>
      <c r="AE272" s="1102"/>
      <c r="AF272" s="1102"/>
      <c r="AG272" s="1102"/>
      <c r="AH272" s="1102"/>
      <c r="AI272" s="1102"/>
      <c r="AJ272" s="1102"/>
      <c r="AK272" s="1102"/>
      <c r="AL272" s="1102"/>
      <c r="AM272" s="1102"/>
      <c r="AN272" s="1102"/>
      <c r="AO272" s="1102"/>
      <c r="AP272" s="1102"/>
      <c r="AQ272" s="1102"/>
      <c r="AR272" s="1102"/>
      <c r="AS272" s="1102"/>
      <c r="AT272" s="1102"/>
      <c r="AU272" s="1102"/>
      <c r="AV272" s="1102"/>
      <c r="AW272" s="1102"/>
      <c r="AX272" s="1102"/>
      <c r="AY272" s="1102"/>
      <c r="AZ272" s="1102"/>
      <c r="BA272" s="1102"/>
      <c r="BB272" s="1102"/>
      <c r="BC272" s="1102"/>
      <c r="BD272" s="1102"/>
      <c r="BE272" s="1102"/>
      <c r="BF272" s="1102"/>
      <c r="BG272" s="1102"/>
      <c r="BH272" s="1102"/>
    </row>
    <row r="273" spans="1:60" x14ac:dyDescent="0.3">
      <c r="A273" s="1096"/>
      <c r="B273" s="1096"/>
      <c r="C273" s="1095"/>
      <c r="D273" s="1102"/>
      <c r="E273" s="1102"/>
      <c r="F273" s="1102"/>
      <c r="G273" s="1102"/>
      <c r="H273" s="1102"/>
      <c r="I273" s="1102"/>
      <c r="J273" s="1102"/>
      <c r="K273" s="1102"/>
      <c r="L273" s="1102"/>
      <c r="M273" s="1102"/>
      <c r="N273" s="1102"/>
      <c r="O273" s="1102"/>
      <c r="P273" s="1102"/>
      <c r="Q273" s="1102"/>
      <c r="R273" s="1102"/>
      <c r="S273" s="1102"/>
      <c r="T273" s="1102"/>
      <c r="U273" s="1102"/>
      <c r="V273" s="1102"/>
      <c r="W273" s="1102"/>
      <c r="X273" s="1102"/>
      <c r="Y273" s="1102"/>
      <c r="Z273" s="1102"/>
      <c r="AA273" s="1102"/>
      <c r="AB273" s="1102"/>
      <c r="AC273" s="1102"/>
      <c r="AD273" s="1102"/>
      <c r="AE273" s="1102"/>
      <c r="AF273" s="1102"/>
      <c r="AG273" s="1102"/>
      <c r="AH273" s="1102"/>
      <c r="AI273" s="1102"/>
      <c r="AJ273" s="1102"/>
      <c r="AK273" s="1102"/>
      <c r="AL273" s="1102"/>
      <c r="AM273" s="1102"/>
      <c r="AN273" s="1102"/>
      <c r="AO273" s="1102"/>
      <c r="AP273" s="1102"/>
      <c r="AQ273" s="1102"/>
      <c r="AR273" s="1102"/>
      <c r="AS273" s="1102"/>
      <c r="AT273" s="1102"/>
      <c r="AU273" s="1102"/>
      <c r="AV273" s="1102"/>
      <c r="AW273" s="1102"/>
      <c r="AX273" s="1102"/>
      <c r="AY273" s="1102"/>
      <c r="AZ273" s="1102"/>
      <c r="BA273" s="1102"/>
      <c r="BB273" s="1102"/>
      <c r="BC273" s="1102"/>
      <c r="BD273" s="1102"/>
      <c r="BE273" s="1102"/>
      <c r="BF273" s="1102"/>
      <c r="BG273" s="1102"/>
      <c r="BH273" s="1102"/>
    </row>
    <row r="274" spans="1:60" s="1104" customFormat="1" x14ac:dyDescent="0.3">
      <c r="A274" s="1100"/>
      <c r="B274" s="1100"/>
      <c r="C274" s="1100"/>
      <c r="D274" s="1100"/>
      <c r="E274" s="1100"/>
      <c r="F274" s="1100"/>
      <c r="G274" s="1100"/>
      <c r="H274" s="1100"/>
      <c r="I274" s="1100"/>
      <c r="J274" s="1100"/>
      <c r="K274" s="1100"/>
      <c r="L274" s="1100"/>
      <c r="M274" s="1100"/>
      <c r="N274" s="1100"/>
      <c r="O274" s="1100"/>
      <c r="P274" s="1100"/>
      <c r="Q274" s="1100"/>
      <c r="R274" s="1100"/>
      <c r="S274" s="1100"/>
      <c r="T274" s="1100"/>
      <c r="U274" s="1100"/>
      <c r="V274" s="1100"/>
      <c r="W274" s="1100"/>
      <c r="X274" s="1100"/>
      <c r="Y274" s="1100"/>
      <c r="Z274" s="1100"/>
      <c r="AA274" s="1100"/>
      <c r="AB274" s="1100"/>
      <c r="AC274" s="1100"/>
      <c r="AD274" s="1100"/>
      <c r="AE274" s="1100"/>
      <c r="AF274" s="1103"/>
      <c r="AG274" s="1103"/>
      <c r="AH274" s="1100"/>
      <c r="AI274" s="1100"/>
      <c r="AJ274" s="1100"/>
      <c r="AK274" s="1100"/>
      <c r="AL274" s="1100"/>
      <c r="AM274" s="1100"/>
      <c r="AN274" s="1100"/>
      <c r="AO274" s="1100"/>
      <c r="AP274" s="1100"/>
      <c r="AQ274" s="1100"/>
      <c r="AR274" s="1100"/>
      <c r="AS274" s="1100"/>
      <c r="AT274" s="1100"/>
      <c r="AU274" s="1100"/>
      <c r="AV274" s="1100"/>
      <c r="AW274" s="1100"/>
      <c r="AX274" s="1100"/>
      <c r="AY274" s="1100"/>
      <c r="AZ274" s="1100"/>
      <c r="BA274" s="1100"/>
      <c r="BB274" s="1100"/>
      <c r="BC274" s="1100"/>
      <c r="BD274" s="1100"/>
      <c r="BE274" s="1100"/>
      <c r="BF274" s="1100"/>
      <c r="BG274" s="1100"/>
      <c r="BH274" s="1100"/>
    </row>
    <row r="275" spans="1:60" x14ac:dyDescent="0.3">
      <c r="A275" s="1096"/>
      <c r="B275" s="1096"/>
      <c r="C275" s="1096"/>
      <c r="D275" s="1105"/>
      <c r="E275" s="1105"/>
      <c r="F275" s="1105"/>
      <c r="G275" s="1105"/>
      <c r="H275" s="1105"/>
      <c r="I275" s="1105"/>
      <c r="J275" s="1105"/>
      <c r="K275" s="1105"/>
      <c r="L275" s="1105"/>
      <c r="M275" s="1105"/>
      <c r="N275" s="1105"/>
      <c r="O275" s="1105"/>
      <c r="P275" s="1105"/>
      <c r="Q275" s="1105"/>
      <c r="R275" s="1105"/>
      <c r="S275" s="1105"/>
      <c r="T275" s="1105"/>
      <c r="U275" s="1105"/>
      <c r="V275" s="1105"/>
      <c r="W275" s="1105"/>
      <c r="X275" s="1105"/>
      <c r="Y275" s="1105"/>
      <c r="Z275" s="1105"/>
      <c r="AA275" s="1105"/>
      <c r="AB275" s="1105"/>
      <c r="AC275" s="1105"/>
      <c r="AD275" s="1105"/>
      <c r="AE275" s="1105"/>
      <c r="AF275" s="1105"/>
      <c r="AG275" s="1105"/>
      <c r="AH275" s="1105"/>
      <c r="AI275" s="1105"/>
      <c r="AJ275" s="1105"/>
      <c r="AK275" s="1105"/>
      <c r="AL275" s="1105"/>
      <c r="AM275" s="1105"/>
      <c r="AN275" s="1105"/>
      <c r="AO275" s="1105"/>
      <c r="AP275" s="1105"/>
      <c r="AQ275" s="1105"/>
      <c r="AR275" s="1105"/>
      <c r="AS275" s="1105"/>
      <c r="AT275" s="1105"/>
      <c r="AU275" s="1105"/>
      <c r="AV275" s="1105"/>
      <c r="AW275" s="1105"/>
      <c r="AX275" s="1105"/>
      <c r="AY275" s="1105"/>
      <c r="AZ275" s="1105"/>
      <c r="BA275" s="1105"/>
      <c r="BB275" s="1105"/>
      <c r="BC275" s="1105"/>
      <c r="BD275" s="1105"/>
      <c r="BE275" s="1105"/>
      <c r="BF275" s="1105"/>
      <c r="BG275" s="1105"/>
      <c r="BH275" s="1105"/>
    </row>
    <row r="276" spans="1:60" x14ac:dyDescent="0.3">
      <c r="A276" s="1096"/>
      <c r="B276" s="1096"/>
      <c r="C276" s="1095"/>
      <c r="D276" s="1106"/>
      <c r="E276" s="1106"/>
      <c r="F276" s="1106"/>
      <c r="G276" s="1106"/>
      <c r="H276" s="1106"/>
      <c r="I276" s="1106"/>
      <c r="J276" s="1106"/>
      <c r="K276" s="1106"/>
      <c r="L276" s="1106"/>
      <c r="M276" s="1106"/>
      <c r="N276" s="1106"/>
      <c r="O276" s="1106"/>
      <c r="P276" s="1106"/>
      <c r="Q276" s="1106"/>
      <c r="R276" s="1106"/>
      <c r="S276" s="1106"/>
      <c r="T276" s="1106"/>
      <c r="U276" s="1106"/>
      <c r="V276" s="1106"/>
      <c r="W276" s="1106"/>
      <c r="X276" s="1106"/>
      <c r="Y276" s="1106"/>
      <c r="Z276" s="1106"/>
      <c r="AA276" s="1106"/>
      <c r="AB276" s="1106"/>
      <c r="AC276" s="1106"/>
      <c r="AD276" s="1106"/>
      <c r="AE276" s="1106"/>
      <c r="AF276" s="1106"/>
      <c r="AG276" s="1106"/>
      <c r="AH276" s="1106"/>
      <c r="AI276" s="1106"/>
      <c r="AJ276" s="1106"/>
      <c r="AK276" s="1106"/>
      <c r="AL276" s="1106"/>
      <c r="AM276" s="1106"/>
      <c r="AN276" s="1106"/>
      <c r="AO276" s="1106"/>
      <c r="AP276" s="1106"/>
      <c r="AQ276" s="1106"/>
      <c r="AR276" s="1106"/>
      <c r="AS276" s="1106"/>
      <c r="AT276" s="1106"/>
      <c r="AU276" s="1106"/>
      <c r="AV276" s="1106"/>
      <c r="AW276" s="1106"/>
      <c r="AX276" s="1106"/>
      <c r="AY276" s="1106"/>
      <c r="AZ276" s="1106"/>
      <c r="BA276" s="1106"/>
      <c r="BB276" s="1106"/>
      <c r="BC276" s="1106"/>
      <c r="BD276" s="1106"/>
      <c r="BE276" s="1106"/>
      <c r="BF276" s="1106"/>
      <c r="BG276" s="1106"/>
      <c r="BH276" s="1106"/>
    </row>
    <row r="277" spans="1:60" x14ac:dyDescent="0.3">
      <c r="A277" s="1096"/>
      <c r="B277" s="1096"/>
      <c r="C277" s="1095"/>
      <c r="D277" s="1105"/>
      <c r="E277" s="1105"/>
      <c r="F277" s="1105"/>
      <c r="G277" s="1105"/>
      <c r="H277" s="1105"/>
      <c r="I277" s="1105"/>
      <c r="J277" s="1105"/>
      <c r="K277" s="1105"/>
      <c r="L277" s="1105"/>
      <c r="M277" s="1105"/>
      <c r="N277" s="1105"/>
      <c r="O277" s="1105"/>
      <c r="P277" s="1105"/>
      <c r="Q277" s="1105"/>
      <c r="R277" s="1105"/>
      <c r="S277" s="1105"/>
      <c r="T277" s="1105"/>
      <c r="U277" s="1105"/>
      <c r="V277" s="1105"/>
      <c r="W277" s="1105"/>
      <c r="X277" s="1105"/>
      <c r="Y277" s="1105"/>
      <c r="Z277" s="1105"/>
      <c r="AA277" s="1105"/>
      <c r="AB277" s="1105"/>
      <c r="AC277" s="1105"/>
      <c r="AD277" s="1105"/>
      <c r="AE277" s="1105"/>
      <c r="AF277" s="1105"/>
      <c r="AG277" s="1105"/>
      <c r="AH277" s="1105"/>
      <c r="AI277" s="1105"/>
      <c r="AJ277" s="1105"/>
      <c r="AK277" s="1105"/>
      <c r="AL277" s="1105"/>
      <c r="AM277" s="1105"/>
      <c r="AN277" s="1105"/>
      <c r="AO277" s="1105"/>
      <c r="AP277" s="1105"/>
      <c r="AQ277" s="1105"/>
      <c r="AR277" s="1105"/>
      <c r="AS277" s="1105"/>
      <c r="AT277" s="1105"/>
      <c r="AU277" s="1105"/>
      <c r="AV277" s="1105"/>
      <c r="AW277" s="1105"/>
      <c r="AX277" s="1105"/>
      <c r="AY277" s="1105"/>
      <c r="AZ277" s="1105"/>
      <c r="BA277" s="1105"/>
      <c r="BB277" s="1105"/>
      <c r="BC277" s="1105"/>
      <c r="BD277" s="1105"/>
      <c r="BE277" s="1105"/>
      <c r="BF277" s="1105"/>
      <c r="BG277" s="1105"/>
      <c r="BH277" s="1105"/>
    </row>
    <row r="278" spans="1:60" x14ac:dyDescent="0.3">
      <c r="A278" s="1096"/>
      <c r="B278" s="1096"/>
      <c r="C278" s="1096"/>
      <c r="D278" s="1096"/>
      <c r="E278" s="1096"/>
      <c r="F278" s="1096"/>
      <c r="G278" s="1096"/>
      <c r="H278" s="1096"/>
      <c r="I278" s="1096"/>
      <c r="J278" s="1096"/>
      <c r="K278" s="1096"/>
      <c r="L278" s="1096"/>
      <c r="M278" s="1096"/>
      <c r="N278" s="1096"/>
      <c r="O278" s="1096"/>
      <c r="P278" s="1096"/>
      <c r="Q278" s="1096"/>
      <c r="R278" s="1096"/>
      <c r="S278" s="1096"/>
      <c r="T278" s="1096"/>
      <c r="U278" s="1096"/>
      <c r="V278" s="1096"/>
      <c r="W278" s="1096"/>
      <c r="X278" s="1096"/>
      <c r="Y278" s="1096"/>
      <c r="Z278" s="1096"/>
      <c r="AA278" s="1096"/>
      <c r="AB278" s="1096"/>
      <c r="AC278" s="1096"/>
      <c r="AD278" s="1096"/>
      <c r="AE278" s="1096"/>
      <c r="AF278" s="1096"/>
      <c r="AG278" s="1096"/>
      <c r="AH278" s="1096"/>
      <c r="AI278" s="1096"/>
      <c r="AJ278" s="1096"/>
      <c r="AK278" s="1096"/>
      <c r="AL278" s="1096"/>
      <c r="AM278" s="1096"/>
      <c r="AN278" s="1096"/>
      <c r="AO278" s="1096"/>
      <c r="AP278" s="1096"/>
      <c r="AQ278" s="1096"/>
      <c r="AR278" s="1096"/>
      <c r="AS278" s="1096"/>
      <c r="AT278" s="1096"/>
      <c r="AU278" s="1096"/>
      <c r="AV278" s="1096"/>
      <c r="AW278" s="1096"/>
      <c r="AX278" s="1096"/>
      <c r="AY278" s="1096"/>
      <c r="AZ278" s="1096"/>
      <c r="BA278" s="1096"/>
      <c r="BB278" s="1096"/>
      <c r="BC278" s="1096"/>
      <c r="BD278" s="1096"/>
      <c r="BE278" s="1096"/>
      <c r="BF278" s="1096"/>
      <c r="BG278" s="1096"/>
      <c r="BH278" s="1096"/>
    </row>
    <row r="279" spans="1:60" x14ac:dyDescent="0.3">
      <c r="A279" s="1096"/>
      <c r="B279" s="1096"/>
      <c r="C279" s="1096"/>
      <c r="D279" s="1096"/>
      <c r="E279" s="1096"/>
      <c r="F279" s="1096"/>
      <c r="G279" s="1096"/>
      <c r="H279" s="1096"/>
      <c r="I279" s="1096"/>
      <c r="J279" s="1096"/>
      <c r="K279" s="1096"/>
      <c r="L279" s="1096"/>
      <c r="M279" s="1096"/>
      <c r="N279" s="1096"/>
      <c r="O279" s="1096"/>
      <c r="P279" s="1096"/>
      <c r="Q279" s="1096"/>
      <c r="R279" s="1096"/>
      <c r="S279" s="1096"/>
      <c r="T279" s="1096"/>
      <c r="U279" s="1096"/>
      <c r="V279" s="1096"/>
      <c r="W279" s="1096"/>
      <c r="X279" s="1096"/>
      <c r="Y279" s="1096"/>
      <c r="Z279" s="1096"/>
      <c r="AA279" s="1096"/>
      <c r="AB279" s="1096"/>
      <c r="AC279" s="1096"/>
      <c r="AD279" s="1096"/>
      <c r="AE279" s="1096"/>
      <c r="AF279" s="1096"/>
      <c r="AG279" s="1096"/>
      <c r="AH279" s="1096"/>
      <c r="AI279" s="1096"/>
      <c r="AJ279" s="1096"/>
      <c r="AK279" s="1096"/>
      <c r="AL279" s="1096"/>
      <c r="AM279" s="1096"/>
      <c r="AN279" s="1096"/>
      <c r="AO279" s="1096"/>
      <c r="AP279" s="1096"/>
      <c r="AQ279" s="1096"/>
      <c r="AR279" s="1096"/>
      <c r="AS279" s="1096"/>
      <c r="AT279" s="1096"/>
      <c r="AU279" s="1096"/>
      <c r="AV279" s="1096"/>
      <c r="AW279" s="1096"/>
      <c r="AX279" s="1096"/>
      <c r="AY279" s="1096"/>
      <c r="AZ279" s="1096"/>
      <c r="BA279" s="1096"/>
      <c r="BB279" s="1096"/>
      <c r="BC279" s="1096"/>
      <c r="BD279" s="1096"/>
      <c r="BE279" s="1096"/>
      <c r="BF279" s="1096"/>
      <c r="BG279" s="1096"/>
      <c r="BH279" s="1096"/>
    </row>
    <row r="280" spans="1:60" x14ac:dyDescent="0.3">
      <c r="A280" s="1096"/>
      <c r="B280" s="1096"/>
      <c r="C280" s="1096"/>
      <c r="D280" s="1096"/>
      <c r="E280" s="1096"/>
      <c r="F280" s="1096"/>
      <c r="G280" s="1096"/>
      <c r="H280" s="1096"/>
      <c r="I280" s="1096"/>
      <c r="J280" s="1096"/>
      <c r="K280" s="1096"/>
      <c r="L280" s="1096"/>
      <c r="M280" s="1096"/>
      <c r="N280" s="1096"/>
      <c r="O280" s="1096"/>
      <c r="P280" s="1096"/>
      <c r="Q280" s="1096"/>
      <c r="R280" s="1096"/>
      <c r="S280" s="1096"/>
      <c r="T280" s="1096"/>
      <c r="U280" s="1096"/>
      <c r="V280" s="1096"/>
      <c r="W280" s="1096"/>
      <c r="X280" s="1096"/>
      <c r="Y280" s="1096"/>
      <c r="Z280" s="1096"/>
      <c r="AA280" s="1096"/>
      <c r="AB280" s="1096"/>
      <c r="AC280" s="1096"/>
      <c r="AD280" s="1096"/>
      <c r="AE280" s="1096"/>
      <c r="AF280" s="1096"/>
      <c r="AG280" s="1096"/>
      <c r="AH280" s="1096"/>
      <c r="AI280" s="1096"/>
      <c r="AJ280" s="1096"/>
      <c r="AK280" s="1096"/>
      <c r="AL280" s="1096"/>
      <c r="AM280" s="1096"/>
      <c r="AN280" s="1096"/>
      <c r="AO280" s="1096"/>
      <c r="AP280" s="1096"/>
      <c r="AQ280" s="1096"/>
      <c r="AR280" s="1096"/>
      <c r="AS280" s="1096"/>
      <c r="AT280" s="1096"/>
      <c r="AU280" s="1096"/>
      <c r="AV280" s="1096"/>
      <c r="AW280" s="1096"/>
      <c r="AX280" s="1096"/>
      <c r="AY280" s="1096"/>
      <c r="AZ280" s="1096"/>
      <c r="BA280" s="1096"/>
      <c r="BB280" s="1096"/>
      <c r="BC280" s="1096"/>
      <c r="BD280" s="1096"/>
      <c r="BE280" s="1096"/>
      <c r="BF280" s="1096"/>
      <c r="BG280" s="1096"/>
      <c r="BH280" s="1096"/>
    </row>
    <row r="281" spans="1:60" x14ac:dyDescent="0.3">
      <c r="A281" s="1096"/>
      <c r="B281" s="1096"/>
      <c r="C281" s="1096"/>
      <c r="D281" s="1096"/>
      <c r="E281" s="1096"/>
      <c r="F281" s="1096"/>
      <c r="G281" s="1096"/>
      <c r="H281" s="1096"/>
      <c r="I281" s="1096"/>
      <c r="J281" s="1096"/>
      <c r="K281" s="1096"/>
      <c r="L281" s="1096"/>
      <c r="M281" s="1096"/>
      <c r="N281" s="1096"/>
      <c r="O281" s="1096"/>
      <c r="P281" s="1096"/>
      <c r="Q281" s="1096"/>
      <c r="R281" s="1096"/>
      <c r="S281" s="1096"/>
      <c r="T281" s="1096"/>
      <c r="U281" s="1096"/>
      <c r="V281" s="1096"/>
      <c r="W281" s="1096"/>
      <c r="X281" s="1096"/>
      <c r="Y281" s="1096"/>
      <c r="Z281" s="1096"/>
      <c r="AA281" s="1096"/>
      <c r="AB281" s="1096"/>
      <c r="AC281" s="1096"/>
      <c r="AD281" s="1096"/>
      <c r="AE281" s="1096"/>
      <c r="AF281" s="1096"/>
      <c r="AG281" s="1096"/>
      <c r="AH281" s="1096"/>
      <c r="AI281" s="1096"/>
      <c r="AJ281" s="1096"/>
      <c r="AK281" s="1096"/>
      <c r="AL281" s="1096"/>
      <c r="AM281" s="1096"/>
      <c r="AN281" s="1096"/>
      <c r="AO281" s="1096"/>
      <c r="AP281" s="1096"/>
      <c r="AQ281" s="1096"/>
      <c r="AR281" s="1096"/>
      <c r="AS281" s="1096"/>
      <c r="AT281" s="1096"/>
      <c r="AU281" s="1096"/>
      <c r="AV281" s="1096"/>
      <c r="AW281" s="1096"/>
      <c r="AX281" s="1096"/>
      <c r="AY281" s="1096"/>
      <c r="AZ281" s="1096"/>
      <c r="BA281" s="1096"/>
      <c r="BB281" s="1096"/>
      <c r="BC281" s="1096"/>
      <c r="BD281" s="1096"/>
      <c r="BE281" s="1096"/>
      <c r="BF281" s="1096"/>
      <c r="BG281" s="1096"/>
      <c r="BH281" s="1096"/>
    </row>
    <row r="282" spans="1:60" x14ac:dyDescent="0.3">
      <c r="A282" s="1096"/>
      <c r="B282" s="1096"/>
      <c r="C282" s="1096"/>
      <c r="D282" s="1096"/>
      <c r="E282" s="1096"/>
      <c r="F282" s="1096"/>
      <c r="G282" s="1096"/>
      <c r="H282" s="1096"/>
      <c r="I282" s="1096"/>
      <c r="J282" s="1096"/>
      <c r="K282" s="1096"/>
      <c r="L282" s="1096"/>
      <c r="M282" s="1096"/>
      <c r="N282" s="1096"/>
      <c r="O282" s="1096"/>
      <c r="P282" s="1096"/>
      <c r="Q282" s="1096"/>
      <c r="R282" s="1096"/>
      <c r="S282" s="1096"/>
      <c r="T282" s="1096"/>
      <c r="U282" s="1096"/>
      <c r="V282" s="1096"/>
      <c r="W282" s="1096"/>
      <c r="X282" s="1096"/>
      <c r="Y282" s="1096"/>
      <c r="Z282" s="1096"/>
      <c r="AA282" s="1096"/>
      <c r="AB282" s="1096"/>
      <c r="AC282" s="1096"/>
      <c r="AD282" s="1096"/>
      <c r="AE282" s="1096"/>
      <c r="AF282" s="1096"/>
      <c r="AG282" s="1096"/>
      <c r="AH282" s="1096"/>
      <c r="AI282" s="1096"/>
      <c r="AJ282" s="1096"/>
      <c r="AK282" s="1096"/>
      <c r="AL282" s="1096"/>
      <c r="AM282" s="1096"/>
      <c r="AN282" s="1096"/>
      <c r="AO282" s="1096"/>
      <c r="AP282" s="1096"/>
      <c r="AQ282" s="1096"/>
      <c r="AR282" s="1096"/>
      <c r="AS282" s="1096"/>
      <c r="AT282" s="1096"/>
      <c r="AU282" s="1096"/>
      <c r="AV282" s="1096"/>
      <c r="AW282" s="1096"/>
      <c r="AX282" s="1096"/>
      <c r="AY282" s="1096"/>
      <c r="AZ282" s="1096"/>
      <c r="BA282" s="1096"/>
      <c r="BB282" s="1096"/>
      <c r="BC282" s="1096"/>
      <c r="BD282" s="1096"/>
      <c r="BE282" s="1096"/>
      <c r="BF282" s="1096"/>
      <c r="BG282" s="1096"/>
      <c r="BH282" s="1096"/>
    </row>
    <row r="283" spans="1:60" x14ac:dyDescent="0.3">
      <c r="A283" s="1096"/>
      <c r="B283" s="1096"/>
      <c r="C283" s="1096"/>
      <c r="D283" s="1096"/>
      <c r="E283" s="1096"/>
      <c r="F283" s="1096"/>
      <c r="G283" s="1096"/>
      <c r="H283" s="1096"/>
      <c r="I283" s="1096"/>
      <c r="J283" s="1096"/>
      <c r="K283" s="1096"/>
      <c r="L283" s="1096"/>
      <c r="M283" s="1096"/>
      <c r="N283" s="1096"/>
      <c r="O283" s="1096"/>
      <c r="P283" s="1096"/>
      <c r="Q283" s="1096"/>
      <c r="R283" s="1096"/>
      <c r="S283" s="1096"/>
      <c r="T283" s="1096"/>
      <c r="U283" s="1096"/>
      <c r="V283" s="1096"/>
      <c r="W283" s="1096"/>
      <c r="X283" s="1096"/>
      <c r="Y283" s="1096"/>
      <c r="Z283" s="1096"/>
      <c r="AA283" s="1096"/>
      <c r="AB283" s="1096"/>
      <c r="AC283" s="1096"/>
      <c r="AD283" s="1096"/>
      <c r="AE283" s="1096"/>
      <c r="AF283" s="1096"/>
      <c r="AG283" s="1096"/>
      <c r="AH283" s="1096"/>
      <c r="AI283" s="1096"/>
      <c r="AJ283" s="1096"/>
      <c r="AK283" s="1096"/>
      <c r="AL283" s="1096"/>
      <c r="AM283" s="1096"/>
      <c r="AN283" s="1096"/>
      <c r="AO283" s="1096"/>
      <c r="AP283" s="1096"/>
      <c r="AQ283" s="1096"/>
      <c r="AR283" s="1096"/>
      <c r="AS283" s="1096"/>
      <c r="AT283" s="1096"/>
      <c r="AU283" s="1096"/>
      <c r="AV283" s="1096"/>
      <c r="AW283" s="1096"/>
      <c r="AX283" s="1096"/>
      <c r="AY283" s="1096"/>
      <c r="AZ283" s="1096"/>
      <c r="BA283" s="1096"/>
      <c r="BB283" s="1096"/>
      <c r="BC283" s="1096"/>
      <c r="BD283" s="1096"/>
      <c r="BE283" s="1096"/>
      <c r="BF283" s="1096"/>
      <c r="BG283" s="1096"/>
      <c r="BH283" s="1096"/>
    </row>
    <row r="284" spans="1:60" x14ac:dyDescent="0.3">
      <c r="A284" s="1096"/>
      <c r="B284" s="1096"/>
      <c r="C284" s="1096"/>
      <c r="D284" s="1096"/>
      <c r="E284" s="1096"/>
      <c r="F284" s="1096"/>
      <c r="G284" s="1096"/>
      <c r="H284" s="1096"/>
      <c r="I284" s="1096"/>
      <c r="J284" s="1096"/>
      <c r="K284" s="1096"/>
      <c r="L284" s="1096"/>
      <c r="M284" s="1096"/>
      <c r="N284" s="1096"/>
      <c r="O284" s="1096"/>
      <c r="P284" s="1096"/>
      <c r="Q284" s="1096"/>
      <c r="R284" s="1096"/>
      <c r="S284" s="1096"/>
      <c r="T284" s="1096"/>
      <c r="U284" s="1096"/>
      <c r="V284" s="1096"/>
      <c r="W284" s="1096"/>
      <c r="X284" s="1096"/>
      <c r="Y284" s="1096"/>
      <c r="Z284" s="1096"/>
      <c r="AA284" s="1096"/>
      <c r="AB284" s="1096"/>
      <c r="AC284" s="1096"/>
      <c r="AD284" s="1096"/>
      <c r="AE284" s="1096"/>
      <c r="AF284" s="1096"/>
      <c r="AG284" s="1096"/>
      <c r="AH284" s="1096"/>
      <c r="AI284" s="1096"/>
      <c r="AJ284" s="1096"/>
      <c r="AK284" s="1096"/>
      <c r="AL284" s="1096"/>
      <c r="AM284" s="1096"/>
      <c r="AN284" s="1096"/>
      <c r="AO284" s="1096"/>
      <c r="AP284" s="1096"/>
      <c r="AQ284" s="1096"/>
      <c r="AR284" s="1096"/>
      <c r="AS284" s="1096"/>
      <c r="AT284" s="1096"/>
      <c r="AU284" s="1096"/>
      <c r="AV284" s="1096"/>
      <c r="AW284" s="1096"/>
      <c r="AX284" s="1096"/>
      <c r="AY284" s="1096"/>
      <c r="AZ284" s="1096"/>
      <c r="BA284" s="1096"/>
      <c r="BB284" s="1096"/>
      <c r="BC284" s="1096"/>
      <c r="BD284" s="1096"/>
      <c r="BE284" s="1096"/>
      <c r="BF284" s="1096"/>
      <c r="BG284" s="1096"/>
      <c r="BH284" s="1096"/>
    </row>
    <row r="285" spans="1:60" x14ac:dyDescent="0.3">
      <c r="A285" s="1096"/>
      <c r="B285" s="1096"/>
      <c r="C285" s="1096"/>
      <c r="D285" s="1096"/>
      <c r="E285" s="1096"/>
      <c r="F285" s="1096"/>
      <c r="G285" s="1096"/>
      <c r="H285" s="1096"/>
      <c r="I285" s="1096"/>
      <c r="J285" s="1096"/>
      <c r="K285" s="1096"/>
      <c r="L285" s="1096"/>
      <c r="M285" s="1096"/>
      <c r="N285" s="1096"/>
      <c r="O285" s="1096"/>
      <c r="P285" s="1096"/>
      <c r="Q285" s="1096"/>
      <c r="R285" s="1096"/>
      <c r="S285" s="1096"/>
      <c r="T285" s="1096"/>
      <c r="U285" s="1096"/>
      <c r="V285" s="1096"/>
      <c r="W285" s="1096"/>
      <c r="X285" s="1096"/>
      <c r="Y285" s="1096"/>
      <c r="Z285" s="1096"/>
      <c r="AA285" s="1096"/>
      <c r="AB285" s="1096"/>
      <c r="AC285" s="1096"/>
      <c r="AD285" s="1096"/>
      <c r="AE285" s="1096"/>
      <c r="AF285" s="1096"/>
      <c r="AG285" s="1096"/>
      <c r="AH285" s="1096"/>
      <c r="AI285" s="1096"/>
      <c r="AJ285" s="1096"/>
      <c r="AK285" s="1096"/>
      <c r="AL285" s="1096"/>
      <c r="AM285" s="1096"/>
      <c r="AN285" s="1096"/>
      <c r="AO285" s="1096"/>
      <c r="AP285" s="1096"/>
      <c r="AQ285" s="1096"/>
      <c r="AR285" s="1096"/>
      <c r="AS285" s="1096"/>
      <c r="AT285" s="1096"/>
      <c r="AU285" s="1096"/>
      <c r="AV285" s="1096"/>
      <c r="AW285" s="1096"/>
      <c r="AX285" s="1096"/>
      <c r="AY285" s="1096"/>
      <c r="AZ285" s="1096"/>
      <c r="BA285" s="1096"/>
      <c r="BB285" s="1096"/>
      <c r="BC285" s="1096"/>
      <c r="BD285" s="1096"/>
      <c r="BE285" s="1096"/>
      <c r="BF285" s="1096"/>
      <c r="BG285" s="1096"/>
      <c r="BH285" s="1096"/>
    </row>
    <row r="288" spans="1:60" x14ac:dyDescent="0.3">
      <c r="A288" s="1098"/>
      <c r="B288" s="1096"/>
      <c r="C288" s="1096"/>
      <c r="D288" s="1096"/>
      <c r="E288" s="1096"/>
      <c r="F288" s="1096"/>
      <c r="G288" s="1096"/>
      <c r="H288" s="1096"/>
      <c r="I288" s="1096"/>
      <c r="J288" s="1096"/>
      <c r="K288" s="1096"/>
      <c r="L288" s="1096"/>
      <c r="M288" s="1096"/>
      <c r="N288" s="1096"/>
      <c r="O288" s="1096"/>
      <c r="P288" s="1096"/>
      <c r="Q288" s="1096"/>
      <c r="R288" s="1096"/>
      <c r="S288" s="1096"/>
      <c r="T288" s="1096"/>
      <c r="U288" s="1096"/>
      <c r="V288" s="1096"/>
      <c r="W288" s="1096"/>
      <c r="X288" s="1096"/>
      <c r="Y288" s="1096"/>
      <c r="Z288" s="1096"/>
      <c r="AA288" s="1096"/>
      <c r="AB288" s="1096"/>
      <c r="AC288" s="1096"/>
      <c r="AD288" s="1096"/>
      <c r="AE288" s="1096"/>
      <c r="AF288" s="1096"/>
      <c r="AG288" s="1096"/>
      <c r="AH288" s="1096"/>
      <c r="AI288" s="1096"/>
      <c r="AJ288" s="1096"/>
      <c r="AK288" s="1096"/>
      <c r="AL288" s="1096"/>
      <c r="AM288" s="1096"/>
      <c r="AN288" s="1096"/>
      <c r="AO288" s="1096"/>
      <c r="AP288" s="1096"/>
      <c r="AQ288" s="1096"/>
      <c r="AR288" s="1096"/>
      <c r="AS288" s="1096"/>
      <c r="AT288" s="1096"/>
      <c r="AU288" s="1096"/>
      <c r="AV288" s="1096"/>
      <c r="AW288" s="1096"/>
      <c r="AX288" s="1096"/>
      <c r="AY288" s="1096"/>
      <c r="AZ288" s="1096"/>
      <c r="BA288" s="1096"/>
      <c r="BB288" s="1096"/>
      <c r="BC288" s="1096"/>
      <c r="BD288" s="1096"/>
      <c r="BE288" s="1096"/>
      <c r="BF288" s="1096"/>
      <c r="BG288" s="1096"/>
      <c r="BH288" s="1096"/>
    </row>
    <row r="289" spans="1:1" x14ac:dyDescent="0.3">
      <c r="A289" s="1098"/>
    </row>
    <row r="290" spans="1:1" x14ac:dyDescent="0.3">
      <c r="A290" s="1098"/>
    </row>
    <row r="291" spans="1:1" x14ac:dyDescent="0.3">
      <c r="A291" s="1098"/>
    </row>
    <row r="292" spans="1:1" x14ac:dyDescent="0.3">
      <c r="A292" s="1098"/>
    </row>
    <row r="293" spans="1:1" x14ac:dyDescent="0.3">
      <c r="A293" s="1098"/>
    </row>
    <row r="294" spans="1:1" x14ac:dyDescent="0.3">
      <c r="A294" s="1098"/>
    </row>
    <row r="295" spans="1:1" x14ac:dyDescent="0.3">
      <c r="A295" s="1098"/>
    </row>
    <row r="296" spans="1:1" x14ac:dyDescent="0.3">
      <c r="A296" s="1098"/>
    </row>
    <row r="297" spans="1:1" x14ac:dyDescent="0.3">
      <c r="A297" s="1098"/>
    </row>
    <row r="298" spans="1:1" x14ac:dyDescent="0.3">
      <c r="A298" s="1098"/>
    </row>
    <row r="299" spans="1:1" x14ac:dyDescent="0.3">
      <c r="A299" s="1098"/>
    </row>
    <row r="300" spans="1:1" x14ac:dyDescent="0.3">
      <c r="A300" s="1098"/>
    </row>
    <row r="301" spans="1:1" x14ac:dyDescent="0.3">
      <c r="A301" s="1098"/>
    </row>
    <row r="302" spans="1:1" x14ac:dyDescent="0.3">
      <c r="A302" s="1098"/>
    </row>
    <row r="303" spans="1:1" x14ac:dyDescent="0.3">
      <c r="A303" s="1098"/>
    </row>
    <row r="304" spans="1:1" x14ac:dyDescent="0.3">
      <c r="A304" s="1098"/>
    </row>
    <row r="305" spans="1:1" x14ac:dyDescent="0.3">
      <c r="A305" s="1098"/>
    </row>
    <row r="306" spans="1:1" x14ac:dyDescent="0.3">
      <c r="A306" s="1098"/>
    </row>
    <row r="307" spans="1:1" x14ac:dyDescent="0.3">
      <c r="A307" s="1098"/>
    </row>
    <row r="308" spans="1:1" x14ac:dyDescent="0.3">
      <c r="A308" s="1098"/>
    </row>
    <row r="309" spans="1:1" x14ac:dyDescent="0.3">
      <c r="A309" s="1098"/>
    </row>
    <row r="310" spans="1:1" x14ac:dyDescent="0.3">
      <c r="A310" s="1098"/>
    </row>
    <row r="311" spans="1:1" x14ac:dyDescent="0.3">
      <c r="A311" s="1098"/>
    </row>
    <row r="312" spans="1:1" x14ac:dyDescent="0.3">
      <c r="A312" s="1098"/>
    </row>
    <row r="313" spans="1:1" x14ac:dyDescent="0.3">
      <c r="A313" s="1098"/>
    </row>
    <row r="314" spans="1:1" x14ac:dyDescent="0.3">
      <c r="A314" s="1098"/>
    </row>
    <row r="315" spans="1:1" x14ac:dyDescent="0.3">
      <c r="A315" s="1098"/>
    </row>
    <row r="316" spans="1:1" x14ac:dyDescent="0.3">
      <c r="A316" s="1098"/>
    </row>
    <row r="317" spans="1:1" x14ac:dyDescent="0.3">
      <c r="A317" s="1098"/>
    </row>
    <row r="318" spans="1:1" x14ac:dyDescent="0.3">
      <c r="A318" s="1098"/>
    </row>
    <row r="319" spans="1:1" x14ac:dyDescent="0.3">
      <c r="A319" s="1098"/>
    </row>
    <row r="320" spans="1:1" x14ac:dyDescent="0.3">
      <c r="A320" s="1098"/>
    </row>
    <row r="321" spans="1:1" x14ac:dyDescent="0.3">
      <c r="A321" s="1098"/>
    </row>
    <row r="322" spans="1:1" x14ac:dyDescent="0.3">
      <c r="A322" s="1098"/>
    </row>
    <row r="323" spans="1:1" x14ac:dyDescent="0.3">
      <c r="A323" s="1098"/>
    </row>
    <row r="324" spans="1:1" x14ac:dyDescent="0.3">
      <c r="A324" s="1098"/>
    </row>
    <row r="325" spans="1:1" x14ac:dyDescent="0.3">
      <c r="A325" s="1098"/>
    </row>
    <row r="326" spans="1:1" x14ac:dyDescent="0.3">
      <c r="A326" s="1098"/>
    </row>
    <row r="327" spans="1:1" x14ac:dyDescent="0.3">
      <c r="A327" s="1098"/>
    </row>
    <row r="328" spans="1:1" x14ac:dyDescent="0.3">
      <c r="A328" s="1098"/>
    </row>
    <row r="329" spans="1:1" x14ac:dyDescent="0.3">
      <c r="A329" s="1098"/>
    </row>
    <row r="330" spans="1:1" x14ac:dyDescent="0.3">
      <c r="A330" s="1098"/>
    </row>
    <row r="331" spans="1:1" x14ac:dyDescent="0.3">
      <c r="A331" s="1098"/>
    </row>
    <row r="332" spans="1:1" x14ac:dyDescent="0.3">
      <c r="A332" s="1098"/>
    </row>
    <row r="333" spans="1:1" x14ac:dyDescent="0.3">
      <c r="A333" s="1098"/>
    </row>
    <row r="334" spans="1:1" x14ac:dyDescent="0.3">
      <c r="A334" s="1098"/>
    </row>
    <row r="335" spans="1:1" x14ac:dyDescent="0.3">
      <c r="A335" s="1098"/>
    </row>
    <row r="336" spans="1:1" x14ac:dyDescent="0.3">
      <c r="A336" s="1098"/>
    </row>
    <row r="337" spans="1:1" x14ac:dyDescent="0.3">
      <c r="A337" s="1098"/>
    </row>
    <row r="338" spans="1:1" x14ac:dyDescent="0.3">
      <c r="A338" s="1098"/>
    </row>
    <row r="339" spans="1:1" x14ac:dyDescent="0.3">
      <c r="A339" s="1098"/>
    </row>
    <row r="340" spans="1:1" x14ac:dyDescent="0.3">
      <c r="A340" s="1098"/>
    </row>
    <row r="341" spans="1:1" x14ac:dyDescent="0.3">
      <c r="A341" s="1098"/>
    </row>
    <row r="342" spans="1:1" x14ac:dyDescent="0.3">
      <c r="A342" s="1098"/>
    </row>
    <row r="343" spans="1:1" x14ac:dyDescent="0.3">
      <c r="A343" s="1098"/>
    </row>
    <row r="344" spans="1:1" x14ac:dyDescent="0.3">
      <c r="A344" s="1098"/>
    </row>
    <row r="345" spans="1:1" x14ac:dyDescent="0.3">
      <c r="A345" s="1098"/>
    </row>
    <row r="346" spans="1:1" x14ac:dyDescent="0.3">
      <c r="A346" s="1098"/>
    </row>
    <row r="347" spans="1:1" x14ac:dyDescent="0.3">
      <c r="A347" s="1098"/>
    </row>
    <row r="348" spans="1:1" x14ac:dyDescent="0.3">
      <c r="A348" s="1098"/>
    </row>
    <row r="349" spans="1:1" x14ac:dyDescent="0.3">
      <c r="A349" s="1098"/>
    </row>
    <row r="350" spans="1:1" x14ac:dyDescent="0.3">
      <c r="A350" s="1098"/>
    </row>
    <row r="351" spans="1:1" x14ac:dyDescent="0.3">
      <c r="A351" s="1098"/>
    </row>
    <row r="352" spans="1:1" x14ac:dyDescent="0.3">
      <c r="A352" s="1098"/>
    </row>
    <row r="353" spans="1:1" x14ac:dyDescent="0.3">
      <c r="A353" s="1098"/>
    </row>
    <row r="354" spans="1:1" x14ac:dyDescent="0.3">
      <c r="A354" s="1098"/>
    </row>
    <row r="355" spans="1:1" x14ac:dyDescent="0.3">
      <c r="A355" s="1098"/>
    </row>
    <row r="356" spans="1:1" x14ac:dyDescent="0.3">
      <c r="A356" s="1098"/>
    </row>
    <row r="357" spans="1:1" x14ac:dyDescent="0.3">
      <c r="A357" s="1098"/>
    </row>
    <row r="358" spans="1:1" x14ac:dyDescent="0.3">
      <c r="A358" s="1098"/>
    </row>
    <row r="359" spans="1:1" x14ac:dyDescent="0.3">
      <c r="A359" s="1098"/>
    </row>
    <row r="360" spans="1:1" x14ac:dyDescent="0.3">
      <c r="A360" s="1098"/>
    </row>
    <row r="361" spans="1:1" x14ac:dyDescent="0.3">
      <c r="A361" s="1098"/>
    </row>
    <row r="362" spans="1:1" x14ac:dyDescent="0.3">
      <c r="A362" s="1098"/>
    </row>
    <row r="363" spans="1:1" x14ac:dyDescent="0.3">
      <c r="A363" s="1098"/>
    </row>
    <row r="364" spans="1:1" x14ac:dyDescent="0.3">
      <c r="A364" s="1098"/>
    </row>
    <row r="365" spans="1:1" x14ac:dyDescent="0.3">
      <c r="A365" s="1098"/>
    </row>
    <row r="366" spans="1:1" x14ac:dyDescent="0.3">
      <c r="A366" s="1098"/>
    </row>
    <row r="367" spans="1:1" x14ac:dyDescent="0.3">
      <c r="A367" s="1098"/>
    </row>
    <row r="368" spans="1:1" x14ac:dyDescent="0.3">
      <c r="A368" s="1098"/>
    </row>
    <row r="369" spans="1:1" x14ac:dyDescent="0.3">
      <c r="A369" s="1098"/>
    </row>
    <row r="370" spans="1:1" x14ac:dyDescent="0.3">
      <c r="A370" s="1098"/>
    </row>
    <row r="371" spans="1:1" x14ac:dyDescent="0.3">
      <c r="A371" s="1098"/>
    </row>
    <row r="372" spans="1:1" x14ac:dyDescent="0.3">
      <c r="A372" s="1098"/>
    </row>
    <row r="373" spans="1:1" x14ac:dyDescent="0.3">
      <c r="A373" s="1098"/>
    </row>
    <row r="374" spans="1:1" x14ac:dyDescent="0.3">
      <c r="A374" s="1098"/>
    </row>
    <row r="375" spans="1:1" x14ac:dyDescent="0.3">
      <c r="A375" s="1098"/>
    </row>
    <row r="376" spans="1:1" x14ac:dyDescent="0.3">
      <c r="A376" s="1098"/>
    </row>
    <row r="377" spans="1:1" x14ac:dyDescent="0.3">
      <c r="A377" s="1098"/>
    </row>
    <row r="378" spans="1:1" x14ac:dyDescent="0.3">
      <c r="A378" s="1098"/>
    </row>
    <row r="379" spans="1:1" x14ac:dyDescent="0.3">
      <c r="A379" s="1098"/>
    </row>
    <row r="380" spans="1:1" x14ac:dyDescent="0.3">
      <c r="A380" s="1098"/>
    </row>
    <row r="381" spans="1:1" x14ac:dyDescent="0.3">
      <c r="A381" s="1098"/>
    </row>
    <row r="382" spans="1:1" x14ac:dyDescent="0.3">
      <c r="A382" s="1098"/>
    </row>
    <row r="383" spans="1:1" x14ac:dyDescent="0.3">
      <c r="A383" s="1098"/>
    </row>
    <row r="384" spans="1:1" x14ac:dyDescent="0.3">
      <c r="A384" s="1098"/>
    </row>
    <row r="385" spans="1:1" x14ac:dyDescent="0.3">
      <c r="A385" s="1098"/>
    </row>
    <row r="386" spans="1:1" x14ac:dyDescent="0.3">
      <c r="A386" s="1098"/>
    </row>
    <row r="387" spans="1:1" x14ac:dyDescent="0.3">
      <c r="A387" s="1098"/>
    </row>
    <row r="388" spans="1:1" x14ac:dyDescent="0.3">
      <c r="A388" s="1098"/>
    </row>
    <row r="389" spans="1:1" x14ac:dyDescent="0.3">
      <c r="A389" s="1098"/>
    </row>
    <row r="390" spans="1:1" x14ac:dyDescent="0.3">
      <c r="A390" s="1098"/>
    </row>
    <row r="391" spans="1:1" x14ac:dyDescent="0.3">
      <c r="A391" s="1098"/>
    </row>
    <row r="392" spans="1:1" x14ac:dyDescent="0.3">
      <c r="A392" s="1098"/>
    </row>
    <row r="393" spans="1:1" x14ac:dyDescent="0.3">
      <c r="A393" s="1098"/>
    </row>
    <row r="394" spans="1:1" x14ac:dyDescent="0.3">
      <c r="A394" s="1098"/>
    </row>
    <row r="395" spans="1:1" x14ac:dyDescent="0.3">
      <c r="A395" s="1098"/>
    </row>
    <row r="396" spans="1:1" x14ac:dyDescent="0.3">
      <c r="A396" s="1098"/>
    </row>
    <row r="397" spans="1:1" x14ac:dyDescent="0.3">
      <c r="A397" s="1098"/>
    </row>
    <row r="398" spans="1:1" x14ac:dyDescent="0.3">
      <c r="A398" s="1098"/>
    </row>
    <row r="399" spans="1:1" x14ac:dyDescent="0.3">
      <c r="A399" s="1098"/>
    </row>
    <row r="400" spans="1:1" x14ac:dyDescent="0.3">
      <c r="A400" s="1098"/>
    </row>
    <row r="401" spans="1:1" x14ac:dyDescent="0.3">
      <c r="A401" s="1098"/>
    </row>
    <row r="402" spans="1:1" x14ac:dyDescent="0.3">
      <c r="A402" s="1098"/>
    </row>
    <row r="403" spans="1:1" x14ac:dyDescent="0.3">
      <c r="A403" s="1098"/>
    </row>
    <row r="404" spans="1:1" x14ac:dyDescent="0.3">
      <c r="A404" s="1098"/>
    </row>
    <row r="405" spans="1:1" x14ac:dyDescent="0.3">
      <c r="A405" s="1098"/>
    </row>
    <row r="406" spans="1:1" x14ac:dyDescent="0.3">
      <c r="A406" s="1098"/>
    </row>
    <row r="407" spans="1:1" x14ac:dyDescent="0.3">
      <c r="A407" s="1098"/>
    </row>
    <row r="408" spans="1:1" x14ac:dyDescent="0.3">
      <c r="A408" s="1098"/>
    </row>
    <row r="409" spans="1:1" x14ac:dyDescent="0.3">
      <c r="A409" s="1098"/>
    </row>
    <row r="410" spans="1:1" x14ac:dyDescent="0.3">
      <c r="A410" s="1098"/>
    </row>
    <row r="411" spans="1:1" x14ac:dyDescent="0.3">
      <c r="A411" s="1098"/>
    </row>
    <row r="412" spans="1:1" x14ac:dyDescent="0.3">
      <c r="A412" s="1098"/>
    </row>
    <row r="413" spans="1:1" x14ac:dyDescent="0.3">
      <c r="A413" s="1098"/>
    </row>
    <row r="414" spans="1:1" x14ac:dyDescent="0.3">
      <c r="A414" s="1096"/>
    </row>
    <row r="415" spans="1:1" x14ac:dyDescent="0.3">
      <c r="A415" s="1096"/>
    </row>
    <row r="416" spans="1:1" x14ac:dyDescent="0.3">
      <c r="A416" s="1101"/>
    </row>
    <row r="417" spans="1:1" x14ac:dyDescent="0.3">
      <c r="A417" s="1101"/>
    </row>
    <row r="418" spans="1:1" x14ac:dyDescent="0.3">
      <c r="A418" s="1101"/>
    </row>
    <row r="419" spans="1:1" x14ac:dyDescent="0.3">
      <c r="A419" s="1101"/>
    </row>
    <row r="420" spans="1:1" x14ac:dyDescent="0.3">
      <c r="A420" s="1101"/>
    </row>
    <row r="421" spans="1:1" x14ac:dyDescent="0.3">
      <c r="A421" s="1101"/>
    </row>
    <row r="422" spans="1:1" x14ac:dyDescent="0.3">
      <c r="A422" s="1101"/>
    </row>
    <row r="423" spans="1:1" x14ac:dyDescent="0.3">
      <c r="A423" s="1101"/>
    </row>
    <row r="424" spans="1:1" x14ac:dyDescent="0.3">
      <c r="A424" s="1101"/>
    </row>
    <row r="425" spans="1:1" x14ac:dyDescent="0.3">
      <c r="A425" s="1101"/>
    </row>
    <row r="426" spans="1:1" x14ac:dyDescent="0.3">
      <c r="A426" s="1101"/>
    </row>
    <row r="427" spans="1:1" x14ac:dyDescent="0.3">
      <c r="A427" s="1101"/>
    </row>
    <row r="428" spans="1:1" x14ac:dyDescent="0.3">
      <c r="A428" s="1101"/>
    </row>
    <row r="429" spans="1:1" x14ac:dyDescent="0.3">
      <c r="A429" s="1101"/>
    </row>
    <row r="430" spans="1:1" x14ac:dyDescent="0.3">
      <c r="A430" s="1101"/>
    </row>
    <row r="431" spans="1:1" x14ac:dyDescent="0.3">
      <c r="A431" s="1101"/>
    </row>
    <row r="432" spans="1:1" x14ac:dyDescent="0.3">
      <c r="A432" s="1101"/>
    </row>
    <row r="433" spans="1:1" x14ac:dyDescent="0.3">
      <c r="A433" s="1101"/>
    </row>
    <row r="434" spans="1:1" x14ac:dyDescent="0.3">
      <c r="A434" s="1096"/>
    </row>
    <row r="435" spans="1:1" x14ac:dyDescent="0.3">
      <c r="A435" s="1096"/>
    </row>
    <row r="436" spans="1:1" x14ac:dyDescent="0.3">
      <c r="A436" s="1096"/>
    </row>
    <row r="437" spans="1:1" x14ac:dyDescent="0.3">
      <c r="A437" s="1096"/>
    </row>
    <row r="438" spans="1:1" x14ac:dyDescent="0.3">
      <c r="A438" s="1096"/>
    </row>
    <row r="439" spans="1:1" x14ac:dyDescent="0.3">
      <c r="A439" s="1096"/>
    </row>
    <row r="440" spans="1:1" x14ac:dyDescent="0.3">
      <c r="A440" s="1096"/>
    </row>
    <row r="441" spans="1:1" x14ac:dyDescent="0.3">
      <c r="A441" s="1096"/>
    </row>
    <row r="442" spans="1:1" x14ac:dyDescent="0.3">
      <c r="A442" s="1096"/>
    </row>
    <row r="443" spans="1:1" x14ac:dyDescent="0.3">
      <c r="A443" s="1096"/>
    </row>
    <row r="444" spans="1:1" x14ac:dyDescent="0.3">
      <c r="A444" s="1096"/>
    </row>
    <row r="445" spans="1:1" x14ac:dyDescent="0.3">
      <c r="A445" s="1096"/>
    </row>
    <row r="446" spans="1:1" x14ac:dyDescent="0.3">
      <c r="A446" s="1096"/>
    </row>
    <row r="447" spans="1:1" x14ac:dyDescent="0.3">
      <c r="A447" s="1096"/>
    </row>
    <row r="448" spans="1:1" x14ac:dyDescent="0.3">
      <c r="A448" s="1096"/>
    </row>
    <row r="449" spans="1:1" x14ac:dyDescent="0.3">
      <c r="A449" s="1096"/>
    </row>
    <row r="450" spans="1:1" x14ac:dyDescent="0.3">
      <c r="A450" s="1096"/>
    </row>
    <row r="451" spans="1:1" x14ac:dyDescent="0.3">
      <c r="A451" s="1096"/>
    </row>
    <row r="452" spans="1:1" x14ac:dyDescent="0.3">
      <c r="A452" s="1096"/>
    </row>
    <row r="453" spans="1:1" x14ac:dyDescent="0.3">
      <c r="A453" s="1096"/>
    </row>
    <row r="454" spans="1:1" x14ac:dyDescent="0.3">
      <c r="A454" s="1096"/>
    </row>
    <row r="455" spans="1:1" x14ac:dyDescent="0.3">
      <c r="A455" s="1096"/>
    </row>
    <row r="456" spans="1:1" x14ac:dyDescent="0.3">
      <c r="A456" s="1096"/>
    </row>
    <row r="457" spans="1:1" x14ac:dyDescent="0.3">
      <c r="A457" s="1096"/>
    </row>
    <row r="458" spans="1:1" x14ac:dyDescent="0.3">
      <c r="A458" s="1096"/>
    </row>
    <row r="459" spans="1:1" x14ac:dyDescent="0.3">
      <c r="A459" s="1096"/>
    </row>
    <row r="460" spans="1:1" x14ac:dyDescent="0.3">
      <c r="A460" s="1098"/>
    </row>
    <row r="461" spans="1:1" x14ac:dyDescent="0.3">
      <c r="A461" s="1098"/>
    </row>
    <row r="462" spans="1:1" x14ac:dyDescent="0.3">
      <c r="A462" s="1096"/>
    </row>
    <row r="463" spans="1:1" x14ac:dyDescent="0.3">
      <c r="A463" s="1096"/>
    </row>
    <row r="464" spans="1:1" x14ac:dyDescent="0.3">
      <c r="A464" s="1096"/>
    </row>
    <row r="465" spans="1:1" x14ac:dyDescent="0.3">
      <c r="A465" s="1096"/>
    </row>
    <row r="466" spans="1:1" x14ac:dyDescent="0.3">
      <c r="A466" s="1096"/>
    </row>
    <row r="467" spans="1:1" x14ac:dyDescent="0.3">
      <c r="A467" s="1098"/>
    </row>
    <row r="468" spans="1:1" x14ac:dyDescent="0.3">
      <c r="A468" s="1098"/>
    </row>
    <row r="469" spans="1:1" x14ac:dyDescent="0.3">
      <c r="A469" s="1098"/>
    </row>
    <row r="470" spans="1:1" x14ac:dyDescent="0.3">
      <c r="A470" s="1098"/>
    </row>
    <row r="471" spans="1:1" x14ac:dyDescent="0.3">
      <c r="A471" s="1098"/>
    </row>
    <row r="472" spans="1:1" x14ac:dyDescent="0.3">
      <c r="A472" s="1098"/>
    </row>
    <row r="473" spans="1:1" x14ac:dyDescent="0.3">
      <c r="A473" s="1098"/>
    </row>
    <row r="474" spans="1:1" x14ac:dyDescent="0.3">
      <c r="A474" s="1098"/>
    </row>
    <row r="475" spans="1:1" x14ac:dyDescent="0.3">
      <c r="A475" s="1098"/>
    </row>
    <row r="476" spans="1:1" x14ac:dyDescent="0.3">
      <c r="A476" s="1098"/>
    </row>
    <row r="477" spans="1:1" x14ac:dyDescent="0.3">
      <c r="A477" s="1098"/>
    </row>
    <row r="478" spans="1:1" x14ac:dyDescent="0.3">
      <c r="A478" s="1098"/>
    </row>
    <row r="479" spans="1:1" x14ac:dyDescent="0.3">
      <c r="A479" s="1098"/>
    </row>
    <row r="480" spans="1:1" x14ac:dyDescent="0.3">
      <c r="A480" s="1098"/>
    </row>
    <row r="481" spans="1:1" x14ac:dyDescent="0.3">
      <c r="A481" s="1098"/>
    </row>
    <row r="482" spans="1:1" x14ac:dyDescent="0.3">
      <c r="A482" s="1098"/>
    </row>
    <row r="483" spans="1:1" x14ac:dyDescent="0.3">
      <c r="A483" s="1098"/>
    </row>
    <row r="484" spans="1:1" x14ac:dyDescent="0.3">
      <c r="A484" s="1098"/>
    </row>
    <row r="485" spans="1:1" x14ac:dyDescent="0.3">
      <c r="A485" s="1098"/>
    </row>
    <row r="486" spans="1:1" x14ac:dyDescent="0.3">
      <c r="A486" s="1098"/>
    </row>
    <row r="487" spans="1:1" x14ac:dyDescent="0.3">
      <c r="A487" s="1098"/>
    </row>
    <row r="488" spans="1:1" x14ac:dyDescent="0.3">
      <c r="A488" s="1098"/>
    </row>
    <row r="489" spans="1:1" x14ac:dyDescent="0.3">
      <c r="A489" s="1098"/>
    </row>
    <row r="490" spans="1:1" x14ac:dyDescent="0.3">
      <c r="A490" s="1098"/>
    </row>
    <row r="491" spans="1:1" x14ac:dyDescent="0.3">
      <c r="A491" s="1098"/>
    </row>
    <row r="492" spans="1:1" x14ac:dyDescent="0.3">
      <c r="A492" s="1098"/>
    </row>
    <row r="493" spans="1:1" x14ac:dyDescent="0.3">
      <c r="A493" s="1098"/>
    </row>
    <row r="494" spans="1:1" x14ac:dyDescent="0.3">
      <c r="A494" s="1098"/>
    </row>
    <row r="495" spans="1:1" x14ac:dyDescent="0.3">
      <c r="A495" s="1098"/>
    </row>
    <row r="496" spans="1:1" x14ac:dyDescent="0.3">
      <c r="A496" s="1098"/>
    </row>
    <row r="497" spans="1:1" x14ac:dyDescent="0.3">
      <c r="A497" s="1098"/>
    </row>
    <row r="498" spans="1:1" x14ac:dyDescent="0.3">
      <c r="A498" s="1098"/>
    </row>
    <row r="499" spans="1:1" x14ac:dyDescent="0.3">
      <c r="A499" s="1098"/>
    </row>
    <row r="500" spans="1:1" x14ac:dyDescent="0.3">
      <c r="A500" s="1098"/>
    </row>
    <row r="501" spans="1:1" x14ac:dyDescent="0.3">
      <c r="A501" s="1096"/>
    </row>
    <row r="502" spans="1:1" x14ac:dyDescent="0.3">
      <c r="A502" s="1098"/>
    </row>
    <row r="503" spans="1:1" x14ac:dyDescent="0.3">
      <c r="A503" s="1098"/>
    </row>
    <row r="504" spans="1:1" x14ac:dyDescent="0.3">
      <c r="A504" s="1096"/>
    </row>
    <row r="505" spans="1:1" x14ac:dyDescent="0.3">
      <c r="A505" s="1098"/>
    </row>
    <row r="506" spans="1:1" x14ac:dyDescent="0.3">
      <c r="A506" s="1098"/>
    </row>
    <row r="507" spans="1:1" x14ac:dyDescent="0.3">
      <c r="A507" s="1096"/>
    </row>
    <row r="508" spans="1:1" x14ac:dyDescent="0.3">
      <c r="A508" s="1098"/>
    </row>
    <row r="509" spans="1:1" x14ac:dyDescent="0.3">
      <c r="A509" s="1096"/>
    </row>
    <row r="510" spans="1:1" x14ac:dyDescent="0.3">
      <c r="A510" s="1096"/>
    </row>
    <row r="511" spans="1:1" x14ac:dyDescent="0.3">
      <c r="A511" s="1096"/>
    </row>
    <row r="512" spans="1:1" x14ac:dyDescent="0.3">
      <c r="A512" s="1096"/>
    </row>
    <row r="513" spans="1:1" x14ac:dyDescent="0.3">
      <c r="A513" s="1096"/>
    </row>
    <row r="514" spans="1:1" x14ac:dyDescent="0.3">
      <c r="A514" s="1096"/>
    </row>
    <row r="515" spans="1:1" x14ac:dyDescent="0.3">
      <c r="A515" s="1096"/>
    </row>
    <row r="516" spans="1:1" x14ac:dyDescent="0.3">
      <c r="A516" s="1096"/>
    </row>
    <row r="517" spans="1:1" x14ac:dyDescent="0.3">
      <c r="A517" s="1096"/>
    </row>
    <row r="518" spans="1:1" x14ac:dyDescent="0.3">
      <c r="A518" s="1098"/>
    </row>
    <row r="519" spans="1:1" x14ac:dyDescent="0.3">
      <c r="A519" s="1098"/>
    </row>
    <row r="520" spans="1:1" x14ac:dyDescent="0.3">
      <c r="A520" s="1098"/>
    </row>
    <row r="521" spans="1:1" x14ac:dyDescent="0.3">
      <c r="A521" s="1098"/>
    </row>
    <row r="522" spans="1:1" x14ac:dyDescent="0.3">
      <c r="A522" s="1098"/>
    </row>
    <row r="523" spans="1:1" x14ac:dyDescent="0.3">
      <c r="A523" s="1098"/>
    </row>
    <row r="524" spans="1:1" x14ac:dyDescent="0.3">
      <c r="A524" s="1098"/>
    </row>
    <row r="525" spans="1:1" x14ac:dyDescent="0.3">
      <c r="A525" s="1098"/>
    </row>
    <row r="526" spans="1:1" x14ac:dyDescent="0.3">
      <c r="A526" s="1098"/>
    </row>
    <row r="527" spans="1:1" x14ac:dyDescent="0.3">
      <c r="A527" s="1098"/>
    </row>
    <row r="528" spans="1:1" x14ac:dyDescent="0.3">
      <c r="A528" s="1098"/>
    </row>
    <row r="529" spans="1:1" x14ac:dyDescent="0.3">
      <c r="A529" s="1098"/>
    </row>
    <row r="530" spans="1:1" x14ac:dyDescent="0.3">
      <c r="A530" s="1098"/>
    </row>
    <row r="531" spans="1:1" x14ac:dyDescent="0.3">
      <c r="A531" s="1098"/>
    </row>
    <row r="532" spans="1:1" x14ac:dyDescent="0.3">
      <c r="A532" s="1098"/>
    </row>
    <row r="533" spans="1:1" x14ac:dyDescent="0.3">
      <c r="A533" s="1098"/>
    </row>
    <row r="534" spans="1:1" x14ac:dyDescent="0.3">
      <c r="A534" s="1098"/>
    </row>
    <row r="535" spans="1:1" x14ac:dyDescent="0.3">
      <c r="A535" s="1098"/>
    </row>
    <row r="536" spans="1:1" x14ac:dyDescent="0.3">
      <c r="A536" s="1098"/>
    </row>
    <row r="537" spans="1:1" x14ac:dyDescent="0.3">
      <c r="A537" s="1096"/>
    </row>
    <row r="538" spans="1:1" x14ac:dyDescent="0.3">
      <c r="A538" s="1096"/>
    </row>
    <row r="539" spans="1:1" x14ac:dyDescent="0.3">
      <c r="A539" s="1098"/>
    </row>
    <row r="540" spans="1:1" x14ac:dyDescent="0.3">
      <c r="A540" s="1098"/>
    </row>
    <row r="541" spans="1:1" x14ac:dyDescent="0.3">
      <c r="A541" s="1096"/>
    </row>
    <row r="542" spans="1:1" x14ac:dyDescent="0.3">
      <c r="A542" s="1096"/>
    </row>
    <row r="543" spans="1:1" x14ac:dyDescent="0.3">
      <c r="A543" s="1096"/>
    </row>
    <row r="544" spans="1:1" x14ac:dyDescent="0.3">
      <c r="A544" s="1096"/>
    </row>
    <row r="545" spans="1:1" x14ac:dyDescent="0.3">
      <c r="A545" s="1098"/>
    </row>
    <row r="546" spans="1:1" x14ac:dyDescent="0.3">
      <c r="A546" s="1098"/>
    </row>
    <row r="547" spans="1:1" x14ac:dyDescent="0.3">
      <c r="A547" s="1098"/>
    </row>
    <row r="548" spans="1:1" x14ac:dyDescent="0.3">
      <c r="A548" s="1098"/>
    </row>
    <row r="549" spans="1:1" x14ac:dyDescent="0.3">
      <c r="A549" s="1098"/>
    </row>
    <row r="550" spans="1:1" x14ac:dyDescent="0.3">
      <c r="A550" s="1098"/>
    </row>
    <row r="551" spans="1:1" x14ac:dyDescent="0.3">
      <c r="A551" s="1098"/>
    </row>
    <row r="552" spans="1:1" x14ac:dyDescent="0.3">
      <c r="A552" s="1096"/>
    </row>
    <row r="553" spans="1:1" x14ac:dyDescent="0.3">
      <c r="A553" s="1098"/>
    </row>
    <row r="554" spans="1:1" x14ac:dyDescent="0.3">
      <c r="A554" s="1098"/>
    </row>
    <row r="555" spans="1:1" x14ac:dyDescent="0.3">
      <c r="A555" s="1098"/>
    </row>
    <row r="556" spans="1:1" x14ac:dyDescent="0.3">
      <c r="A556" s="1098"/>
    </row>
    <row r="557" spans="1:1" x14ac:dyDescent="0.3">
      <c r="A557" s="1098"/>
    </row>
    <row r="558" spans="1:1" x14ac:dyDescent="0.3">
      <c r="A558" s="1098"/>
    </row>
    <row r="559" spans="1:1" x14ac:dyDescent="0.3">
      <c r="A559" s="1096"/>
    </row>
    <row r="560" spans="1:1" x14ac:dyDescent="0.3">
      <c r="A560" s="1096"/>
    </row>
    <row r="561" spans="1:1" x14ac:dyDescent="0.3">
      <c r="A561" s="1096"/>
    </row>
    <row r="562" spans="1:1" x14ac:dyDescent="0.3">
      <c r="A562" s="1096"/>
    </row>
    <row r="563" spans="1:1" x14ac:dyDescent="0.3">
      <c r="A563" s="1098"/>
    </row>
    <row r="564" spans="1:1" x14ac:dyDescent="0.3">
      <c r="A564" s="1096"/>
    </row>
    <row r="565" spans="1:1" x14ac:dyDescent="0.3">
      <c r="A565" s="1096"/>
    </row>
    <row r="566" spans="1:1" x14ac:dyDescent="0.3">
      <c r="A566" s="1096"/>
    </row>
    <row r="567" spans="1:1" x14ac:dyDescent="0.3">
      <c r="A567" s="1096"/>
    </row>
    <row r="568" spans="1:1" x14ac:dyDescent="0.3">
      <c r="A568" s="1096"/>
    </row>
    <row r="569" spans="1:1" x14ac:dyDescent="0.3">
      <c r="A569" s="1096"/>
    </row>
    <row r="570" spans="1:1" x14ac:dyDescent="0.3">
      <c r="A570" s="1096"/>
    </row>
    <row r="571" spans="1:1" x14ac:dyDescent="0.3">
      <c r="A571" s="1096"/>
    </row>
    <row r="572" spans="1:1" x14ac:dyDescent="0.3">
      <c r="A572" s="1096"/>
    </row>
    <row r="573" spans="1:1" x14ac:dyDescent="0.3">
      <c r="A573" s="1096"/>
    </row>
    <row r="574" spans="1:1" x14ac:dyDescent="0.3">
      <c r="A574" s="1096"/>
    </row>
    <row r="575" spans="1:1" x14ac:dyDescent="0.3">
      <c r="A575" s="1096"/>
    </row>
    <row r="576" spans="1:1" x14ac:dyDescent="0.3">
      <c r="A576" s="1096"/>
    </row>
    <row r="577" spans="1:1" x14ac:dyDescent="0.3">
      <c r="A577" s="1096"/>
    </row>
    <row r="578" spans="1:1" x14ac:dyDescent="0.3">
      <c r="A578" s="1096"/>
    </row>
    <row r="579" spans="1:1" x14ac:dyDescent="0.3">
      <c r="A579" s="1098"/>
    </row>
    <row r="580" spans="1:1" x14ac:dyDescent="0.3">
      <c r="A580" s="1098"/>
    </row>
    <row r="581" spans="1:1" x14ac:dyDescent="0.3">
      <c r="A581" s="1098"/>
    </row>
    <row r="582" spans="1:1" x14ac:dyDescent="0.3">
      <c r="A582" s="1098"/>
    </row>
    <row r="583" spans="1:1" x14ac:dyDescent="0.3">
      <c r="A583" s="1098"/>
    </row>
    <row r="584" spans="1:1" x14ac:dyDescent="0.3">
      <c r="A584" s="1098"/>
    </row>
    <row r="585" spans="1:1" x14ac:dyDescent="0.3">
      <c r="A585" s="1096"/>
    </row>
    <row r="586" spans="1:1" x14ac:dyDescent="0.3">
      <c r="A586" s="1096"/>
    </row>
    <row r="587" spans="1:1" x14ac:dyDescent="0.3">
      <c r="A587" s="1098"/>
    </row>
    <row r="588" spans="1:1" x14ac:dyDescent="0.3">
      <c r="A588" s="1096"/>
    </row>
    <row r="589" spans="1:1" x14ac:dyDescent="0.3">
      <c r="A589" s="1096"/>
    </row>
    <row r="590" spans="1:1" x14ac:dyDescent="0.3">
      <c r="A590" s="1096"/>
    </row>
    <row r="591" spans="1:1" x14ac:dyDescent="0.3">
      <c r="A591" s="1096"/>
    </row>
    <row r="592" spans="1:1" x14ac:dyDescent="0.3">
      <c r="A592" s="1096"/>
    </row>
    <row r="593" spans="1:1" x14ac:dyDescent="0.3">
      <c r="A593" s="1096"/>
    </row>
    <row r="594" spans="1:1" x14ac:dyDescent="0.3">
      <c r="A594" s="1096"/>
    </row>
    <row r="595" spans="1:1" x14ac:dyDescent="0.3">
      <c r="A595" s="1096"/>
    </row>
    <row r="596" spans="1:1" x14ac:dyDescent="0.3">
      <c r="A596" s="1096"/>
    </row>
    <row r="597" spans="1:1" x14ac:dyDescent="0.3">
      <c r="A597" s="1098"/>
    </row>
    <row r="598" spans="1:1" x14ac:dyDescent="0.3">
      <c r="A598" s="1096"/>
    </row>
    <row r="599" spans="1:1" x14ac:dyDescent="0.3">
      <c r="A599" s="1096"/>
    </row>
    <row r="600" spans="1:1" x14ac:dyDescent="0.3">
      <c r="A600" s="1096"/>
    </row>
    <row r="601" spans="1:1" x14ac:dyDescent="0.3">
      <c r="A601" s="1096"/>
    </row>
    <row r="602" spans="1:1" x14ac:dyDescent="0.3">
      <c r="A602" s="1096"/>
    </row>
    <row r="603" spans="1:1" x14ac:dyDescent="0.3">
      <c r="A603" s="1096"/>
    </row>
    <row r="604" spans="1:1" x14ac:dyDescent="0.3">
      <c r="A604" s="1096"/>
    </row>
    <row r="605" spans="1:1" x14ac:dyDescent="0.3">
      <c r="A605" s="1107"/>
    </row>
    <row r="606" spans="1:1" x14ac:dyDescent="0.3">
      <c r="A606" s="1107"/>
    </row>
    <row r="607" spans="1:1" x14ac:dyDescent="0.3">
      <c r="A607" s="1107"/>
    </row>
    <row r="608" spans="1:1" x14ac:dyDescent="0.3">
      <c r="A608" s="1107"/>
    </row>
    <row r="609" spans="1:1" x14ac:dyDescent="0.3">
      <c r="A609" s="1096"/>
    </row>
    <row r="610" spans="1:1" x14ac:dyDescent="0.3">
      <c r="A610" s="1096"/>
    </row>
    <row r="611" spans="1:1" x14ac:dyDescent="0.3">
      <c r="A611" s="1096"/>
    </row>
    <row r="612" spans="1:1" x14ac:dyDescent="0.3">
      <c r="A612" s="1096"/>
    </row>
    <row r="613" spans="1:1" x14ac:dyDescent="0.3">
      <c r="A613" s="1096"/>
    </row>
    <row r="614" spans="1:1" x14ac:dyDescent="0.3">
      <c r="A614" s="1096"/>
    </row>
    <row r="615" spans="1:1" x14ac:dyDescent="0.3">
      <c r="A615" s="1096"/>
    </row>
    <row r="616" spans="1:1" x14ac:dyDescent="0.3">
      <c r="A616" s="1098"/>
    </row>
    <row r="617" spans="1:1" x14ac:dyDescent="0.3">
      <c r="A617" s="1098"/>
    </row>
    <row r="618" spans="1:1" x14ac:dyDescent="0.3">
      <c r="A618" s="1098"/>
    </row>
    <row r="619" spans="1:1" x14ac:dyDescent="0.3">
      <c r="A619" s="1098"/>
    </row>
    <row r="620" spans="1:1" x14ac:dyDescent="0.3">
      <c r="A620" s="1098"/>
    </row>
    <row r="621" spans="1:1" x14ac:dyDescent="0.3">
      <c r="A621" s="1098"/>
    </row>
    <row r="622" spans="1:1" x14ac:dyDescent="0.3">
      <c r="A622" s="1098"/>
    </row>
    <row r="623" spans="1:1" x14ac:dyDescent="0.3">
      <c r="A623" s="1098"/>
    </row>
    <row r="624" spans="1:1" x14ac:dyDescent="0.3">
      <c r="A624" s="1098"/>
    </row>
    <row r="625" spans="1:1" x14ac:dyDescent="0.3">
      <c r="A625" s="1098"/>
    </row>
    <row r="626" spans="1:1" x14ac:dyDescent="0.3">
      <c r="A626" s="1098"/>
    </row>
    <row r="627" spans="1:1" x14ac:dyDescent="0.3">
      <c r="A627" s="1098"/>
    </row>
    <row r="628" spans="1:1" x14ac:dyDescent="0.3">
      <c r="A628" s="1096"/>
    </row>
    <row r="629" spans="1:1" x14ac:dyDescent="0.3">
      <c r="A629" s="1096"/>
    </row>
    <row r="630" spans="1:1" x14ac:dyDescent="0.3">
      <c r="A630" s="1096"/>
    </row>
    <row r="631" spans="1:1" x14ac:dyDescent="0.3">
      <c r="A631" s="1096"/>
    </row>
    <row r="632" spans="1:1" x14ac:dyDescent="0.3">
      <c r="A632" s="1096"/>
    </row>
    <row r="633" spans="1:1" x14ac:dyDescent="0.3">
      <c r="A633" s="1098"/>
    </row>
    <row r="634" spans="1:1" x14ac:dyDescent="0.3">
      <c r="A634" s="1098"/>
    </row>
    <row r="635" spans="1:1" x14ac:dyDescent="0.3">
      <c r="A635" s="1098"/>
    </row>
    <row r="636" spans="1:1" x14ac:dyDescent="0.3">
      <c r="A636" s="1098"/>
    </row>
    <row r="637" spans="1:1" x14ac:dyDescent="0.3">
      <c r="A637" s="1098"/>
    </row>
    <row r="638" spans="1:1" x14ac:dyDescent="0.3">
      <c r="A638" s="1098"/>
    </row>
    <row r="639" spans="1:1" x14ac:dyDescent="0.3">
      <c r="A639" s="1098"/>
    </row>
    <row r="640" spans="1:1" x14ac:dyDescent="0.3">
      <c r="A640" s="1096"/>
    </row>
    <row r="641" spans="1:1" x14ac:dyDescent="0.3">
      <c r="A641" s="1096"/>
    </row>
    <row r="642" spans="1:1" x14ac:dyDescent="0.3">
      <c r="A642" s="1098"/>
    </row>
    <row r="643" spans="1:1" x14ac:dyDescent="0.3">
      <c r="A643" s="1096"/>
    </row>
    <row r="644" spans="1:1" x14ac:dyDescent="0.3">
      <c r="A644" s="1096"/>
    </row>
    <row r="645" spans="1:1" x14ac:dyDescent="0.3">
      <c r="A645" s="1098"/>
    </row>
    <row r="646" spans="1:1" x14ac:dyDescent="0.3">
      <c r="A646" s="1098"/>
    </row>
    <row r="647" spans="1:1" x14ac:dyDescent="0.3">
      <c r="A647" s="1098"/>
    </row>
    <row r="648" spans="1:1" x14ac:dyDescent="0.3">
      <c r="A648" s="1107"/>
    </row>
    <row r="649" spans="1:1" x14ac:dyDescent="0.3">
      <c r="A649" s="1107"/>
    </row>
    <row r="650" spans="1:1" x14ac:dyDescent="0.3">
      <c r="A650" s="1098"/>
    </row>
    <row r="651" spans="1:1" x14ac:dyDescent="0.3">
      <c r="A651" s="1098"/>
    </row>
    <row r="652" spans="1:1" x14ac:dyDescent="0.3">
      <c r="A652" s="1098"/>
    </row>
    <row r="653" spans="1:1" x14ac:dyDescent="0.3">
      <c r="A653" s="1098"/>
    </row>
    <row r="654" spans="1:1" x14ac:dyDescent="0.3">
      <c r="A654" s="1096"/>
    </row>
    <row r="655" spans="1:1" x14ac:dyDescent="0.3">
      <c r="A655" s="1096"/>
    </row>
    <row r="656" spans="1:1" x14ac:dyDescent="0.3">
      <c r="A656" s="1096"/>
    </row>
    <row r="657" spans="1:1" x14ac:dyDescent="0.3">
      <c r="A657" s="1096"/>
    </row>
    <row r="658" spans="1:1" x14ac:dyDescent="0.3">
      <c r="A658" s="1096"/>
    </row>
    <row r="663" spans="1:1" x14ac:dyDescent="0.3">
      <c r="A663" s="1096"/>
    </row>
    <row r="664" spans="1:1" x14ac:dyDescent="0.3">
      <c r="A664" s="1096"/>
    </row>
  </sheetData>
  <sheetProtection algorithmName="SHA-512" hashValue="4Y5nVy2tteJnS0Mq01LsJunbvHgkd1QSAgi8xJuFCEo7qDDgdyoXVdFwLhviG5S2mgFL8504mqZLDlfhw9MSiw==" saltValue="K1iG9jqPifCa44TVFEjUbw=="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dimension ref="A1:K119"/>
  <sheetViews>
    <sheetView workbookViewId="0">
      <selection activeCell="A12" sqref="A12"/>
    </sheetView>
  </sheetViews>
  <sheetFormatPr defaultColWidth="9.109375" defaultRowHeight="14.4" x14ac:dyDescent="0.3"/>
  <cols>
    <col min="1" max="1" width="31.5546875" style="300" customWidth="1"/>
    <col min="2" max="2" width="8" style="300" customWidth="1"/>
    <col min="3" max="3" width="14.88671875" style="300" customWidth="1"/>
    <col min="4" max="4" width="16" style="300" customWidth="1"/>
    <col min="5" max="7" width="9.109375" style="300"/>
    <col min="8" max="8" width="21.33203125" style="300" customWidth="1"/>
    <col min="9" max="16384" width="9.109375" style="300"/>
  </cols>
  <sheetData>
    <row r="1" spans="1:11" ht="15.75" customHeight="1" x14ac:dyDescent="0.3">
      <c r="A1" s="1404" t="s">
        <v>757</v>
      </c>
      <c r="B1" s="1404"/>
      <c r="C1" s="1404"/>
      <c r="D1" s="1404"/>
    </row>
    <row r="2" spans="1:11" ht="15.75" customHeight="1" x14ac:dyDescent="0.3">
      <c r="A2" s="1405" t="s">
        <v>853</v>
      </c>
      <c r="B2" s="1405"/>
      <c r="C2" s="1405"/>
      <c r="D2" s="1405"/>
    </row>
    <row r="3" spans="1:11" ht="21.9" customHeight="1" x14ac:dyDescent="0.3">
      <c r="A3" s="1404" t="s">
        <v>854</v>
      </c>
      <c r="B3" s="1404"/>
      <c r="C3" s="1404"/>
      <c r="D3" s="1404"/>
    </row>
    <row r="4" spans="1:11" ht="21" customHeight="1" x14ac:dyDescent="0.3">
      <c r="A4" s="699"/>
      <c r="B4" s="699"/>
      <c r="C4" s="698" t="s">
        <v>855</v>
      </c>
      <c r="D4" s="698" t="s">
        <v>856</v>
      </c>
      <c r="I4" s="699"/>
      <c r="J4" s="698"/>
      <c r="K4" s="698"/>
    </row>
    <row r="5" spans="1:11" ht="15.75" customHeight="1" x14ac:dyDescent="0.3">
      <c r="A5" s="699"/>
      <c r="B5" s="694" t="s">
        <v>857</v>
      </c>
      <c r="C5" s="698" t="s">
        <v>858</v>
      </c>
      <c r="D5" s="698" t="s">
        <v>859</v>
      </c>
      <c r="I5" s="694"/>
      <c r="J5" s="698"/>
      <c r="K5" s="698"/>
    </row>
    <row r="6" spans="1:11" ht="21" customHeight="1" x14ac:dyDescent="0.3">
      <c r="A6" s="678" t="s">
        <v>860</v>
      </c>
      <c r="B6" s="694" t="s">
        <v>861</v>
      </c>
      <c r="C6" s="698" t="s">
        <v>862</v>
      </c>
      <c r="D6" s="698" t="s">
        <v>862</v>
      </c>
      <c r="I6" s="694"/>
      <c r="J6" s="698"/>
      <c r="K6" s="698"/>
    </row>
    <row r="7" spans="1:11" ht="21.9" customHeight="1" x14ac:dyDescent="0.3">
      <c r="A7" s="678" t="s">
        <v>863</v>
      </c>
      <c r="B7" s="683">
        <v>0.59699999999999998</v>
      </c>
      <c r="C7" s="679">
        <v>2015</v>
      </c>
      <c r="D7" s="679">
        <v>2021</v>
      </c>
      <c r="H7" s="685"/>
      <c r="I7" s="681"/>
      <c r="J7" s="692"/>
      <c r="K7" s="692"/>
    </row>
    <row r="8" spans="1:11" ht="15.75" customHeight="1" x14ac:dyDescent="0.3">
      <c r="A8" s="678" t="s">
        <v>864</v>
      </c>
      <c r="B8" s="683">
        <v>0.52900000000000003</v>
      </c>
      <c r="C8" s="679">
        <v>2017</v>
      </c>
      <c r="D8" s="679">
        <v>2021</v>
      </c>
      <c r="H8" s="685"/>
      <c r="I8" s="681"/>
      <c r="J8" s="692"/>
      <c r="K8" s="692"/>
    </row>
    <row r="9" spans="1:11" ht="15.75" customHeight="1" x14ac:dyDescent="0.3">
      <c r="A9" s="678" t="s">
        <v>865</v>
      </c>
      <c r="B9" s="683">
        <v>0.63</v>
      </c>
      <c r="C9" s="679">
        <v>2013</v>
      </c>
      <c r="D9" s="679">
        <v>2021</v>
      </c>
      <c r="H9" s="685"/>
      <c r="I9" s="681"/>
      <c r="J9" s="692"/>
      <c r="K9" s="692"/>
    </row>
    <row r="10" spans="1:11" ht="15.75" customHeight="1" x14ac:dyDescent="0.3">
      <c r="A10" s="678" t="s">
        <v>866</v>
      </c>
      <c r="B10" s="683">
        <v>0.73499999999999999</v>
      </c>
      <c r="C10" s="679">
        <v>2016</v>
      </c>
      <c r="D10" s="679">
        <v>2021</v>
      </c>
      <c r="H10" s="685"/>
      <c r="I10" s="681"/>
      <c r="J10" s="692"/>
      <c r="K10" s="692"/>
    </row>
    <row r="11" spans="1:11" ht="21.9" customHeight="1" x14ac:dyDescent="0.3">
      <c r="A11" s="678" t="s">
        <v>867</v>
      </c>
      <c r="B11" s="683">
        <v>0.67</v>
      </c>
      <c r="C11" s="679">
        <v>2017</v>
      </c>
      <c r="D11" s="679">
        <v>2021</v>
      </c>
      <c r="H11" s="685"/>
      <c r="I11" s="681"/>
      <c r="J11" s="692"/>
      <c r="K11" s="692"/>
    </row>
    <row r="12" spans="1:11" ht="21" customHeight="1" x14ac:dyDescent="0.3">
      <c r="A12" s="678" t="s">
        <v>868</v>
      </c>
      <c r="B12" s="683">
        <v>0.72</v>
      </c>
      <c r="C12" s="679">
        <v>2016</v>
      </c>
      <c r="D12" s="679">
        <v>2021</v>
      </c>
      <c r="H12" s="685"/>
      <c r="I12" s="681"/>
      <c r="J12" s="692"/>
      <c r="K12" s="692"/>
    </row>
    <row r="13" spans="1:11" ht="15.75" customHeight="1" x14ac:dyDescent="0.3">
      <c r="A13" s="678" t="s">
        <v>869</v>
      </c>
      <c r="B13" s="683">
        <v>0.80500000000000005</v>
      </c>
      <c r="C13" s="679">
        <v>2013</v>
      </c>
      <c r="D13" s="679">
        <v>2021</v>
      </c>
      <c r="H13" s="685"/>
      <c r="I13" s="681"/>
      <c r="J13" s="692"/>
      <c r="K13" s="692"/>
    </row>
    <row r="14" spans="1:11" ht="15.75" customHeight="1" x14ac:dyDescent="0.3">
      <c r="A14" s="678" t="s">
        <v>870</v>
      </c>
      <c r="B14" s="683">
        <v>0.48</v>
      </c>
      <c r="C14" s="679">
        <v>2013</v>
      </c>
      <c r="D14" s="679">
        <v>2021</v>
      </c>
      <c r="H14" s="685"/>
      <c r="I14" s="681"/>
      <c r="J14" s="692"/>
      <c r="K14" s="692"/>
    </row>
    <row r="15" spans="1:11" ht="15.75" customHeight="1" x14ac:dyDescent="0.3">
      <c r="A15" s="678" t="s">
        <v>871</v>
      </c>
      <c r="B15" s="683">
        <v>0.54</v>
      </c>
      <c r="C15" s="679">
        <v>2015</v>
      </c>
      <c r="D15" s="679">
        <v>2021</v>
      </c>
      <c r="H15" s="685"/>
      <c r="I15" s="681"/>
      <c r="J15" s="692"/>
      <c r="K15" s="684"/>
    </row>
    <row r="16" spans="1:11" ht="21" customHeight="1" x14ac:dyDescent="0.3">
      <c r="A16" s="678" t="s">
        <v>872</v>
      </c>
      <c r="B16" s="683">
        <v>0.73799999999999999</v>
      </c>
      <c r="C16" s="679">
        <v>2017</v>
      </c>
      <c r="D16" s="679">
        <v>2021</v>
      </c>
      <c r="H16" s="685"/>
      <c r="I16" s="681"/>
      <c r="J16" s="692"/>
      <c r="K16" s="684"/>
    </row>
    <row r="17" spans="1:11" ht="21.9" customHeight="1" x14ac:dyDescent="0.3">
      <c r="A17" s="678" t="s">
        <v>873</v>
      </c>
      <c r="B17" s="683">
        <v>0.74350000000000005</v>
      </c>
      <c r="C17" s="679">
        <v>2017</v>
      </c>
      <c r="D17" s="679">
        <v>2021</v>
      </c>
      <c r="H17" s="685"/>
      <c r="I17" s="681"/>
      <c r="J17" s="692"/>
      <c r="K17" s="684"/>
    </row>
    <row r="18" spans="1:11" ht="15.75" customHeight="1" x14ac:dyDescent="0.3">
      <c r="A18" s="678" t="s">
        <v>874</v>
      </c>
      <c r="B18" s="683">
        <v>0.78600000000000003</v>
      </c>
      <c r="C18" s="679">
        <v>2013</v>
      </c>
      <c r="D18" s="679">
        <v>2021</v>
      </c>
      <c r="H18" s="685"/>
      <c r="I18" s="681"/>
      <c r="J18" s="692"/>
      <c r="K18" s="684"/>
    </row>
    <row r="19" spans="1:11" ht="15.75" customHeight="1" x14ac:dyDescent="0.3">
      <c r="A19" s="678" t="s">
        <v>875</v>
      </c>
      <c r="B19" s="683">
        <v>0.58499999999999996</v>
      </c>
      <c r="C19" s="679">
        <v>2017</v>
      </c>
      <c r="D19" s="679">
        <v>2021</v>
      </c>
      <c r="H19" s="685"/>
      <c r="I19" s="681"/>
      <c r="J19" s="692"/>
      <c r="K19" s="684"/>
    </row>
    <row r="20" spans="1:11" ht="15.75" customHeight="1" x14ac:dyDescent="0.3">
      <c r="A20" s="678" t="s">
        <v>876</v>
      </c>
      <c r="B20" s="683">
        <v>0.38</v>
      </c>
      <c r="C20" s="679">
        <v>2016</v>
      </c>
      <c r="D20" s="679">
        <v>2021</v>
      </c>
    </row>
    <row r="21" spans="1:11" ht="21.9" customHeight="1" x14ac:dyDescent="0.3">
      <c r="A21" s="687" t="s">
        <v>877</v>
      </c>
      <c r="B21" s="683">
        <v>0.55500000000000005</v>
      </c>
      <c r="C21" s="679">
        <v>2017</v>
      </c>
      <c r="D21" s="697">
        <v>2021</v>
      </c>
    </row>
    <row r="22" spans="1:11" ht="21" customHeight="1" x14ac:dyDescent="0.3">
      <c r="A22" s="687" t="s">
        <v>878</v>
      </c>
      <c r="B22" s="683">
        <v>0.8679</v>
      </c>
      <c r="C22" s="679">
        <v>2017</v>
      </c>
      <c r="D22" s="697">
        <v>2021</v>
      </c>
    </row>
    <row r="23" spans="1:11" ht="15.75" customHeight="1" x14ac:dyDescent="0.3">
      <c r="A23" s="687" t="s">
        <v>879</v>
      </c>
      <c r="B23" s="683">
        <v>0.72</v>
      </c>
      <c r="C23" s="679">
        <v>2013</v>
      </c>
      <c r="D23" s="697">
        <v>2021</v>
      </c>
    </row>
    <row r="24" spans="1:11" ht="15.75" customHeight="1" x14ac:dyDescent="0.3">
      <c r="A24" s="687" t="s">
        <v>880</v>
      </c>
      <c r="B24" s="683">
        <v>0.5494</v>
      </c>
      <c r="C24" s="679">
        <v>2017</v>
      </c>
      <c r="D24" s="697">
        <v>2021</v>
      </c>
    </row>
    <row r="25" spans="1:11" ht="15.75" customHeight="1" x14ac:dyDescent="0.3">
      <c r="A25" s="687" t="s">
        <v>881</v>
      </c>
      <c r="B25" s="683">
        <v>0.67</v>
      </c>
      <c r="C25" s="679">
        <v>2017</v>
      </c>
      <c r="D25" s="697">
        <v>2021</v>
      </c>
    </row>
    <row r="26" spans="1:11" ht="21.9" customHeight="1" x14ac:dyDescent="0.3">
      <c r="A26" s="687" t="s">
        <v>882</v>
      </c>
      <c r="B26" s="683">
        <v>0.66</v>
      </c>
      <c r="C26" s="679">
        <v>2017</v>
      </c>
      <c r="D26" s="697">
        <v>2021</v>
      </c>
    </row>
    <row r="27" spans="1:11" ht="21.9" customHeight="1" x14ac:dyDescent="0.3">
      <c r="A27" s="687" t="s">
        <v>883</v>
      </c>
      <c r="B27" s="683">
        <v>0.58199999999999996</v>
      </c>
      <c r="C27" s="679">
        <v>2016</v>
      </c>
      <c r="D27" s="697">
        <v>2021</v>
      </c>
    </row>
    <row r="28" spans="1:11" ht="15.75" customHeight="1" x14ac:dyDescent="0.3">
      <c r="A28" s="687" t="s">
        <v>884</v>
      </c>
      <c r="B28" s="683">
        <v>0.36</v>
      </c>
      <c r="C28" s="679">
        <v>2013</v>
      </c>
      <c r="D28" s="697">
        <v>2021</v>
      </c>
    </row>
    <row r="29" spans="1:11" ht="15.75" customHeight="1" x14ac:dyDescent="0.3">
      <c r="A29" s="687" t="s">
        <v>885</v>
      </c>
      <c r="B29" s="683">
        <v>0.63600000000000001</v>
      </c>
      <c r="C29" s="679">
        <v>2016</v>
      </c>
      <c r="D29" s="697">
        <v>2021</v>
      </c>
    </row>
    <row r="30" spans="1:11" ht="15.75" customHeight="1" x14ac:dyDescent="0.3">
      <c r="A30" s="687" t="s">
        <v>886</v>
      </c>
      <c r="B30" s="683">
        <v>0.73089999999999999</v>
      </c>
      <c r="C30" s="679">
        <v>2015</v>
      </c>
      <c r="D30" s="697">
        <v>2021</v>
      </c>
    </row>
    <row r="31" spans="1:11" ht="21" customHeight="1" x14ac:dyDescent="0.3">
      <c r="A31" s="687" t="s">
        <v>887</v>
      </c>
      <c r="B31" s="683">
        <v>0.85499999999999998</v>
      </c>
      <c r="C31" s="679">
        <v>2013</v>
      </c>
      <c r="D31" s="697">
        <v>2021</v>
      </c>
    </row>
    <row r="32" spans="1:11" ht="21.9" customHeight="1" x14ac:dyDescent="0.3">
      <c r="A32" s="700" t="s">
        <v>888</v>
      </c>
      <c r="B32" s="677">
        <v>0.55000000000000004</v>
      </c>
      <c r="C32" s="696">
        <v>2018</v>
      </c>
      <c r="D32" s="696">
        <v>2022</v>
      </c>
    </row>
    <row r="33" spans="1:4" ht="15.75" customHeight="1" x14ac:dyDescent="0.3">
      <c r="A33" s="700" t="s">
        <v>889</v>
      </c>
      <c r="B33" s="677">
        <v>0.82</v>
      </c>
      <c r="C33" s="696">
        <v>2015</v>
      </c>
      <c r="D33" s="696">
        <v>2022</v>
      </c>
    </row>
    <row r="34" spans="1:4" ht="15.75" customHeight="1" x14ac:dyDescent="0.3">
      <c r="A34" s="700" t="s">
        <v>890</v>
      </c>
      <c r="B34" s="677">
        <v>0.755</v>
      </c>
      <c r="C34" s="696">
        <v>2014</v>
      </c>
      <c r="D34" s="696">
        <v>2022</v>
      </c>
    </row>
    <row r="35" spans="1:4" ht="15.75" customHeight="1" x14ac:dyDescent="0.3">
      <c r="A35" s="700" t="s">
        <v>891</v>
      </c>
      <c r="B35" s="677">
        <v>0.5494</v>
      </c>
      <c r="C35" s="696">
        <v>2016</v>
      </c>
      <c r="D35" s="696">
        <v>2022</v>
      </c>
    </row>
    <row r="36" spans="1:4" ht="21.9" customHeight="1" x14ac:dyDescent="0.3">
      <c r="A36" s="700" t="s">
        <v>892</v>
      </c>
      <c r="B36" s="677">
        <v>0.73499999999999999</v>
      </c>
      <c r="C36" s="696">
        <v>2017</v>
      </c>
      <c r="D36" s="696">
        <v>2022</v>
      </c>
    </row>
    <row r="37" spans="1:4" ht="21" customHeight="1" x14ac:dyDescent="0.3">
      <c r="A37" s="700" t="s">
        <v>893</v>
      </c>
      <c r="B37" s="677">
        <v>0.73050000000000004</v>
      </c>
      <c r="C37" s="696">
        <v>2017</v>
      </c>
      <c r="D37" s="696">
        <v>2022</v>
      </c>
    </row>
    <row r="38" spans="1:4" ht="15.75" customHeight="1" x14ac:dyDescent="0.3">
      <c r="A38" s="700" t="s">
        <v>894</v>
      </c>
      <c r="B38" s="677">
        <v>0.75</v>
      </c>
      <c r="C38" s="696">
        <v>2017</v>
      </c>
      <c r="D38" s="696">
        <v>2022</v>
      </c>
    </row>
    <row r="39" spans="1:4" ht="15.75" customHeight="1" x14ac:dyDescent="0.3">
      <c r="A39" s="700" t="s">
        <v>895</v>
      </c>
      <c r="B39" s="677">
        <v>0.75</v>
      </c>
      <c r="C39" s="696">
        <v>2014</v>
      </c>
      <c r="D39" s="696">
        <v>2022</v>
      </c>
    </row>
    <row r="40" spans="1:4" ht="15.75" customHeight="1" x14ac:dyDescent="0.3">
      <c r="A40" s="701" t="s">
        <v>896</v>
      </c>
      <c r="B40" s="677">
        <v>0.77</v>
      </c>
      <c r="C40" s="696">
        <v>2014</v>
      </c>
      <c r="D40" s="682">
        <v>2022</v>
      </c>
    </row>
    <row r="41" spans="1:4" ht="21" customHeight="1" x14ac:dyDescent="0.3">
      <c r="A41" s="701" t="s">
        <v>897</v>
      </c>
      <c r="B41" s="677">
        <v>0.57999999999999996</v>
      </c>
      <c r="C41" s="696">
        <v>2018</v>
      </c>
      <c r="D41" s="682">
        <v>2022</v>
      </c>
    </row>
    <row r="42" spans="1:4" ht="21.9" customHeight="1" x14ac:dyDescent="0.3">
      <c r="A42" s="701" t="s">
        <v>898</v>
      </c>
      <c r="B42" s="677">
        <v>0.70499999999999996</v>
      </c>
      <c r="C42" s="696">
        <v>2018</v>
      </c>
      <c r="D42" s="682">
        <v>2022</v>
      </c>
    </row>
    <row r="43" spans="1:4" ht="15.75" customHeight="1" x14ac:dyDescent="0.3">
      <c r="A43" s="701" t="s">
        <v>899</v>
      </c>
      <c r="B43" s="677">
        <v>0.77</v>
      </c>
      <c r="C43" s="696">
        <v>2014</v>
      </c>
      <c r="D43" s="682">
        <v>2022</v>
      </c>
    </row>
    <row r="44" spans="1:4" ht="15.75" customHeight="1" x14ac:dyDescent="0.3">
      <c r="A44" s="701" t="s">
        <v>900</v>
      </c>
      <c r="B44" s="677">
        <v>0.40300000000000002</v>
      </c>
      <c r="C44" s="696">
        <v>2014</v>
      </c>
      <c r="D44" s="682">
        <v>2022</v>
      </c>
    </row>
    <row r="45" spans="1:4" ht="15.75" customHeight="1" x14ac:dyDescent="0.3">
      <c r="A45" s="678" t="s">
        <v>901</v>
      </c>
      <c r="B45" s="683">
        <v>0.79</v>
      </c>
      <c r="C45" s="679">
        <v>2015</v>
      </c>
      <c r="D45" s="679">
        <v>2023</v>
      </c>
    </row>
    <row r="46" spans="1:4" ht="21.9" customHeight="1" x14ac:dyDescent="0.3">
      <c r="A46" s="678" t="s">
        <v>902</v>
      </c>
      <c r="B46" s="683">
        <v>0.443</v>
      </c>
      <c r="C46" s="679">
        <v>2019</v>
      </c>
      <c r="D46" s="679">
        <v>2023</v>
      </c>
    </row>
    <row r="47" spans="1:4" ht="21" customHeight="1" x14ac:dyDescent="0.3">
      <c r="A47" s="678" t="s">
        <v>903</v>
      </c>
      <c r="B47" s="683">
        <v>0.48499999999999999</v>
      </c>
      <c r="C47" s="679">
        <v>2019</v>
      </c>
      <c r="D47" s="679">
        <v>2023</v>
      </c>
    </row>
    <row r="48" spans="1:4" ht="15.75" customHeight="1" x14ac:dyDescent="0.3">
      <c r="A48" s="678" t="s">
        <v>904</v>
      </c>
      <c r="B48" s="683">
        <v>0.74</v>
      </c>
      <c r="C48" s="679">
        <v>2015</v>
      </c>
      <c r="D48" s="679">
        <v>2023</v>
      </c>
    </row>
    <row r="49" spans="1:4" ht="15.75" customHeight="1" x14ac:dyDescent="0.3">
      <c r="A49" s="678" t="s">
        <v>905</v>
      </c>
      <c r="B49" s="683">
        <v>0.57499999999999996</v>
      </c>
      <c r="C49" s="679">
        <v>2019</v>
      </c>
      <c r="D49" s="679">
        <v>2023</v>
      </c>
    </row>
    <row r="50" spans="1:4" ht="15.75" customHeight="1" x14ac:dyDescent="0.3">
      <c r="A50" s="678" t="s">
        <v>906</v>
      </c>
      <c r="B50" s="683">
        <v>0.71220000000000006</v>
      </c>
      <c r="C50" s="679">
        <v>2019</v>
      </c>
      <c r="D50" s="679">
        <v>2023</v>
      </c>
    </row>
    <row r="51" spans="1:4" ht="21.9" customHeight="1" x14ac:dyDescent="0.3">
      <c r="A51" s="678" t="s">
        <v>907</v>
      </c>
      <c r="B51" s="683">
        <v>0.83</v>
      </c>
      <c r="C51" s="679">
        <v>2019</v>
      </c>
      <c r="D51" s="679">
        <v>2023</v>
      </c>
    </row>
    <row r="52" spans="1:4" ht="21.9" customHeight="1" x14ac:dyDescent="0.3">
      <c r="A52" s="678" t="s">
        <v>908</v>
      </c>
      <c r="B52" s="683">
        <v>0.65</v>
      </c>
      <c r="C52" s="679">
        <v>2019</v>
      </c>
      <c r="D52" s="679">
        <v>2023</v>
      </c>
    </row>
    <row r="53" spans="1:4" ht="15.75" customHeight="1" x14ac:dyDescent="0.3">
      <c r="A53" s="678" t="s">
        <v>909</v>
      </c>
      <c r="B53" s="683">
        <v>0.56100000000000005</v>
      </c>
      <c r="C53" s="679">
        <v>2019</v>
      </c>
      <c r="D53" s="679">
        <v>2023</v>
      </c>
    </row>
    <row r="54" spans="1:4" ht="15.75" customHeight="1" x14ac:dyDescent="0.3">
      <c r="A54" s="678" t="s">
        <v>910</v>
      </c>
      <c r="B54" s="683">
        <v>0.77</v>
      </c>
      <c r="C54" s="679">
        <v>2017</v>
      </c>
      <c r="D54" s="679">
        <v>2023</v>
      </c>
    </row>
    <row r="55" spans="1:4" ht="15.75" customHeight="1" x14ac:dyDescent="0.3">
      <c r="A55" s="678" t="s">
        <v>911</v>
      </c>
      <c r="B55" s="683">
        <v>0.53749999999999998</v>
      </c>
      <c r="C55" s="679">
        <v>2019</v>
      </c>
      <c r="D55" s="679">
        <v>2023</v>
      </c>
    </row>
    <row r="56" spans="1:4" ht="36" customHeight="1" x14ac:dyDescent="0.3">
      <c r="A56" s="687" t="s">
        <v>912</v>
      </c>
      <c r="B56" s="683">
        <v>0.77500000000000002</v>
      </c>
      <c r="C56" s="679">
        <v>2019</v>
      </c>
      <c r="D56" s="697">
        <v>2023</v>
      </c>
    </row>
    <row r="57" spans="1:4" ht="36" customHeight="1" x14ac:dyDescent="0.3">
      <c r="A57" s="687" t="s">
        <v>913</v>
      </c>
      <c r="B57" s="683">
        <v>0.59899999999999998</v>
      </c>
      <c r="C57" s="679">
        <v>2019</v>
      </c>
      <c r="D57" s="697">
        <v>2023</v>
      </c>
    </row>
    <row r="58" spans="1:4" ht="36" customHeight="1" x14ac:dyDescent="0.3">
      <c r="A58" s="687" t="s">
        <v>914</v>
      </c>
      <c r="B58" s="683">
        <v>0.37469999999999998</v>
      </c>
      <c r="C58" s="679">
        <v>2019</v>
      </c>
      <c r="D58" s="697">
        <v>2023</v>
      </c>
    </row>
    <row r="59" spans="1:4" ht="36" customHeight="1" x14ac:dyDescent="0.3">
      <c r="A59" s="687" t="s">
        <v>915</v>
      </c>
      <c r="B59" s="683">
        <v>0.58750000000000002</v>
      </c>
      <c r="C59" s="679">
        <v>2019</v>
      </c>
      <c r="D59" s="697">
        <v>2023</v>
      </c>
    </row>
    <row r="60" spans="1:4" ht="36" customHeight="1" x14ac:dyDescent="0.3">
      <c r="A60" s="687" t="s">
        <v>916</v>
      </c>
      <c r="B60" s="683">
        <v>0.6169</v>
      </c>
      <c r="C60" s="679">
        <v>2019</v>
      </c>
      <c r="D60" s="697">
        <v>2023</v>
      </c>
    </row>
    <row r="61" spans="1:4" ht="36" customHeight="1" x14ac:dyDescent="0.3">
      <c r="A61" s="687" t="s">
        <v>917</v>
      </c>
      <c r="B61" s="683">
        <v>0.51</v>
      </c>
      <c r="C61" s="679">
        <v>2019</v>
      </c>
      <c r="D61" s="697">
        <v>2023</v>
      </c>
    </row>
    <row r="62" spans="1:4" ht="36" customHeight="1" x14ac:dyDescent="0.3">
      <c r="A62" s="687" t="s">
        <v>918</v>
      </c>
      <c r="B62" s="683">
        <v>0.91</v>
      </c>
      <c r="C62" s="679">
        <v>2015</v>
      </c>
      <c r="D62" s="697">
        <v>2023</v>
      </c>
    </row>
    <row r="63" spans="1:4" ht="36" customHeight="1" x14ac:dyDescent="0.3">
      <c r="A63" s="687" t="s">
        <v>919</v>
      </c>
      <c r="B63" s="683">
        <v>0.65749999999999997</v>
      </c>
      <c r="C63" s="679">
        <v>2019</v>
      </c>
      <c r="D63" s="697">
        <v>2023</v>
      </c>
    </row>
    <row r="64" spans="1:4" ht="36" customHeight="1" x14ac:dyDescent="0.3">
      <c r="A64" s="687" t="s">
        <v>920</v>
      </c>
      <c r="B64" s="683">
        <v>0.59699999999999998</v>
      </c>
      <c r="C64" s="679">
        <v>2019</v>
      </c>
      <c r="D64" s="697">
        <v>2023</v>
      </c>
    </row>
    <row r="65" spans="1:4" ht="36" customHeight="1" x14ac:dyDescent="0.3">
      <c r="A65" s="687" t="s">
        <v>921</v>
      </c>
      <c r="B65" s="683">
        <v>0.66</v>
      </c>
      <c r="C65" s="679">
        <v>2019</v>
      </c>
      <c r="D65" s="697">
        <v>2023</v>
      </c>
    </row>
    <row r="66" spans="1:4" ht="36" customHeight="1" x14ac:dyDescent="0.3">
      <c r="A66" s="687" t="s">
        <v>922</v>
      </c>
      <c r="B66" s="683">
        <v>0.66</v>
      </c>
      <c r="C66" s="679">
        <v>2017</v>
      </c>
      <c r="D66" s="697">
        <v>2023</v>
      </c>
    </row>
    <row r="67" spans="1:4" ht="36" customHeight="1" x14ac:dyDescent="0.3">
      <c r="A67" s="678" t="s">
        <v>923</v>
      </c>
      <c r="B67" s="683">
        <v>0.74</v>
      </c>
      <c r="C67" s="679">
        <v>2020</v>
      </c>
      <c r="D67" s="679">
        <v>2024</v>
      </c>
    </row>
    <row r="68" spans="1:4" ht="36" customHeight="1" x14ac:dyDescent="0.3">
      <c r="A68" s="678" t="s">
        <v>924</v>
      </c>
      <c r="B68" s="683">
        <v>0.33</v>
      </c>
      <c r="C68" s="679">
        <v>2020</v>
      </c>
      <c r="D68" s="679">
        <v>2024</v>
      </c>
    </row>
    <row r="69" spans="1:4" ht="36" customHeight="1" x14ac:dyDescent="0.3">
      <c r="A69" s="678" t="s">
        <v>925</v>
      </c>
      <c r="B69" s="683">
        <v>0.80500000000000005</v>
      </c>
      <c r="C69" s="679">
        <v>2018</v>
      </c>
      <c r="D69" s="679">
        <v>2024</v>
      </c>
    </row>
    <row r="70" spans="1:4" ht="36" customHeight="1" x14ac:dyDescent="0.3">
      <c r="A70" s="678" t="s">
        <v>926</v>
      </c>
      <c r="B70" s="683">
        <v>0.76</v>
      </c>
      <c r="C70" s="679">
        <v>2020</v>
      </c>
      <c r="D70" s="679">
        <v>2024</v>
      </c>
    </row>
    <row r="71" spans="1:4" ht="36" customHeight="1" x14ac:dyDescent="0.3">
      <c r="A71" s="687" t="s">
        <v>927</v>
      </c>
      <c r="B71" s="683">
        <v>0.59</v>
      </c>
      <c r="C71" s="679">
        <v>2016</v>
      </c>
      <c r="D71" s="697">
        <v>2024</v>
      </c>
    </row>
    <row r="72" spans="1:4" ht="36" customHeight="1" x14ac:dyDescent="0.3">
      <c r="A72" s="687" t="s">
        <v>928</v>
      </c>
      <c r="B72" s="683">
        <v>0.67969999999999997</v>
      </c>
      <c r="C72" s="679">
        <v>2020</v>
      </c>
      <c r="D72" s="697">
        <v>2024</v>
      </c>
    </row>
    <row r="73" spans="1:4" ht="36" customHeight="1" x14ac:dyDescent="0.3">
      <c r="A73" s="687" t="s">
        <v>929</v>
      </c>
      <c r="B73" s="683">
        <v>0.83</v>
      </c>
      <c r="C73" s="679">
        <v>2016</v>
      </c>
      <c r="D73" s="697">
        <v>2024</v>
      </c>
    </row>
    <row r="74" spans="1:4" ht="36" customHeight="1" x14ac:dyDescent="0.3">
      <c r="A74" s="687" t="s">
        <v>930</v>
      </c>
      <c r="B74" s="683">
        <v>0.77</v>
      </c>
      <c r="C74" s="679">
        <v>2018</v>
      </c>
      <c r="D74" s="697">
        <v>2024</v>
      </c>
    </row>
    <row r="75" spans="1:4" ht="36" customHeight="1" x14ac:dyDescent="0.3">
      <c r="A75" s="687" t="s">
        <v>931</v>
      </c>
      <c r="B75" s="683">
        <v>0.89</v>
      </c>
      <c r="C75" s="679">
        <v>2016</v>
      </c>
      <c r="D75" s="697">
        <v>2024</v>
      </c>
    </row>
    <row r="76" spans="1:4" ht="36" customHeight="1" x14ac:dyDescent="0.3">
      <c r="A76" s="687" t="s">
        <v>932</v>
      </c>
      <c r="B76" s="683">
        <v>0.6</v>
      </c>
      <c r="C76" s="679">
        <v>2020</v>
      </c>
      <c r="D76" s="697">
        <v>2024</v>
      </c>
    </row>
    <row r="77" spans="1:4" ht="36" customHeight="1" x14ac:dyDescent="0.3">
      <c r="A77" s="687" t="s">
        <v>933</v>
      </c>
      <c r="B77" s="683">
        <v>0.73</v>
      </c>
      <c r="C77" s="679">
        <v>2016</v>
      </c>
      <c r="D77" s="697">
        <v>2024</v>
      </c>
    </row>
    <row r="78" spans="1:4" ht="36" customHeight="1" x14ac:dyDescent="0.3">
      <c r="A78" s="687" t="s">
        <v>934</v>
      </c>
      <c r="B78" s="683">
        <v>0.6</v>
      </c>
      <c r="C78" s="679">
        <v>2016</v>
      </c>
      <c r="D78" s="697">
        <v>2024</v>
      </c>
    </row>
    <row r="79" spans="1:4" ht="36" customHeight="1" x14ac:dyDescent="0.3">
      <c r="A79" s="678" t="s">
        <v>935</v>
      </c>
      <c r="B79" s="683">
        <v>0.67</v>
      </c>
      <c r="C79" s="679">
        <v>2017</v>
      </c>
      <c r="D79" s="679">
        <v>2025</v>
      </c>
    </row>
    <row r="80" spans="1:4" ht="36" customHeight="1" x14ac:dyDescent="0.3">
      <c r="A80" s="678" t="s">
        <v>936</v>
      </c>
      <c r="B80" s="683">
        <v>0.69499999999999995</v>
      </c>
      <c r="C80" s="679">
        <v>2019</v>
      </c>
      <c r="D80" s="679">
        <v>2025</v>
      </c>
    </row>
    <row r="81" spans="1:4" ht="36" customHeight="1" x14ac:dyDescent="0.3">
      <c r="A81" s="678" t="s">
        <v>937</v>
      </c>
      <c r="B81" s="683">
        <v>0.79900000000000004</v>
      </c>
      <c r="C81" s="679">
        <v>2017</v>
      </c>
      <c r="D81" s="679">
        <v>2025</v>
      </c>
    </row>
    <row r="82" spans="1:4" ht="36" customHeight="1" x14ac:dyDescent="0.3">
      <c r="A82" s="678" t="s">
        <v>938</v>
      </c>
      <c r="B82" s="683">
        <v>0.40050000000000002</v>
      </c>
      <c r="C82" s="679">
        <v>2020</v>
      </c>
      <c r="D82" s="679">
        <v>2025</v>
      </c>
    </row>
    <row r="83" spans="1:4" ht="36" customHeight="1" x14ac:dyDescent="0.3">
      <c r="A83" s="678" t="s">
        <v>939</v>
      </c>
      <c r="B83" s="683">
        <v>0.95</v>
      </c>
      <c r="C83" s="679">
        <v>2017</v>
      </c>
      <c r="D83" s="679">
        <v>2025</v>
      </c>
    </row>
    <row r="84" spans="1:4" ht="36" customHeight="1" x14ac:dyDescent="0.3">
      <c r="A84" s="678" t="s">
        <v>940</v>
      </c>
      <c r="B84" s="683">
        <v>0.79</v>
      </c>
      <c r="C84" s="679">
        <v>2017</v>
      </c>
      <c r="D84" s="679">
        <v>2025</v>
      </c>
    </row>
    <row r="85" spans="1:4" ht="36" customHeight="1" x14ac:dyDescent="0.3">
      <c r="A85" s="687" t="s">
        <v>941</v>
      </c>
      <c r="B85" s="683">
        <v>0.76</v>
      </c>
      <c r="C85" s="679">
        <v>2019</v>
      </c>
      <c r="D85" s="697">
        <v>2025</v>
      </c>
    </row>
    <row r="86" spans="1:4" ht="36" customHeight="1" x14ac:dyDescent="0.3">
      <c r="A86" s="687" t="s">
        <v>942</v>
      </c>
      <c r="B86" s="683">
        <v>0.84499999999999997</v>
      </c>
      <c r="C86" s="679">
        <v>2017</v>
      </c>
      <c r="D86" s="697">
        <v>2025</v>
      </c>
    </row>
    <row r="87" spans="1:4" ht="36" customHeight="1" x14ac:dyDescent="0.3">
      <c r="A87" s="687" t="s">
        <v>943</v>
      </c>
      <c r="B87" s="683">
        <v>0.81</v>
      </c>
      <c r="C87" s="679">
        <v>2017</v>
      </c>
      <c r="D87" s="697">
        <v>2025</v>
      </c>
    </row>
    <row r="88" spans="1:4" ht="36" customHeight="1" x14ac:dyDescent="0.3">
      <c r="A88" s="687" t="s">
        <v>944</v>
      </c>
      <c r="B88" s="683">
        <v>0.67</v>
      </c>
      <c r="C88" s="679">
        <v>2017</v>
      </c>
      <c r="D88" s="697">
        <v>2025</v>
      </c>
    </row>
    <row r="89" spans="1:4" ht="36" customHeight="1" x14ac:dyDescent="0.3">
      <c r="A89" s="687" t="s">
        <v>945</v>
      </c>
      <c r="B89" s="683">
        <v>0.63270000000000004</v>
      </c>
      <c r="C89" s="679">
        <v>2019</v>
      </c>
      <c r="D89" s="697">
        <v>2025</v>
      </c>
    </row>
    <row r="90" spans="1:4" ht="36" customHeight="1" x14ac:dyDescent="0.3">
      <c r="A90" s="687" t="s">
        <v>946</v>
      </c>
      <c r="B90" s="683">
        <v>0.94</v>
      </c>
      <c r="C90" s="679">
        <v>2017</v>
      </c>
      <c r="D90" s="697">
        <v>2025</v>
      </c>
    </row>
    <row r="91" spans="1:4" ht="36" customHeight="1" x14ac:dyDescent="0.3">
      <c r="A91" s="687" t="s">
        <v>947</v>
      </c>
      <c r="B91" s="683">
        <v>0.81</v>
      </c>
      <c r="C91" s="679">
        <v>2017</v>
      </c>
      <c r="D91" s="697">
        <v>2025</v>
      </c>
    </row>
    <row r="92" spans="1:4" ht="36" customHeight="1" x14ac:dyDescent="0.3">
      <c r="A92" s="678" t="s">
        <v>948</v>
      </c>
      <c r="B92" s="683">
        <v>0.77700000000000002</v>
      </c>
      <c r="C92" s="679">
        <v>2018</v>
      </c>
      <c r="D92" s="679">
        <v>2026</v>
      </c>
    </row>
    <row r="93" spans="1:4" ht="36" customHeight="1" x14ac:dyDescent="0.3">
      <c r="A93" s="678" t="s">
        <v>949</v>
      </c>
      <c r="B93" s="683">
        <v>0.63500000000000001</v>
      </c>
      <c r="C93" s="679">
        <v>2018</v>
      </c>
      <c r="D93" s="679">
        <v>2026</v>
      </c>
    </row>
    <row r="94" spans="1:4" ht="36" customHeight="1" x14ac:dyDescent="0.3">
      <c r="A94" s="678" t="s">
        <v>950</v>
      </c>
      <c r="B94" s="683">
        <v>0.43</v>
      </c>
      <c r="C94" s="679">
        <v>2018</v>
      </c>
      <c r="D94" s="679">
        <v>2026</v>
      </c>
    </row>
    <row r="95" spans="1:4" ht="36" customHeight="1" x14ac:dyDescent="0.3">
      <c r="A95" s="678" t="s">
        <v>951</v>
      </c>
      <c r="B95" s="683">
        <v>0.84</v>
      </c>
      <c r="C95" s="679">
        <v>2018</v>
      </c>
      <c r="D95" s="679">
        <v>2026</v>
      </c>
    </row>
    <row r="96" spans="1:4" ht="36" customHeight="1" x14ac:dyDescent="0.3">
      <c r="A96" s="678" t="s">
        <v>952</v>
      </c>
      <c r="B96" s="683">
        <v>0.84</v>
      </c>
      <c r="C96" s="679">
        <v>2019</v>
      </c>
      <c r="D96" s="679">
        <v>2027</v>
      </c>
    </row>
    <row r="97" spans="1:4" ht="36" customHeight="1" x14ac:dyDescent="0.3">
      <c r="A97" s="687" t="s">
        <v>953</v>
      </c>
      <c r="B97" s="683">
        <v>0.64500000000000002</v>
      </c>
      <c r="C97" s="679">
        <v>2019</v>
      </c>
      <c r="D97" s="697">
        <v>2027</v>
      </c>
    </row>
    <row r="98" spans="1:4" ht="36" customHeight="1" x14ac:dyDescent="0.3">
      <c r="A98" s="687" t="s">
        <v>954</v>
      </c>
      <c r="B98" s="683">
        <v>0.69499999999999995</v>
      </c>
      <c r="C98" s="679">
        <v>2019</v>
      </c>
      <c r="D98" s="697">
        <v>2027</v>
      </c>
    </row>
    <row r="99" spans="1:4" ht="36" customHeight="1" x14ac:dyDescent="0.3">
      <c r="A99" s="687" t="s">
        <v>955</v>
      </c>
      <c r="B99" s="683">
        <v>0.82499999999999996</v>
      </c>
      <c r="C99" s="679">
        <v>2019</v>
      </c>
      <c r="D99" s="697">
        <v>2027</v>
      </c>
    </row>
    <row r="100" spans="1:4" ht="36" customHeight="1" x14ac:dyDescent="0.3">
      <c r="A100" s="687" t="s">
        <v>956</v>
      </c>
      <c r="B100" s="683">
        <v>1</v>
      </c>
      <c r="C100" s="679">
        <v>2019</v>
      </c>
      <c r="D100" s="697">
        <v>2027</v>
      </c>
    </row>
    <row r="101" spans="1:4" ht="36" customHeight="1" x14ac:dyDescent="0.3">
      <c r="A101" s="687" t="s">
        <v>957</v>
      </c>
      <c r="B101" s="683">
        <v>0.66349999999999998</v>
      </c>
      <c r="C101" s="679">
        <v>2019</v>
      </c>
      <c r="D101" s="697">
        <v>2027</v>
      </c>
    </row>
    <row r="102" spans="1:4" ht="36" customHeight="1" x14ac:dyDescent="0.3">
      <c r="A102" s="678" t="s">
        <v>958</v>
      </c>
      <c r="B102" s="683">
        <v>0.86499999999999999</v>
      </c>
      <c r="C102" s="679">
        <v>2020</v>
      </c>
      <c r="D102" s="679">
        <v>2028</v>
      </c>
    </row>
    <row r="103" spans="1:4" ht="36" customHeight="1" x14ac:dyDescent="0.3">
      <c r="A103" s="678" t="s">
        <v>959</v>
      </c>
      <c r="B103" s="683">
        <v>0.46</v>
      </c>
      <c r="C103" s="679">
        <v>2020</v>
      </c>
      <c r="D103" s="679">
        <v>2028</v>
      </c>
    </row>
    <row r="104" spans="1:4" ht="36" customHeight="1" x14ac:dyDescent="0.3">
      <c r="A104" s="687" t="s">
        <v>960</v>
      </c>
      <c r="B104" s="683">
        <v>0.5</v>
      </c>
      <c r="C104" s="679">
        <v>2020</v>
      </c>
      <c r="D104" s="697">
        <v>2028</v>
      </c>
    </row>
    <row r="105" spans="1:4" ht="36" customHeight="1" x14ac:dyDescent="0.3">
      <c r="A105" s="687" t="s">
        <v>961</v>
      </c>
      <c r="B105" s="683">
        <v>0.62</v>
      </c>
      <c r="C105" s="679">
        <v>2020</v>
      </c>
      <c r="D105" s="697">
        <v>2028</v>
      </c>
    </row>
    <row r="106" spans="1:4" ht="36" customHeight="1" x14ac:dyDescent="0.3">
      <c r="A106" s="687" t="s">
        <v>962</v>
      </c>
      <c r="B106" s="683">
        <v>0.625</v>
      </c>
      <c r="C106" s="679">
        <v>2020</v>
      </c>
      <c r="D106" s="697">
        <v>2028</v>
      </c>
    </row>
    <row r="107" spans="1:4" ht="36" customHeight="1" x14ac:dyDescent="0.3">
      <c r="A107" s="678"/>
      <c r="B107" s="683"/>
      <c r="C107" s="679"/>
      <c r="D107" s="679"/>
    </row>
    <row r="108" spans="1:4" ht="36" customHeight="1" x14ac:dyDescent="0.3">
      <c r="A108" s="678"/>
      <c r="B108" s="683"/>
      <c r="C108" s="679"/>
      <c r="D108" s="679"/>
    </row>
    <row r="109" spans="1:4" ht="36" customHeight="1" x14ac:dyDescent="0.3">
      <c r="A109" s="678"/>
      <c r="B109" s="683"/>
      <c r="C109" s="679"/>
      <c r="D109" s="679"/>
    </row>
    <row r="110" spans="1:4" ht="36" customHeight="1" x14ac:dyDescent="0.3">
      <c r="A110" s="678"/>
      <c r="B110" s="683"/>
      <c r="C110" s="679"/>
      <c r="D110" s="679"/>
    </row>
    <row r="111" spans="1:4" ht="36" customHeight="1" x14ac:dyDescent="0.3">
      <c r="A111" s="678"/>
      <c r="B111" s="683"/>
      <c r="C111" s="679"/>
      <c r="D111" s="679"/>
    </row>
    <row r="112" spans="1:4" ht="36" customHeight="1" x14ac:dyDescent="0.3">
      <c r="A112" s="1406" t="s">
        <v>963</v>
      </c>
      <c r="B112" s="1406"/>
      <c r="C112" s="1406"/>
      <c r="D112" s="1406"/>
    </row>
    <row r="113" spans="1:4" ht="15.75" customHeight="1" x14ac:dyDescent="0.3">
      <c r="A113" s="1407" t="s">
        <v>964</v>
      </c>
      <c r="B113" s="1407"/>
      <c r="C113" s="1407"/>
      <c r="D113" s="1407"/>
    </row>
    <row r="114" spans="1:4" ht="15.75" customHeight="1" x14ac:dyDescent="0.3">
      <c r="A114" s="1403" t="s">
        <v>965</v>
      </c>
      <c r="B114" s="1403"/>
      <c r="C114" s="1403"/>
      <c r="D114" s="1403"/>
    </row>
    <row r="115" spans="1:4" ht="15.75" customHeight="1" x14ac:dyDescent="0.3">
      <c r="A115" s="1407" t="s">
        <v>966</v>
      </c>
      <c r="B115" s="1407"/>
      <c r="C115" s="1407"/>
      <c r="D115" s="1407"/>
    </row>
    <row r="116" spans="1:4" ht="21.9" customHeight="1" x14ac:dyDescent="0.3">
      <c r="A116" s="1408" t="s">
        <v>967</v>
      </c>
      <c r="B116" s="1408"/>
      <c r="C116" s="1408"/>
      <c r="D116" s="1408"/>
    </row>
    <row r="117" spans="1:4" ht="21" customHeight="1" x14ac:dyDescent="0.3">
      <c r="A117" s="1404" t="s">
        <v>968</v>
      </c>
      <c r="B117" s="1404"/>
      <c r="C117" s="1404"/>
      <c r="D117" s="1404"/>
    </row>
    <row r="118" spans="1:4" ht="15.75" customHeight="1" x14ac:dyDescent="0.3">
      <c r="A118" s="1404" t="s">
        <v>969</v>
      </c>
      <c r="B118" s="1404"/>
      <c r="C118" s="1404"/>
      <c r="D118" s="1404"/>
    </row>
    <row r="119" spans="1:4" ht="15.75" customHeight="1" x14ac:dyDescent="0.3">
      <c r="A119" s="1404" t="s">
        <v>970</v>
      </c>
      <c r="B119" s="1404"/>
      <c r="C119" s="1404"/>
      <c r="D119" s="1404"/>
    </row>
  </sheetData>
  <sheetProtection algorithmName="SHA-512" hashValue="JUv3hmo8GmNafP2C3cSb4PgSBLmWwf4yXEdhgi59i6CWTqxCf+qalfkg5TodjzDQw2B6s940/O+iXmOv8r5p4w==" saltValue="zet0ItdJrJNLuGLCnL0msw==" spinCount="100000" sheet="1" objects="1" scenarios="1"/>
  <sortState xmlns:xlrd2="http://schemas.microsoft.com/office/spreadsheetml/2017/richdata2" ref="A7:D106">
    <sortCondition ref="D7:D106"/>
  </sortState>
  <mergeCells count="11">
    <mergeCell ref="A115:D115"/>
    <mergeCell ref="A116:D116"/>
    <mergeCell ref="A117:D117"/>
    <mergeCell ref="A118:D118"/>
    <mergeCell ref="A119:D119"/>
    <mergeCell ref="A114:D114"/>
    <mergeCell ref="A1:D1"/>
    <mergeCell ref="A2:D2"/>
    <mergeCell ref="A3:D3"/>
    <mergeCell ref="A112:D112"/>
    <mergeCell ref="A113:D11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U77"/>
  <sheetViews>
    <sheetView workbookViewId="0">
      <selection activeCell="A12" sqref="A12"/>
    </sheetView>
  </sheetViews>
  <sheetFormatPr defaultColWidth="9.109375" defaultRowHeight="14.4" x14ac:dyDescent="0.3"/>
  <cols>
    <col min="1" max="1" width="38.109375" style="705" customWidth="1"/>
    <col min="2" max="12" width="9.109375" style="705"/>
    <col min="13" max="13" width="28.44140625" style="593" customWidth="1"/>
    <col min="14" max="17" width="9.109375" style="705"/>
    <col min="18" max="18" width="19" style="705" customWidth="1"/>
    <col min="19" max="16384" width="9.109375" style="705"/>
  </cols>
  <sheetData>
    <row r="1" spans="1:21" x14ac:dyDescent="0.3">
      <c r="A1" s="705" t="s">
        <v>1297</v>
      </c>
      <c r="M1" s="1109" t="s">
        <v>1525</v>
      </c>
      <c r="N1" s="1108"/>
      <c r="O1" s="1108"/>
      <c r="P1" s="1108"/>
      <c r="Q1" s="1108"/>
      <c r="R1" s="1108" t="s">
        <v>1526</v>
      </c>
    </row>
    <row r="2" spans="1:21" x14ac:dyDescent="0.3">
      <c r="A2" s="1146" t="s">
        <v>1429</v>
      </c>
      <c r="B2" s="1147">
        <v>52821</v>
      </c>
      <c r="C2" s="691"/>
      <c r="D2" s="56"/>
      <c r="E2" s="56"/>
      <c r="G2" s="705">
        <v>100</v>
      </c>
      <c r="I2" s="705" t="s">
        <v>369</v>
      </c>
      <c r="M2" s="1110" t="s">
        <v>1429</v>
      </c>
      <c r="N2" s="1112">
        <v>52821</v>
      </c>
      <c r="O2" s="1108" t="b">
        <f>EXACT(A2,M2)</f>
        <v>1</v>
      </c>
      <c r="P2" s="1108" t="b">
        <f>EXACT(B2,N2)</f>
        <v>1</v>
      </c>
      <c r="R2" s="1108" t="s">
        <v>1429</v>
      </c>
      <c r="S2" s="1108">
        <v>52821</v>
      </c>
      <c r="T2" s="1108" t="b">
        <f>EXACT(M2,R2)</f>
        <v>1</v>
      </c>
      <c r="U2" s="1108" t="b">
        <f>EXACT(N2,S2)</f>
        <v>1</v>
      </c>
    </row>
    <row r="3" spans="1:21" x14ac:dyDescent="0.3">
      <c r="A3" s="1146" t="s">
        <v>1430</v>
      </c>
      <c r="B3" s="1148">
        <v>52823</v>
      </c>
      <c r="C3" s="691"/>
      <c r="D3" s="55"/>
      <c r="E3" s="56"/>
      <c r="G3" s="705">
        <v>200</v>
      </c>
      <c r="I3" s="705" t="s">
        <v>370</v>
      </c>
      <c r="M3" s="1110" t="s">
        <v>1430</v>
      </c>
      <c r="N3" s="1113">
        <v>52823</v>
      </c>
      <c r="O3" s="1108" t="b">
        <f t="shared" ref="O3:O58" si="0">EXACT(A3,M3)</f>
        <v>1</v>
      </c>
      <c r="P3" s="1108" t="b">
        <f t="shared" ref="P3:P58" si="1">EXACT(B3,N3)</f>
        <v>1</v>
      </c>
      <c r="R3" s="1108" t="s">
        <v>1430</v>
      </c>
      <c r="S3" s="1108">
        <v>52823</v>
      </c>
      <c r="T3" s="1108" t="b">
        <f t="shared" ref="T3:T58" si="2">EXACT(M3,R3)</f>
        <v>1</v>
      </c>
      <c r="U3" s="1108" t="b">
        <f t="shared" ref="U3:U58" si="3">EXACT(N3,S3)</f>
        <v>1</v>
      </c>
    </row>
    <row r="4" spans="1:21" x14ac:dyDescent="0.3">
      <c r="A4" s="1146" t="s">
        <v>1431</v>
      </c>
      <c r="B4" s="1148">
        <v>52824</v>
      </c>
      <c r="C4" s="691"/>
      <c r="D4" s="55"/>
      <c r="E4" s="56"/>
      <c r="G4" s="705">
        <v>300</v>
      </c>
      <c r="I4" s="705" t="s">
        <v>371</v>
      </c>
      <c r="M4" s="1110" t="s">
        <v>1431</v>
      </c>
      <c r="N4" s="1113">
        <v>52824</v>
      </c>
      <c r="O4" s="1108" t="b">
        <f t="shared" si="0"/>
        <v>1</v>
      </c>
      <c r="P4" s="1108" t="b">
        <f t="shared" si="1"/>
        <v>1</v>
      </c>
      <c r="R4" s="1108" t="s">
        <v>1431</v>
      </c>
      <c r="S4" s="1108">
        <v>52824</v>
      </c>
      <c r="T4" s="1108" t="b">
        <f t="shared" si="2"/>
        <v>1</v>
      </c>
      <c r="U4" s="1108" t="b">
        <f t="shared" si="3"/>
        <v>1</v>
      </c>
    </row>
    <row r="5" spans="1:21" x14ac:dyDescent="0.3">
      <c r="A5" s="1146" t="s">
        <v>1432</v>
      </c>
      <c r="B5" s="1148">
        <v>52825</v>
      </c>
      <c r="C5" s="691"/>
      <c r="D5" s="55"/>
      <c r="E5" s="56"/>
      <c r="G5" s="705">
        <v>400</v>
      </c>
      <c r="M5" s="1110" t="s">
        <v>1432</v>
      </c>
      <c r="N5" s="1113">
        <v>52825</v>
      </c>
      <c r="O5" s="1108" t="b">
        <f t="shared" si="0"/>
        <v>1</v>
      </c>
      <c r="P5" s="1108" t="b">
        <f t="shared" si="1"/>
        <v>1</v>
      </c>
      <c r="R5" s="1108" t="s">
        <v>1432</v>
      </c>
      <c r="S5" s="1108">
        <v>52825</v>
      </c>
      <c r="T5" s="1108" t="b">
        <f t="shared" si="2"/>
        <v>1</v>
      </c>
      <c r="U5" s="1108" t="b">
        <f t="shared" si="3"/>
        <v>1</v>
      </c>
    </row>
    <row r="6" spans="1:21" x14ac:dyDescent="0.3">
      <c r="A6" s="1146" t="s">
        <v>1433</v>
      </c>
      <c r="B6" s="1148">
        <v>52826</v>
      </c>
      <c r="C6" s="691"/>
      <c r="D6" s="55"/>
      <c r="E6" s="56"/>
      <c r="G6" s="705">
        <v>500</v>
      </c>
      <c r="M6" s="1110" t="s">
        <v>1433</v>
      </c>
      <c r="N6" s="1113">
        <v>52826</v>
      </c>
      <c r="O6" s="1108" t="b">
        <f t="shared" si="0"/>
        <v>1</v>
      </c>
      <c r="P6" s="1108" t="b">
        <f t="shared" si="1"/>
        <v>1</v>
      </c>
      <c r="R6" s="1108" t="s">
        <v>1433</v>
      </c>
      <c r="S6" s="1108">
        <v>52826</v>
      </c>
      <c r="T6" s="1108" t="b">
        <f t="shared" si="2"/>
        <v>1</v>
      </c>
      <c r="U6" s="1108" t="b">
        <f t="shared" si="3"/>
        <v>1</v>
      </c>
    </row>
    <row r="7" spans="1:21" x14ac:dyDescent="0.3">
      <c r="A7" s="1146" t="s">
        <v>1434</v>
      </c>
      <c r="B7" s="1148">
        <v>52827</v>
      </c>
      <c r="C7" s="691"/>
      <c r="D7" s="55"/>
      <c r="E7" s="56"/>
      <c r="M7" s="1110" t="s">
        <v>1434</v>
      </c>
      <c r="N7" s="1113">
        <v>52827</v>
      </c>
      <c r="O7" s="1108" t="b">
        <f t="shared" si="0"/>
        <v>1</v>
      </c>
      <c r="P7" s="1108" t="b">
        <f t="shared" si="1"/>
        <v>1</v>
      </c>
      <c r="R7" s="1108" t="s">
        <v>1434</v>
      </c>
      <c r="S7" s="1108">
        <v>52827</v>
      </c>
      <c r="T7" s="1108" t="b">
        <f t="shared" si="2"/>
        <v>1</v>
      </c>
      <c r="U7" s="1108" t="b">
        <f t="shared" si="3"/>
        <v>1</v>
      </c>
    </row>
    <row r="8" spans="1:21" x14ac:dyDescent="0.3">
      <c r="A8" s="1146" t="s">
        <v>1435</v>
      </c>
      <c r="B8" s="1147">
        <v>52828</v>
      </c>
      <c r="C8" s="691"/>
      <c r="D8" s="55"/>
      <c r="E8" s="56"/>
      <c r="M8" s="1110" t="s">
        <v>1435</v>
      </c>
      <c r="N8" s="1112">
        <v>52828</v>
      </c>
      <c r="O8" s="1108" t="b">
        <f t="shared" si="0"/>
        <v>1</v>
      </c>
      <c r="P8" s="1108" t="b">
        <f t="shared" si="1"/>
        <v>1</v>
      </c>
      <c r="R8" s="1108" t="s">
        <v>1435</v>
      </c>
      <c r="S8" s="1108">
        <v>52828</v>
      </c>
      <c r="T8" s="1108" t="b">
        <f t="shared" si="2"/>
        <v>1</v>
      </c>
      <c r="U8" s="1108" t="b">
        <f t="shared" si="3"/>
        <v>1</v>
      </c>
    </row>
    <row r="9" spans="1:21" x14ac:dyDescent="0.3">
      <c r="A9" s="1146" t="s">
        <v>1436</v>
      </c>
      <c r="B9" s="1149">
        <v>52829</v>
      </c>
      <c r="C9" s="691"/>
      <c r="D9" s="55"/>
      <c r="E9" s="56"/>
      <c r="M9" s="1110" t="s">
        <v>1436</v>
      </c>
      <c r="N9" s="1111">
        <v>52829</v>
      </c>
      <c r="O9" s="1108" t="b">
        <f t="shared" si="0"/>
        <v>1</v>
      </c>
      <c r="P9" s="1108" t="b">
        <f t="shared" si="1"/>
        <v>1</v>
      </c>
      <c r="R9" s="1108" t="s">
        <v>1436</v>
      </c>
      <c r="S9" s="1108">
        <v>52829</v>
      </c>
      <c r="T9" s="1108" t="b">
        <f t="shared" si="2"/>
        <v>1</v>
      </c>
      <c r="U9" s="1108" t="b">
        <f t="shared" si="3"/>
        <v>1</v>
      </c>
    </row>
    <row r="10" spans="1:21" x14ac:dyDescent="0.3">
      <c r="A10" s="1146" t="s">
        <v>1437</v>
      </c>
      <c r="B10" s="1149">
        <v>52830</v>
      </c>
      <c r="C10" s="691"/>
      <c r="D10" s="55"/>
      <c r="E10" s="56"/>
      <c r="M10" s="1110" t="s">
        <v>1437</v>
      </c>
      <c r="N10" s="1114">
        <v>52830</v>
      </c>
      <c r="O10" s="1108" t="b">
        <f t="shared" si="0"/>
        <v>1</v>
      </c>
      <c r="P10" s="1108" t="b">
        <f t="shared" si="1"/>
        <v>1</v>
      </c>
      <c r="R10" s="1108" t="s">
        <v>1437</v>
      </c>
      <c r="S10" s="1108">
        <v>52830</v>
      </c>
      <c r="T10" s="1108" t="b">
        <f t="shared" si="2"/>
        <v>1</v>
      </c>
      <c r="U10" s="1108" t="b">
        <f t="shared" si="3"/>
        <v>1</v>
      </c>
    </row>
    <row r="11" spans="1:21" x14ac:dyDescent="0.3">
      <c r="A11" s="1146" t="s">
        <v>1438</v>
      </c>
      <c r="B11" s="1150">
        <v>52831</v>
      </c>
      <c r="C11" s="691"/>
      <c r="D11" s="55"/>
      <c r="E11" s="56"/>
      <c r="M11" s="1110" t="s">
        <v>1438</v>
      </c>
      <c r="N11" s="1115">
        <v>52831</v>
      </c>
      <c r="O11" s="1108" t="b">
        <f t="shared" si="0"/>
        <v>1</v>
      </c>
      <c r="P11" s="1108" t="b">
        <f t="shared" si="1"/>
        <v>1</v>
      </c>
      <c r="R11" s="1108" t="s">
        <v>1438</v>
      </c>
      <c r="S11" s="1108">
        <v>52831</v>
      </c>
      <c r="T11" s="1108" t="b">
        <f t="shared" si="2"/>
        <v>1</v>
      </c>
      <c r="U11" s="1108" t="b">
        <f t="shared" si="3"/>
        <v>1</v>
      </c>
    </row>
    <row r="12" spans="1:21" x14ac:dyDescent="0.3">
      <c r="A12" s="1146" t="s">
        <v>1439</v>
      </c>
      <c r="B12" s="1149">
        <v>52832</v>
      </c>
      <c r="C12" s="691"/>
      <c r="D12" s="55"/>
      <c r="E12" s="56"/>
      <c r="M12" s="1110" t="s">
        <v>1439</v>
      </c>
      <c r="N12" s="1114">
        <v>52832</v>
      </c>
      <c r="O12" s="1108" t="b">
        <f t="shared" si="0"/>
        <v>1</v>
      </c>
      <c r="P12" s="1108" t="b">
        <f t="shared" si="1"/>
        <v>1</v>
      </c>
      <c r="R12" s="1108" t="s">
        <v>1439</v>
      </c>
      <c r="S12" s="1108">
        <v>52832</v>
      </c>
      <c r="T12" s="1108" t="b">
        <f t="shared" si="2"/>
        <v>1</v>
      </c>
      <c r="U12" s="1108" t="b">
        <f t="shared" si="3"/>
        <v>1</v>
      </c>
    </row>
    <row r="13" spans="1:21" x14ac:dyDescent="0.3">
      <c r="A13" s="1146" t="s">
        <v>1440</v>
      </c>
      <c r="B13" s="1149">
        <v>52833</v>
      </c>
      <c r="C13" s="691"/>
      <c r="D13" s="55"/>
      <c r="E13" s="56"/>
      <c r="M13" s="1110" t="s">
        <v>1440</v>
      </c>
      <c r="N13" s="1114">
        <v>52833</v>
      </c>
      <c r="O13" s="1108" t="b">
        <f t="shared" si="0"/>
        <v>1</v>
      </c>
      <c r="P13" s="1108" t="b">
        <f t="shared" si="1"/>
        <v>1</v>
      </c>
      <c r="R13" s="1108" t="s">
        <v>1440</v>
      </c>
      <c r="S13" s="1108">
        <v>52833</v>
      </c>
      <c r="T13" s="1108" t="b">
        <f t="shared" si="2"/>
        <v>1</v>
      </c>
      <c r="U13" s="1108" t="b">
        <f t="shared" si="3"/>
        <v>1</v>
      </c>
    </row>
    <row r="14" spans="1:21" ht="28.8" x14ac:dyDescent="0.3">
      <c r="A14" s="1146" t="s">
        <v>1441</v>
      </c>
      <c r="B14" s="1149">
        <v>52834</v>
      </c>
      <c r="C14" s="691"/>
      <c r="D14" s="55"/>
      <c r="E14" s="56"/>
      <c r="M14" s="1110" t="s">
        <v>1441</v>
      </c>
      <c r="N14" s="1114">
        <v>52834</v>
      </c>
      <c r="O14" s="1108" t="b">
        <f t="shared" si="0"/>
        <v>1</v>
      </c>
      <c r="P14" s="1108" t="b">
        <f t="shared" si="1"/>
        <v>1</v>
      </c>
      <c r="R14" s="1108" t="s">
        <v>1441</v>
      </c>
      <c r="S14" s="1108">
        <v>52834</v>
      </c>
      <c r="T14" s="1108" t="b">
        <f t="shared" si="2"/>
        <v>1</v>
      </c>
      <c r="U14" s="1108" t="b">
        <f t="shared" si="3"/>
        <v>1</v>
      </c>
    </row>
    <row r="15" spans="1:21" x14ac:dyDescent="0.3">
      <c r="A15" s="1146" t="s">
        <v>1442</v>
      </c>
      <c r="B15" s="1149">
        <v>52835</v>
      </c>
      <c r="C15" s="691"/>
      <c r="D15" s="55"/>
      <c r="E15" s="56"/>
      <c r="M15" s="1110" t="s">
        <v>1442</v>
      </c>
      <c r="N15" s="1114">
        <v>52835</v>
      </c>
      <c r="O15" s="1108" t="b">
        <f t="shared" si="0"/>
        <v>1</v>
      </c>
      <c r="P15" s="1108" t="b">
        <f t="shared" si="1"/>
        <v>1</v>
      </c>
      <c r="R15" s="1108" t="s">
        <v>1442</v>
      </c>
      <c r="S15" s="1108">
        <v>52835</v>
      </c>
      <c r="T15" s="1108" t="b">
        <f t="shared" si="2"/>
        <v>1</v>
      </c>
      <c r="U15" s="1108" t="b">
        <f t="shared" si="3"/>
        <v>1</v>
      </c>
    </row>
    <row r="16" spans="1:21" ht="28.8" x14ac:dyDescent="0.3">
      <c r="A16" s="1146" t="s">
        <v>1443</v>
      </c>
      <c r="B16" s="1149">
        <v>524017</v>
      </c>
      <c r="C16" s="691"/>
      <c r="D16" s="55"/>
      <c r="E16" s="56"/>
      <c r="M16" s="1110" t="s">
        <v>1443</v>
      </c>
      <c r="N16" s="1114">
        <v>524017</v>
      </c>
      <c r="O16" s="1108" t="b">
        <f t="shared" si="0"/>
        <v>1</v>
      </c>
      <c r="P16" s="1108" t="b">
        <f t="shared" si="1"/>
        <v>1</v>
      </c>
      <c r="R16" s="1108" t="s">
        <v>1443</v>
      </c>
      <c r="S16" s="1108">
        <v>524017</v>
      </c>
      <c r="T16" s="1108" t="b">
        <f t="shared" si="2"/>
        <v>1</v>
      </c>
      <c r="U16" s="1108" t="b">
        <f t="shared" si="3"/>
        <v>1</v>
      </c>
    </row>
    <row r="17" spans="1:21" x14ac:dyDescent="0.3">
      <c r="A17" s="1146" t="s">
        <v>1444</v>
      </c>
      <c r="B17" s="1149">
        <v>52994</v>
      </c>
      <c r="C17" s="691"/>
      <c r="D17" s="55"/>
      <c r="E17" s="56"/>
      <c r="M17" s="1110" t="s">
        <v>1444</v>
      </c>
      <c r="N17" s="1114">
        <v>52994</v>
      </c>
      <c r="O17" s="1108" t="b">
        <f t="shared" si="0"/>
        <v>1</v>
      </c>
      <c r="P17" s="1108" t="b">
        <f t="shared" si="1"/>
        <v>1</v>
      </c>
      <c r="R17" s="1108" t="s">
        <v>1444</v>
      </c>
      <c r="S17" s="1108">
        <v>52994</v>
      </c>
      <c r="T17" s="1108" t="b">
        <f t="shared" si="2"/>
        <v>1</v>
      </c>
      <c r="U17" s="1108" t="b">
        <f t="shared" si="3"/>
        <v>1</v>
      </c>
    </row>
    <row r="18" spans="1:21" x14ac:dyDescent="0.3">
      <c r="A18" s="1146" t="s">
        <v>1445</v>
      </c>
      <c r="B18" s="1149">
        <v>52836</v>
      </c>
      <c r="C18" s="691"/>
      <c r="D18" s="55"/>
      <c r="E18" s="56"/>
      <c r="M18" s="1110" t="s">
        <v>1445</v>
      </c>
      <c r="N18" s="1114">
        <v>52836</v>
      </c>
      <c r="O18" s="1108" t="b">
        <f t="shared" si="0"/>
        <v>1</v>
      </c>
      <c r="P18" s="1108" t="b">
        <f t="shared" si="1"/>
        <v>1</v>
      </c>
      <c r="R18" s="1108" t="s">
        <v>1445</v>
      </c>
      <c r="S18" s="1108">
        <v>52836</v>
      </c>
      <c r="T18" s="1108" t="b">
        <f t="shared" si="2"/>
        <v>1</v>
      </c>
      <c r="U18" s="1108" t="b">
        <f t="shared" si="3"/>
        <v>1</v>
      </c>
    </row>
    <row r="19" spans="1:21" x14ac:dyDescent="0.3">
      <c r="A19" s="1146" t="s">
        <v>1446</v>
      </c>
      <c r="B19" s="1149">
        <v>52837</v>
      </c>
      <c r="C19" s="691"/>
      <c r="D19" s="55"/>
      <c r="E19" s="56"/>
      <c r="M19" s="1110" t="s">
        <v>1446</v>
      </c>
      <c r="N19" s="1114">
        <v>52837</v>
      </c>
      <c r="O19" s="1108" t="b">
        <f t="shared" si="0"/>
        <v>1</v>
      </c>
      <c r="P19" s="1108" t="b">
        <f t="shared" si="1"/>
        <v>1</v>
      </c>
      <c r="R19" s="1108" t="s">
        <v>1446</v>
      </c>
      <c r="S19" s="1108">
        <v>52837</v>
      </c>
      <c r="T19" s="1108" t="b">
        <f t="shared" si="2"/>
        <v>1</v>
      </c>
      <c r="U19" s="1108" t="b">
        <f t="shared" si="3"/>
        <v>1</v>
      </c>
    </row>
    <row r="20" spans="1:21" x14ac:dyDescent="0.3">
      <c r="A20" s="1146" t="s">
        <v>1447</v>
      </c>
      <c r="B20" s="1149">
        <v>52838</v>
      </c>
      <c r="C20" s="691"/>
      <c r="D20" s="55"/>
      <c r="E20" s="56"/>
      <c r="M20" s="1110" t="s">
        <v>1447</v>
      </c>
      <c r="N20" s="1114">
        <v>52838</v>
      </c>
      <c r="O20" s="1108" t="b">
        <f t="shared" si="0"/>
        <v>1</v>
      </c>
      <c r="P20" s="1108" t="b">
        <f t="shared" si="1"/>
        <v>1</v>
      </c>
      <c r="R20" s="1108" t="s">
        <v>1447</v>
      </c>
      <c r="S20" s="1108">
        <v>52838</v>
      </c>
      <c r="T20" s="1108" t="b">
        <f t="shared" si="2"/>
        <v>1</v>
      </c>
      <c r="U20" s="1108" t="b">
        <f t="shared" si="3"/>
        <v>1</v>
      </c>
    </row>
    <row r="21" spans="1:21" x14ac:dyDescent="0.3">
      <c r="A21" s="1146" t="s">
        <v>1448</v>
      </c>
      <c r="B21" s="1149">
        <v>52839</v>
      </c>
      <c r="C21" s="691"/>
      <c r="D21" s="55"/>
      <c r="E21" s="56"/>
      <c r="M21" s="1110" t="s">
        <v>1448</v>
      </c>
      <c r="N21" s="1114">
        <v>52839</v>
      </c>
      <c r="O21" s="1108" t="b">
        <f t="shared" si="0"/>
        <v>1</v>
      </c>
      <c r="P21" s="1108" t="b">
        <f t="shared" si="1"/>
        <v>1</v>
      </c>
      <c r="R21" s="1108" t="s">
        <v>1448</v>
      </c>
      <c r="S21" s="1108">
        <v>52839</v>
      </c>
      <c r="T21" s="1108" t="b">
        <f t="shared" si="2"/>
        <v>1</v>
      </c>
      <c r="U21" s="1108" t="b">
        <f t="shared" si="3"/>
        <v>1</v>
      </c>
    </row>
    <row r="22" spans="1:21" x14ac:dyDescent="0.3">
      <c r="A22" s="1146" t="s">
        <v>1449</v>
      </c>
      <c r="B22" s="1149">
        <v>52840</v>
      </c>
      <c r="C22" s="691"/>
      <c r="D22" s="55"/>
      <c r="E22" s="56"/>
      <c r="M22" s="1110" t="s">
        <v>1449</v>
      </c>
      <c r="N22" s="1114">
        <v>52840</v>
      </c>
      <c r="O22" s="1108" t="b">
        <f t="shared" si="0"/>
        <v>1</v>
      </c>
      <c r="P22" s="1108" t="b">
        <f t="shared" si="1"/>
        <v>1</v>
      </c>
      <c r="R22" s="1108" t="s">
        <v>1449</v>
      </c>
      <c r="S22" s="1108">
        <v>52840</v>
      </c>
      <c r="T22" s="1108" t="b">
        <f t="shared" si="2"/>
        <v>1</v>
      </c>
      <c r="U22" s="1108" t="b">
        <f t="shared" si="3"/>
        <v>1</v>
      </c>
    </row>
    <row r="23" spans="1:21" x14ac:dyDescent="0.3">
      <c r="A23" s="1146" t="s">
        <v>1450</v>
      </c>
      <c r="B23" s="1149">
        <v>52841</v>
      </c>
      <c r="C23" s="691"/>
      <c r="D23" s="55"/>
      <c r="E23" s="56"/>
      <c r="M23" s="1110" t="s">
        <v>1450</v>
      </c>
      <c r="N23" s="1114">
        <v>52841</v>
      </c>
      <c r="O23" s="1108" t="b">
        <f t="shared" si="0"/>
        <v>1</v>
      </c>
      <c r="P23" s="1108" t="b">
        <f t="shared" si="1"/>
        <v>1</v>
      </c>
      <c r="R23" s="1108" t="s">
        <v>1450</v>
      </c>
      <c r="S23" s="1108">
        <v>52841</v>
      </c>
      <c r="T23" s="1108" t="b">
        <f t="shared" si="2"/>
        <v>1</v>
      </c>
      <c r="U23" s="1108" t="b">
        <f t="shared" si="3"/>
        <v>1</v>
      </c>
    </row>
    <row r="24" spans="1:21" x14ac:dyDescent="0.3">
      <c r="A24" s="1146" t="s">
        <v>1451</v>
      </c>
      <c r="B24" s="1149">
        <v>52842</v>
      </c>
      <c r="C24" s="691"/>
      <c r="D24" s="55"/>
      <c r="E24" s="56"/>
      <c r="M24" s="1110" t="s">
        <v>1451</v>
      </c>
      <c r="N24" s="1114">
        <v>52842</v>
      </c>
      <c r="O24" s="1108" t="b">
        <f t="shared" si="0"/>
        <v>1</v>
      </c>
      <c r="P24" s="1108" t="b">
        <f t="shared" si="1"/>
        <v>1</v>
      </c>
      <c r="R24" s="1108" t="s">
        <v>1451</v>
      </c>
      <c r="S24" s="1108">
        <v>52842</v>
      </c>
      <c r="T24" s="1108" t="b">
        <f t="shared" si="2"/>
        <v>1</v>
      </c>
      <c r="U24" s="1108" t="b">
        <f t="shared" si="3"/>
        <v>1</v>
      </c>
    </row>
    <row r="25" spans="1:21" x14ac:dyDescent="0.3">
      <c r="A25" s="1146" t="s">
        <v>1452</v>
      </c>
      <c r="B25" s="1149">
        <v>52843</v>
      </c>
      <c r="C25" s="691"/>
      <c r="D25" s="55"/>
      <c r="E25" s="56"/>
      <c r="M25" s="1110" t="s">
        <v>1452</v>
      </c>
      <c r="N25" s="1116">
        <v>52843</v>
      </c>
      <c r="O25" s="1108" t="b">
        <f t="shared" si="0"/>
        <v>1</v>
      </c>
      <c r="P25" s="1108" t="b">
        <f t="shared" si="1"/>
        <v>1</v>
      </c>
      <c r="R25" s="1108" t="s">
        <v>1452</v>
      </c>
      <c r="S25" s="1108">
        <v>52843</v>
      </c>
      <c r="T25" s="1108" t="b">
        <f t="shared" si="2"/>
        <v>1</v>
      </c>
      <c r="U25" s="1108" t="b">
        <f t="shared" si="3"/>
        <v>1</v>
      </c>
    </row>
    <row r="26" spans="1:21" x14ac:dyDescent="0.3">
      <c r="A26" s="1146" t="s">
        <v>1453</v>
      </c>
      <c r="B26" s="1150">
        <v>52844</v>
      </c>
      <c r="C26" s="691"/>
      <c r="D26" s="55"/>
      <c r="E26" s="56"/>
      <c r="M26" s="1110" t="s">
        <v>1453</v>
      </c>
      <c r="N26" s="1116">
        <v>52844</v>
      </c>
      <c r="O26" s="1108" t="b">
        <f t="shared" si="0"/>
        <v>1</v>
      </c>
      <c r="P26" s="1108" t="b">
        <f t="shared" si="1"/>
        <v>1</v>
      </c>
      <c r="R26" s="1108" t="s">
        <v>1453</v>
      </c>
      <c r="S26" s="1108">
        <v>52844</v>
      </c>
      <c r="T26" s="1108" t="b">
        <f t="shared" si="2"/>
        <v>1</v>
      </c>
      <c r="U26" s="1108" t="b">
        <f t="shared" si="3"/>
        <v>1</v>
      </c>
    </row>
    <row r="27" spans="1:21" x14ac:dyDescent="0.3">
      <c r="A27" s="1146" t="s">
        <v>1454</v>
      </c>
      <c r="B27" s="1150">
        <v>52845</v>
      </c>
      <c r="C27" s="691"/>
      <c r="D27" s="55"/>
      <c r="E27" s="56"/>
      <c r="M27" s="1110" t="s">
        <v>1454</v>
      </c>
      <c r="N27" s="1116">
        <v>52845</v>
      </c>
      <c r="O27" s="1108" t="b">
        <f t="shared" si="0"/>
        <v>1</v>
      </c>
      <c r="P27" s="1108" t="b">
        <f t="shared" si="1"/>
        <v>1</v>
      </c>
      <c r="R27" s="1108" t="s">
        <v>1454</v>
      </c>
      <c r="S27" s="1108">
        <v>52845</v>
      </c>
      <c r="T27" s="1108" t="b">
        <f t="shared" si="2"/>
        <v>1</v>
      </c>
      <c r="U27" s="1108" t="b">
        <f t="shared" si="3"/>
        <v>1</v>
      </c>
    </row>
    <row r="28" spans="1:21" x14ac:dyDescent="0.3">
      <c r="A28" s="1146" t="s">
        <v>1455</v>
      </c>
      <c r="B28" s="1150">
        <v>52846</v>
      </c>
      <c r="C28" s="691"/>
      <c r="D28" s="55"/>
      <c r="E28" s="56"/>
      <c r="M28" s="1110" t="s">
        <v>1455</v>
      </c>
      <c r="N28" s="1116">
        <v>52846</v>
      </c>
      <c r="O28" s="1108" t="b">
        <f t="shared" si="0"/>
        <v>1</v>
      </c>
      <c r="P28" s="1108" t="b">
        <f t="shared" si="1"/>
        <v>1</v>
      </c>
      <c r="R28" s="1108" t="s">
        <v>1455</v>
      </c>
      <c r="S28" s="1108">
        <v>52846</v>
      </c>
      <c r="T28" s="1108" t="b">
        <f t="shared" si="2"/>
        <v>1</v>
      </c>
      <c r="U28" s="1108" t="b">
        <f t="shared" si="3"/>
        <v>1</v>
      </c>
    </row>
    <row r="29" spans="1:21" x14ac:dyDescent="0.3">
      <c r="A29" s="1146" t="s">
        <v>1456</v>
      </c>
      <c r="B29" s="1150">
        <v>52847</v>
      </c>
      <c r="C29" s="691"/>
      <c r="D29" s="55"/>
      <c r="E29" s="56"/>
      <c r="M29" s="1110" t="s">
        <v>1456</v>
      </c>
      <c r="N29" s="1116">
        <v>52847</v>
      </c>
      <c r="O29" s="1108" t="b">
        <f t="shared" si="0"/>
        <v>1</v>
      </c>
      <c r="P29" s="1108" t="b">
        <f t="shared" si="1"/>
        <v>1</v>
      </c>
      <c r="R29" s="1108" t="s">
        <v>1456</v>
      </c>
      <c r="S29" s="1108">
        <v>52847</v>
      </c>
      <c r="T29" s="1108" t="b">
        <f t="shared" si="2"/>
        <v>1</v>
      </c>
      <c r="U29" s="1108" t="b">
        <f t="shared" si="3"/>
        <v>1</v>
      </c>
    </row>
    <row r="30" spans="1:21" x14ac:dyDescent="0.3">
      <c r="A30" s="1146" t="s">
        <v>1457</v>
      </c>
      <c r="B30" s="1150">
        <v>52848</v>
      </c>
      <c r="C30" s="691"/>
      <c r="D30" s="55"/>
      <c r="E30" s="56"/>
      <c r="M30" s="1110" t="s">
        <v>1457</v>
      </c>
      <c r="N30" s="1116">
        <v>52848</v>
      </c>
      <c r="O30" s="1108" t="b">
        <f t="shared" si="0"/>
        <v>1</v>
      </c>
      <c r="P30" s="1108" t="b">
        <f t="shared" si="1"/>
        <v>1</v>
      </c>
      <c r="R30" s="1108" t="s">
        <v>1457</v>
      </c>
      <c r="S30" s="1108">
        <v>52848</v>
      </c>
      <c r="T30" s="1108" t="b">
        <f t="shared" si="2"/>
        <v>1</v>
      </c>
      <c r="U30" s="1108" t="b">
        <f t="shared" si="3"/>
        <v>1</v>
      </c>
    </row>
    <row r="31" spans="1:21" x14ac:dyDescent="0.3">
      <c r="A31" s="1146" t="s">
        <v>1458</v>
      </c>
      <c r="B31" s="1150">
        <v>52849</v>
      </c>
      <c r="C31" s="691"/>
      <c r="D31" s="55"/>
      <c r="E31" s="56"/>
      <c r="M31" s="1110" t="s">
        <v>1458</v>
      </c>
      <c r="N31" s="1116">
        <v>52849</v>
      </c>
      <c r="O31" s="1108" t="b">
        <f t="shared" si="0"/>
        <v>1</v>
      </c>
      <c r="P31" s="1108" t="b">
        <f t="shared" si="1"/>
        <v>1</v>
      </c>
      <c r="R31" s="1108" t="s">
        <v>1458</v>
      </c>
      <c r="S31" s="1108">
        <v>52849</v>
      </c>
      <c r="T31" s="1108" t="b">
        <f t="shared" si="2"/>
        <v>1</v>
      </c>
      <c r="U31" s="1108" t="b">
        <f t="shared" si="3"/>
        <v>1</v>
      </c>
    </row>
    <row r="32" spans="1:21" x14ac:dyDescent="0.3">
      <c r="A32" s="1146" t="s">
        <v>1459</v>
      </c>
      <c r="B32" s="1150">
        <v>52850</v>
      </c>
      <c r="C32" s="691"/>
      <c r="D32" s="55"/>
      <c r="E32" s="56"/>
      <c r="M32" s="1110" t="s">
        <v>1459</v>
      </c>
      <c r="N32" s="1116">
        <v>52850</v>
      </c>
      <c r="O32" s="1108" t="b">
        <f t="shared" si="0"/>
        <v>1</v>
      </c>
      <c r="P32" s="1108" t="b">
        <f t="shared" si="1"/>
        <v>1</v>
      </c>
      <c r="R32" s="1108" t="s">
        <v>1459</v>
      </c>
      <c r="S32" s="1108">
        <v>52850</v>
      </c>
      <c r="T32" s="1108" t="b">
        <f t="shared" si="2"/>
        <v>1</v>
      </c>
      <c r="U32" s="1108" t="b">
        <f t="shared" si="3"/>
        <v>1</v>
      </c>
    </row>
    <row r="33" spans="1:21" x14ac:dyDescent="0.3">
      <c r="A33" s="1146" t="s">
        <v>1460</v>
      </c>
      <c r="B33" s="1150">
        <v>52851</v>
      </c>
      <c r="C33" s="691"/>
      <c r="D33" s="55"/>
      <c r="E33" s="56"/>
      <c r="M33" s="1110" t="s">
        <v>1460</v>
      </c>
      <c r="N33" s="1116">
        <v>52851</v>
      </c>
      <c r="O33" s="1108" t="b">
        <f t="shared" si="0"/>
        <v>1</v>
      </c>
      <c r="P33" s="1108" t="b">
        <f t="shared" si="1"/>
        <v>1</v>
      </c>
      <c r="R33" s="1108" t="s">
        <v>1460</v>
      </c>
      <c r="S33" s="1108">
        <v>52851</v>
      </c>
      <c r="T33" s="1108" t="b">
        <f t="shared" si="2"/>
        <v>1</v>
      </c>
      <c r="U33" s="1108" t="b">
        <f t="shared" si="3"/>
        <v>1</v>
      </c>
    </row>
    <row r="34" spans="1:21" ht="28.8" x14ac:dyDescent="0.3">
      <c r="A34" s="1146" t="s">
        <v>1461</v>
      </c>
      <c r="B34" s="1150">
        <v>52995</v>
      </c>
      <c r="C34" s="691"/>
      <c r="D34" s="55"/>
      <c r="E34" s="56"/>
      <c r="M34" s="1110" t="s">
        <v>1461</v>
      </c>
      <c r="N34" s="1116">
        <v>52995</v>
      </c>
      <c r="O34" s="1108" t="b">
        <f t="shared" si="0"/>
        <v>1</v>
      </c>
      <c r="P34" s="1108" t="b">
        <f t="shared" si="1"/>
        <v>1</v>
      </c>
      <c r="R34" s="1108" t="s">
        <v>1461</v>
      </c>
      <c r="S34" s="1108">
        <v>52995</v>
      </c>
      <c r="T34" s="1108" t="b">
        <f t="shared" si="2"/>
        <v>1</v>
      </c>
      <c r="U34" s="1108" t="b">
        <f t="shared" si="3"/>
        <v>1</v>
      </c>
    </row>
    <row r="35" spans="1:21" x14ac:dyDescent="0.3">
      <c r="A35" s="1146" t="s">
        <v>1462</v>
      </c>
      <c r="B35" s="1150">
        <v>52852</v>
      </c>
      <c r="C35" s="691"/>
      <c r="D35" s="55"/>
      <c r="E35" s="56"/>
      <c r="M35" s="1110" t="s">
        <v>1462</v>
      </c>
      <c r="N35" s="1116">
        <v>52852</v>
      </c>
      <c r="O35" s="1108" t="b">
        <f t="shared" si="0"/>
        <v>1</v>
      </c>
      <c r="P35" s="1108" t="b">
        <f t="shared" si="1"/>
        <v>1</v>
      </c>
      <c r="R35" s="1108" t="s">
        <v>1462</v>
      </c>
      <c r="S35" s="1108">
        <v>52852</v>
      </c>
      <c r="T35" s="1108" t="b">
        <f t="shared" si="2"/>
        <v>1</v>
      </c>
      <c r="U35" s="1108" t="b">
        <f t="shared" si="3"/>
        <v>1</v>
      </c>
    </row>
    <row r="36" spans="1:21" x14ac:dyDescent="0.3">
      <c r="A36" s="1146" t="s">
        <v>1463</v>
      </c>
      <c r="B36" s="1150">
        <v>52853</v>
      </c>
      <c r="C36" s="691"/>
      <c r="D36" s="55"/>
      <c r="E36" s="56"/>
      <c r="M36" s="1110" t="s">
        <v>1463</v>
      </c>
      <c r="N36" s="1116">
        <v>52853</v>
      </c>
      <c r="O36" s="1108" t="b">
        <f t="shared" si="0"/>
        <v>1</v>
      </c>
      <c r="P36" s="1108" t="b">
        <f t="shared" si="1"/>
        <v>1</v>
      </c>
      <c r="R36" s="1108" t="s">
        <v>1463</v>
      </c>
      <c r="S36" s="1108">
        <v>52853</v>
      </c>
      <c r="T36" s="1108" t="b">
        <f t="shared" si="2"/>
        <v>1</v>
      </c>
      <c r="U36" s="1108" t="b">
        <f t="shared" si="3"/>
        <v>1</v>
      </c>
    </row>
    <row r="37" spans="1:21" x14ac:dyDescent="0.3">
      <c r="A37" s="1146" t="s">
        <v>1464</v>
      </c>
      <c r="B37" s="1150">
        <v>52854</v>
      </c>
      <c r="C37" s="691"/>
      <c r="D37" s="55"/>
      <c r="E37" s="56"/>
      <c r="M37" s="1110" t="s">
        <v>1464</v>
      </c>
      <c r="N37" s="1116">
        <v>52854</v>
      </c>
      <c r="O37" s="1108" t="b">
        <f t="shared" si="0"/>
        <v>1</v>
      </c>
      <c r="P37" s="1108" t="b">
        <f t="shared" si="1"/>
        <v>1</v>
      </c>
      <c r="R37" s="1108" t="s">
        <v>1464</v>
      </c>
      <c r="S37" s="1108">
        <v>52854</v>
      </c>
      <c r="T37" s="1108" t="b">
        <f t="shared" si="2"/>
        <v>1</v>
      </c>
      <c r="U37" s="1108" t="b">
        <f t="shared" si="3"/>
        <v>1</v>
      </c>
    </row>
    <row r="38" spans="1:21" x14ac:dyDescent="0.3">
      <c r="A38" s="1146" t="s">
        <v>1465</v>
      </c>
      <c r="B38" s="1150">
        <v>52856</v>
      </c>
      <c r="C38" s="691"/>
      <c r="D38" s="55"/>
      <c r="E38" s="56"/>
      <c r="M38" s="1110" t="s">
        <v>1465</v>
      </c>
      <c r="N38" s="1116">
        <v>52856</v>
      </c>
      <c r="O38" s="1108" t="b">
        <f t="shared" si="0"/>
        <v>1</v>
      </c>
      <c r="P38" s="1108" t="b">
        <f t="shared" si="1"/>
        <v>1</v>
      </c>
      <c r="R38" s="1108" t="s">
        <v>1465</v>
      </c>
      <c r="S38" s="1108">
        <v>52856</v>
      </c>
      <c r="T38" s="1108" t="b">
        <f t="shared" si="2"/>
        <v>1</v>
      </c>
      <c r="U38" s="1108" t="b">
        <f t="shared" si="3"/>
        <v>1</v>
      </c>
    </row>
    <row r="39" spans="1:21" x14ac:dyDescent="0.3">
      <c r="A39" s="1146" t="s">
        <v>1466</v>
      </c>
      <c r="B39" s="1150">
        <v>52857</v>
      </c>
      <c r="C39" s="691"/>
      <c r="D39" s="55"/>
      <c r="E39" s="56"/>
      <c r="M39" s="1110" t="s">
        <v>1466</v>
      </c>
      <c r="N39" s="1116">
        <v>52857</v>
      </c>
      <c r="O39" s="1108" t="b">
        <f t="shared" si="0"/>
        <v>1</v>
      </c>
      <c r="P39" s="1108" t="b">
        <f t="shared" si="1"/>
        <v>1</v>
      </c>
      <c r="R39" s="1108" t="s">
        <v>1466</v>
      </c>
      <c r="S39" s="1108">
        <v>52857</v>
      </c>
      <c r="T39" s="1108" t="b">
        <f t="shared" si="2"/>
        <v>1</v>
      </c>
      <c r="U39" s="1108" t="b">
        <f t="shared" si="3"/>
        <v>1</v>
      </c>
    </row>
    <row r="40" spans="1:21" x14ac:dyDescent="0.3">
      <c r="A40" s="1146" t="s">
        <v>1467</v>
      </c>
      <c r="B40" s="1150">
        <v>52858</v>
      </c>
      <c r="C40" s="691"/>
      <c r="D40" s="55"/>
      <c r="E40" s="56"/>
      <c r="M40" s="1110" t="s">
        <v>1467</v>
      </c>
      <c r="N40" s="1116">
        <v>52858</v>
      </c>
      <c r="O40" s="1108" t="b">
        <f t="shared" si="0"/>
        <v>1</v>
      </c>
      <c r="P40" s="1108" t="b">
        <f t="shared" si="1"/>
        <v>1</v>
      </c>
      <c r="R40" s="1108" t="s">
        <v>1467</v>
      </c>
      <c r="S40" s="1108">
        <v>52858</v>
      </c>
      <c r="T40" s="1108" t="b">
        <f t="shared" si="2"/>
        <v>1</v>
      </c>
      <c r="U40" s="1108" t="b">
        <f t="shared" si="3"/>
        <v>1</v>
      </c>
    </row>
    <row r="41" spans="1:21" x14ac:dyDescent="0.3">
      <c r="A41" s="1146" t="s">
        <v>1468</v>
      </c>
      <c r="B41" s="1150">
        <v>52859</v>
      </c>
      <c r="C41" s="691"/>
      <c r="D41" s="55"/>
      <c r="E41" s="56"/>
      <c r="M41" s="1110" t="s">
        <v>1468</v>
      </c>
      <c r="N41" s="1116">
        <v>52859</v>
      </c>
      <c r="O41" s="1108" t="b">
        <f t="shared" si="0"/>
        <v>1</v>
      </c>
      <c r="P41" s="1108" t="b">
        <f t="shared" si="1"/>
        <v>1</v>
      </c>
      <c r="R41" s="1108" t="s">
        <v>1468</v>
      </c>
      <c r="S41" s="1108">
        <v>52859</v>
      </c>
      <c r="T41" s="1108" t="b">
        <f t="shared" si="2"/>
        <v>1</v>
      </c>
      <c r="U41" s="1108" t="b">
        <f t="shared" si="3"/>
        <v>1</v>
      </c>
    </row>
    <row r="42" spans="1:21" x14ac:dyDescent="0.3">
      <c r="A42" s="1146" t="s">
        <v>1469</v>
      </c>
      <c r="B42" s="1150">
        <v>52860</v>
      </c>
      <c r="C42" s="691"/>
      <c r="D42" s="55"/>
      <c r="E42" s="56"/>
      <c r="M42" s="1110" t="s">
        <v>1469</v>
      </c>
      <c r="N42" s="1116">
        <v>52860</v>
      </c>
      <c r="O42" s="1108" t="b">
        <f t="shared" si="0"/>
        <v>1</v>
      </c>
      <c r="P42" s="1108" t="b">
        <f t="shared" si="1"/>
        <v>1</v>
      </c>
      <c r="R42" s="1108" t="s">
        <v>1469</v>
      </c>
      <c r="S42" s="1108">
        <v>52860</v>
      </c>
      <c r="T42" s="1108" t="b">
        <f t="shared" si="2"/>
        <v>1</v>
      </c>
      <c r="U42" s="1108" t="b">
        <f t="shared" si="3"/>
        <v>1</v>
      </c>
    </row>
    <row r="43" spans="1:21" x14ac:dyDescent="0.3">
      <c r="A43" s="1146" t="s">
        <v>1470</v>
      </c>
      <c r="B43" s="1150">
        <v>52861</v>
      </c>
      <c r="C43" s="691"/>
      <c r="D43" s="55"/>
      <c r="E43" s="56"/>
      <c r="M43" s="1110" t="s">
        <v>1470</v>
      </c>
      <c r="N43" s="1116">
        <v>52861</v>
      </c>
      <c r="O43" s="1108" t="b">
        <f t="shared" si="0"/>
        <v>1</v>
      </c>
      <c r="P43" s="1108" t="b">
        <f t="shared" si="1"/>
        <v>1</v>
      </c>
      <c r="R43" s="1108" t="s">
        <v>1470</v>
      </c>
      <c r="S43" s="1108">
        <v>52861</v>
      </c>
      <c r="T43" s="1108" t="b">
        <f t="shared" si="2"/>
        <v>1</v>
      </c>
      <c r="U43" s="1108" t="b">
        <f t="shared" si="3"/>
        <v>1</v>
      </c>
    </row>
    <row r="44" spans="1:21" x14ac:dyDescent="0.3">
      <c r="A44" s="1146" t="s">
        <v>1471</v>
      </c>
      <c r="B44" s="1150">
        <v>52862</v>
      </c>
      <c r="C44" s="691"/>
      <c r="D44" s="55"/>
      <c r="E44" s="56"/>
      <c r="M44" s="1110" t="s">
        <v>1471</v>
      </c>
      <c r="N44" s="1116">
        <v>52862</v>
      </c>
      <c r="O44" s="1108" t="b">
        <f t="shared" si="0"/>
        <v>1</v>
      </c>
      <c r="P44" s="1108" t="b">
        <f t="shared" si="1"/>
        <v>1</v>
      </c>
      <c r="R44" s="1108" t="s">
        <v>1471</v>
      </c>
      <c r="S44" s="1108">
        <v>52862</v>
      </c>
      <c r="T44" s="1108" t="b">
        <f t="shared" si="2"/>
        <v>1</v>
      </c>
      <c r="U44" s="1108" t="b">
        <f t="shared" si="3"/>
        <v>1</v>
      </c>
    </row>
    <row r="45" spans="1:21" x14ac:dyDescent="0.3">
      <c r="A45" s="1146" t="s">
        <v>1472</v>
      </c>
      <c r="B45" s="1150">
        <v>52863</v>
      </c>
      <c r="C45" s="691"/>
      <c r="D45" s="55"/>
      <c r="E45" s="56"/>
      <c r="M45" s="1110" t="s">
        <v>1472</v>
      </c>
      <c r="N45" s="1116">
        <v>52863</v>
      </c>
      <c r="O45" s="1108" t="b">
        <f t="shared" si="0"/>
        <v>1</v>
      </c>
      <c r="P45" s="1108" t="b">
        <f t="shared" si="1"/>
        <v>1</v>
      </c>
      <c r="R45" s="1108" t="s">
        <v>1472</v>
      </c>
      <c r="S45" s="1108">
        <v>52863</v>
      </c>
      <c r="T45" s="1108" t="b">
        <f t="shared" si="2"/>
        <v>1</v>
      </c>
      <c r="U45" s="1108" t="b">
        <f t="shared" si="3"/>
        <v>1</v>
      </c>
    </row>
    <row r="46" spans="1:21" x14ac:dyDescent="0.3">
      <c r="A46" s="1146" t="s">
        <v>1473</v>
      </c>
      <c r="B46" s="1150">
        <v>52864</v>
      </c>
      <c r="C46" s="691"/>
      <c r="D46" s="55"/>
      <c r="E46" s="56"/>
      <c r="M46" s="1110" t="s">
        <v>1473</v>
      </c>
      <c r="N46" s="1116">
        <v>52864</v>
      </c>
      <c r="O46" s="1108" t="b">
        <f t="shared" si="0"/>
        <v>1</v>
      </c>
      <c r="P46" s="1108" t="b">
        <f t="shared" si="1"/>
        <v>1</v>
      </c>
      <c r="R46" s="1108" t="s">
        <v>1473</v>
      </c>
      <c r="S46" s="1108">
        <v>52864</v>
      </c>
      <c r="T46" s="1108" t="b">
        <f t="shared" si="2"/>
        <v>1</v>
      </c>
      <c r="U46" s="1108" t="b">
        <f t="shared" si="3"/>
        <v>1</v>
      </c>
    </row>
    <row r="47" spans="1:21" x14ac:dyDescent="0.3">
      <c r="A47" s="1146" t="s">
        <v>1474</v>
      </c>
      <c r="B47" s="1150">
        <v>52865</v>
      </c>
      <c r="C47" s="691"/>
      <c r="D47" s="55"/>
      <c r="E47" s="56"/>
      <c r="M47" s="1110" t="s">
        <v>1474</v>
      </c>
      <c r="N47" s="1116">
        <v>52865</v>
      </c>
      <c r="O47" s="1108" t="b">
        <f t="shared" si="0"/>
        <v>1</v>
      </c>
      <c r="P47" s="1108" t="b">
        <f t="shared" si="1"/>
        <v>1</v>
      </c>
      <c r="R47" s="1108" t="s">
        <v>1474</v>
      </c>
      <c r="S47" s="1108">
        <v>52865</v>
      </c>
      <c r="T47" s="1108" t="b">
        <f t="shared" si="2"/>
        <v>1</v>
      </c>
      <c r="U47" s="1108" t="b">
        <f t="shared" si="3"/>
        <v>1</v>
      </c>
    </row>
    <row r="48" spans="1:21" x14ac:dyDescent="0.3">
      <c r="A48" s="1146" t="s">
        <v>1475</v>
      </c>
      <c r="B48" s="1150">
        <v>52866</v>
      </c>
      <c r="C48" s="691"/>
      <c r="D48" s="55"/>
      <c r="E48" s="56"/>
      <c r="M48" s="1110" t="s">
        <v>1475</v>
      </c>
      <c r="N48" s="1116">
        <v>52866</v>
      </c>
      <c r="O48" s="1108" t="b">
        <f t="shared" si="0"/>
        <v>1</v>
      </c>
      <c r="P48" s="1108" t="b">
        <f t="shared" si="1"/>
        <v>1</v>
      </c>
      <c r="R48" s="1108" t="s">
        <v>1475</v>
      </c>
      <c r="S48" s="1108">
        <v>52866</v>
      </c>
      <c r="T48" s="1108" t="b">
        <f t="shared" si="2"/>
        <v>1</v>
      </c>
      <c r="U48" s="1108" t="b">
        <f t="shared" si="3"/>
        <v>1</v>
      </c>
    </row>
    <row r="49" spans="1:21" x14ac:dyDescent="0.3">
      <c r="A49" s="1146" t="s">
        <v>1476</v>
      </c>
      <c r="B49" s="1150">
        <v>52867</v>
      </c>
      <c r="C49" s="691"/>
      <c r="D49" s="55"/>
      <c r="E49" s="56"/>
      <c r="M49" s="1110" t="s">
        <v>1476</v>
      </c>
      <c r="N49" s="1116">
        <v>52867</v>
      </c>
      <c r="O49" s="1108" t="b">
        <f t="shared" si="0"/>
        <v>1</v>
      </c>
      <c r="P49" s="1108" t="b">
        <f t="shared" si="1"/>
        <v>1</v>
      </c>
      <c r="R49" s="1108" t="s">
        <v>1476</v>
      </c>
      <c r="S49" s="1108">
        <v>52867</v>
      </c>
      <c r="T49" s="1108" t="b">
        <f t="shared" si="2"/>
        <v>1</v>
      </c>
      <c r="U49" s="1108" t="b">
        <f t="shared" si="3"/>
        <v>1</v>
      </c>
    </row>
    <row r="50" spans="1:21" x14ac:dyDescent="0.3">
      <c r="A50" s="1146" t="s">
        <v>1477</v>
      </c>
      <c r="B50" s="1150">
        <v>52868</v>
      </c>
      <c r="C50" s="691"/>
      <c r="D50" s="55"/>
      <c r="E50" s="56"/>
      <c r="M50" s="1110" t="s">
        <v>1477</v>
      </c>
      <c r="N50" s="1116">
        <v>52868</v>
      </c>
      <c r="O50" s="1108" t="b">
        <f t="shared" si="0"/>
        <v>1</v>
      </c>
      <c r="P50" s="1108" t="b">
        <f t="shared" si="1"/>
        <v>1</v>
      </c>
      <c r="R50" s="1108" t="s">
        <v>1477</v>
      </c>
      <c r="S50" s="1108">
        <v>52868</v>
      </c>
      <c r="T50" s="1108" t="b">
        <f t="shared" si="2"/>
        <v>1</v>
      </c>
      <c r="U50" s="1108" t="b">
        <f t="shared" si="3"/>
        <v>1</v>
      </c>
    </row>
    <row r="51" spans="1:21" x14ac:dyDescent="0.3">
      <c r="A51" s="1146" t="s">
        <v>1478</v>
      </c>
      <c r="B51" s="1150">
        <v>52869</v>
      </c>
      <c r="C51" s="691"/>
      <c r="D51" s="55"/>
      <c r="E51" s="56"/>
      <c r="M51" s="1110" t="s">
        <v>1478</v>
      </c>
      <c r="N51" s="1116">
        <v>52869</v>
      </c>
      <c r="O51" s="1108" t="b">
        <f t="shared" si="0"/>
        <v>1</v>
      </c>
      <c r="P51" s="1108" t="b">
        <f t="shared" si="1"/>
        <v>1</v>
      </c>
      <c r="R51" s="1108" t="s">
        <v>1478</v>
      </c>
      <c r="S51" s="1108">
        <v>52869</v>
      </c>
      <c r="T51" s="1108" t="b">
        <f t="shared" si="2"/>
        <v>1</v>
      </c>
      <c r="U51" s="1108" t="b">
        <f t="shared" si="3"/>
        <v>1</v>
      </c>
    </row>
    <row r="52" spans="1:21" x14ac:dyDescent="0.3">
      <c r="A52" s="1146" t="s">
        <v>1479</v>
      </c>
      <c r="B52" s="1150">
        <v>52870</v>
      </c>
      <c r="C52" s="691"/>
      <c r="D52" s="55"/>
      <c r="E52" s="56"/>
      <c r="M52" s="1110" t="s">
        <v>1479</v>
      </c>
      <c r="N52" s="1116">
        <v>52870</v>
      </c>
      <c r="O52" s="1108" t="b">
        <f t="shared" si="0"/>
        <v>1</v>
      </c>
      <c r="P52" s="1108" t="b">
        <f t="shared" si="1"/>
        <v>1</v>
      </c>
      <c r="R52" s="1108" t="s">
        <v>1479</v>
      </c>
      <c r="S52" s="1108">
        <v>52870</v>
      </c>
      <c r="T52" s="1108" t="b">
        <f t="shared" si="2"/>
        <v>1</v>
      </c>
      <c r="U52" s="1108" t="b">
        <f t="shared" si="3"/>
        <v>1</v>
      </c>
    </row>
    <row r="53" spans="1:21" x14ac:dyDescent="0.3">
      <c r="A53" s="1146" t="s">
        <v>1480</v>
      </c>
      <c r="B53" s="1150">
        <v>52871</v>
      </c>
      <c r="C53" s="691"/>
      <c r="D53" s="55"/>
      <c r="E53" s="56"/>
      <c r="M53" s="1110" t="s">
        <v>1480</v>
      </c>
      <c r="N53" s="1116">
        <v>52871</v>
      </c>
      <c r="O53" s="1108" t="b">
        <f t="shared" si="0"/>
        <v>1</v>
      </c>
      <c r="P53" s="1108" t="b">
        <f t="shared" si="1"/>
        <v>1</v>
      </c>
      <c r="R53" s="1108" t="s">
        <v>1480</v>
      </c>
      <c r="S53" s="1108">
        <v>52871</v>
      </c>
      <c r="T53" s="1108" t="b">
        <f t="shared" si="2"/>
        <v>1</v>
      </c>
      <c r="U53" s="1108" t="b">
        <f t="shared" si="3"/>
        <v>1</v>
      </c>
    </row>
    <row r="54" spans="1:21" x14ac:dyDescent="0.3">
      <c r="A54" s="1146" t="s">
        <v>1481</v>
      </c>
      <c r="B54" s="1150">
        <v>52872</v>
      </c>
      <c r="C54" s="691"/>
      <c r="D54" s="55"/>
      <c r="E54" s="56"/>
      <c r="M54" s="1110" t="s">
        <v>1481</v>
      </c>
      <c r="N54" s="1116">
        <v>52872</v>
      </c>
      <c r="O54" s="1108" t="b">
        <f t="shared" si="0"/>
        <v>1</v>
      </c>
      <c r="P54" s="1108" t="b">
        <f t="shared" si="1"/>
        <v>1</v>
      </c>
      <c r="R54" s="1108" t="s">
        <v>1481</v>
      </c>
      <c r="S54" s="1108">
        <v>52872</v>
      </c>
      <c r="T54" s="1108" t="b">
        <f t="shared" si="2"/>
        <v>1</v>
      </c>
      <c r="U54" s="1108" t="b">
        <f t="shared" si="3"/>
        <v>1</v>
      </c>
    </row>
    <row r="55" spans="1:21" x14ac:dyDescent="0.3">
      <c r="A55" s="1146" t="s">
        <v>1482</v>
      </c>
      <c r="B55" s="1150">
        <v>52873</v>
      </c>
      <c r="C55" s="691"/>
      <c r="D55" s="55"/>
      <c r="E55" s="56"/>
      <c r="M55" s="1110" t="s">
        <v>1482</v>
      </c>
      <c r="N55" s="1116">
        <v>52873</v>
      </c>
      <c r="O55" s="1108" t="b">
        <f t="shared" si="0"/>
        <v>1</v>
      </c>
      <c r="P55" s="1108" t="b">
        <f t="shared" si="1"/>
        <v>1</v>
      </c>
      <c r="R55" s="1108" t="s">
        <v>1482</v>
      </c>
      <c r="S55" s="1108">
        <v>52873</v>
      </c>
      <c r="T55" s="1108" t="b">
        <f t="shared" si="2"/>
        <v>1</v>
      </c>
      <c r="U55" s="1108" t="b">
        <f t="shared" si="3"/>
        <v>1</v>
      </c>
    </row>
    <row r="56" spans="1:21" ht="28.8" x14ac:dyDescent="0.3">
      <c r="A56" s="1146" t="s">
        <v>1483</v>
      </c>
      <c r="B56" s="1150">
        <v>52996</v>
      </c>
      <c r="C56" s="691"/>
      <c r="D56" s="55"/>
      <c r="E56" s="56"/>
      <c r="M56" s="1110" t="s">
        <v>1483</v>
      </c>
      <c r="N56" s="1116">
        <v>52996</v>
      </c>
      <c r="O56" s="1108" t="b">
        <f t="shared" si="0"/>
        <v>1</v>
      </c>
      <c r="P56" s="1108" t="b">
        <f t="shared" si="1"/>
        <v>1</v>
      </c>
      <c r="R56" s="1108" t="s">
        <v>1483</v>
      </c>
      <c r="S56" s="1108">
        <v>52996</v>
      </c>
      <c r="T56" s="1108" t="b">
        <f t="shared" si="2"/>
        <v>1</v>
      </c>
      <c r="U56" s="1108" t="b">
        <f t="shared" si="3"/>
        <v>1</v>
      </c>
    </row>
    <row r="57" spans="1:21" x14ac:dyDescent="0.3">
      <c r="A57" s="1146" t="s">
        <v>1484</v>
      </c>
      <c r="B57" s="1150">
        <v>52874</v>
      </c>
      <c r="C57" s="691"/>
      <c r="D57" s="55"/>
      <c r="E57" s="56"/>
      <c r="M57" s="1110" t="s">
        <v>1484</v>
      </c>
      <c r="N57" s="1116">
        <v>52874</v>
      </c>
      <c r="O57" s="1108" t="b">
        <f t="shared" si="0"/>
        <v>1</v>
      </c>
      <c r="P57" s="1108" t="b">
        <f t="shared" si="1"/>
        <v>1</v>
      </c>
      <c r="R57" s="1108" t="s">
        <v>1484</v>
      </c>
      <c r="S57" s="1108">
        <v>52874</v>
      </c>
      <c r="T57" s="1108" t="b">
        <f t="shared" si="2"/>
        <v>1</v>
      </c>
      <c r="U57" s="1108" t="b">
        <f t="shared" si="3"/>
        <v>1</v>
      </c>
    </row>
    <row r="58" spans="1:21" x14ac:dyDescent="0.3">
      <c r="A58" s="1146" t="s">
        <v>1485</v>
      </c>
      <c r="B58" s="1150">
        <v>52875</v>
      </c>
      <c r="C58" s="691"/>
      <c r="D58" s="55"/>
      <c r="E58" s="56"/>
      <c r="M58" s="1110" t="s">
        <v>1485</v>
      </c>
      <c r="N58" s="1116">
        <v>52875</v>
      </c>
      <c r="O58" s="1108" t="b">
        <f t="shared" si="0"/>
        <v>1</v>
      </c>
      <c r="P58" s="1108" t="b">
        <f t="shared" si="1"/>
        <v>1</v>
      </c>
      <c r="R58" s="1108" t="s">
        <v>1485</v>
      </c>
      <c r="S58" s="1108">
        <v>52875</v>
      </c>
      <c r="T58" s="1108" t="b">
        <f t="shared" si="2"/>
        <v>1</v>
      </c>
      <c r="U58" s="1108" t="b">
        <f t="shared" si="3"/>
        <v>1</v>
      </c>
    </row>
    <row r="59" spans="1:21" x14ac:dyDescent="0.3">
      <c r="A59" s="1094"/>
      <c r="B59" s="1093"/>
      <c r="C59" s="691"/>
      <c r="D59" s="55"/>
      <c r="E59" s="56"/>
    </row>
    <row r="60" spans="1:21" x14ac:dyDescent="0.3">
      <c r="A60" s="1094"/>
      <c r="B60" s="1093"/>
      <c r="C60" s="691"/>
      <c r="D60" s="55"/>
      <c r="E60" s="56"/>
    </row>
    <row r="61" spans="1:21" x14ac:dyDescent="0.3">
      <c r="A61" s="1094"/>
      <c r="B61" s="1093"/>
      <c r="C61" s="691"/>
      <c r="D61" s="55"/>
      <c r="E61" s="56"/>
    </row>
    <row r="62" spans="1:21" x14ac:dyDescent="0.3">
      <c r="A62" s="1094"/>
      <c r="B62" s="1093"/>
      <c r="C62" s="691"/>
      <c r="D62" s="55"/>
      <c r="E62" s="56"/>
    </row>
    <row r="63" spans="1:21" x14ac:dyDescent="0.3">
      <c r="A63" s="1094"/>
      <c r="B63" s="1093"/>
      <c r="C63" s="691"/>
      <c r="D63" s="55"/>
      <c r="E63" s="56"/>
    </row>
    <row r="64" spans="1:21" x14ac:dyDescent="0.3">
      <c r="A64" s="1094"/>
      <c r="B64" s="1093"/>
      <c r="C64" s="691"/>
      <c r="D64" s="55"/>
      <c r="E64" s="56"/>
    </row>
    <row r="65" spans="1:5" x14ac:dyDescent="0.3">
      <c r="A65" s="1094"/>
      <c r="B65" s="1093"/>
      <c r="C65" s="691"/>
      <c r="D65" s="55"/>
      <c r="E65" s="56"/>
    </row>
    <row r="66" spans="1:5" x14ac:dyDescent="0.3">
      <c r="A66" s="1094"/>
      <c r="B66" s="1093"/>
      <c r="C66" s="691"/>
      <c r="D66" s="55"/>
      <c r="E66" s="56"/>
    </row>
    <row r="67" spans="1:5" x14ac:dyDescent="0.3">
      <c r="A67" s="1094"/>
      <c r="B67" s="1093"/>
      <c r="C67" s="691"/>
      <c r="D67" s="55"/>
      <c r="E67" s="56"/>
    </row>
    <row r="68" spans="1:5" x14ac:dyDescent="0.3">
      <c r="A68" s="1094"/>
      <c r="B68" s="1093"/>
      <c r="C68" s="691"/>
      <c r="D68" s="55"/>
      <c r="E68" s="56"/>
    </row>
    <row r="69" spans="1:5" x14ac:dyDescent="0.3">
      <c r="A69" s="1094"/>
      <c r="B69" s="1093"/>
    </row>
    <row r="70" spans="1:5" x14ac:dyDescent="0.3">
      <c r="A70" s="1094"/>
      <c r="B70" s="1093"/>
    </row>
    <row r="71" spans="1:5" x14ac:dyDescent="0.3">
      <c r="A71" s="1094"/>
      <c r="B71" s="1093"/>
    </row>
    <row r="72" spans="1:5" x14ac:dyDescent="0.3">
      <c r="A72" s="1094"/>
      <c r="B72" s="1093"/>
    </row>
    <row r="73" spans="1:5" x14ac:dyDescent="0.3">
      <c r="A73" s="1094"/>
      <c r="B73" s="1093"/>
    </row>
    <row r="74" spans="1:5" x14ac:dyDescent="0.3">
      <c r="A74" s="1094"/>
      <c r="B74" s="1093"/>
    </row>
    <row r="75" spans="1:5" x14ac:dyDescent="0.3">
      <c r="A75" s="1094"/>
      <c r="B75" s="1093"/>
    </row>
    <row r="76" spans="1:5" x14ac:dyDescent="0.3">
      <c r="A76" s="1094"/>
      <c r="B76" s="1093"/>
    </row>
    <row r="77" spans="1:5" x14ac:dyDescent="0.3">
      <c r="A77" s="1094"/>
      <c r="B77" s="1093"/>
    </row>
  </sheetData>
  <sheetProtection algorithmName="SHA-512" hashValue="Yg4z8kJCtqlVfq/jV2qrAP0chu4Rob3Rf4YiFJ7AmgbltJRKuCxO2s+ou1USdy4hE7G5onw5gBevBkPNt16Jnw==" saltValue="ODFhzOH5oKEPqvwmCMuTXQ=="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DD6BC-D915-4DB1-A21C-7A0CCB10E5C2}">
  <sheetPr codeName="Sheet16">
    <tabColor theme="3" tint="0.79998168889431442"/>
  </sheetPr>
  <dimension ref="A1:H56"/>
  <sheetViews>
    <sheetView workbookViewId="0">
      <selection activeCell="A12" sqref="A12"/>
    </sheetView>
  </sheetViews>
  <sheetFormatPr defaultColWidth="9.109375" defaultRowHeight="14.4" x14ac:dyDescent="0.3"/>
  <cols>
    <col min="1" max="1" width="45.109375" style="407" customWidth="1"/>
    <col min="2" max="2" width="36.44140625" style="407" customWidth="1"/>
    <col min="3" max="3" width="9.109375" style="407"/>
    <col min="4" max="4" width="1.33203125" style="407" customWidth="1"/>
    <col min="5" max="5" width="37.5546875" style="407" customWidth="1"/>
    <col min="6" max="6" width="18.109375" style="407" customWidth="1"/>
    <col min="7" max="7" width="16.109375" style="407" customWidth="1"/>
    <col min="8" max="8" width="3.109375" style="407" customWidth="1"/>
    <col min="9" max="16384" width="9.109375" style="407"/>
  </cols>
  <sheetData>
    <row r="1" spans="1:8" x14ac:dyDescent="0.3">
      <c r="A1" s="408"/>
      <c r="B1" s="409"/>
      <c r="C1" s="410"/>
      <c r="D1" s="410"/>
      <c r="E1" s="411"/>
      <c r="F1" s="410"/>
      <c r="G1" s="410"/>
      <c r="H1" s="410"/>
    </row>
    <row r="2" spans="1:8" x14ac:dyDescent="0.3">
      <c r="A2" s="412" t="s">
        <v>735</v>
      </c>
      <c r="B2" s="413" t="str">
        <f>+'Unit Data from Audit Worksheet'!D2</f>
        <v>Select Unit Name from Drop Down List</v>
      </c>
      <c r="C2" s="410"/>
      <c r="D2" s="410"/>
      <c r="E2" s="411"/>
      <c r="F2" s="410"/>
      <c r="G2" s="410"/>
      <c r="H2" s="410"/>
    </row>
    <row r="3" spans="1:8" x14ac:dyDescent="0.3">
      <c r="A3" s="412" t="s">
        <v>834</v>
      </c>
      <c r="B3" s="410" t="e">
        <f>+'Unit Data from Audit Worksheet'!D3</f>
        <v>#N/A</v>
      </c>
      <c r="C3" s="410"/>
      <c r="D3" s="410"/>
      <c r="E3" s="411"/>
      <c r="F3" s="410"/>
      <c r="G3" s="410"/>
      <c r="H3" s="410"/>
    </row>
    <row r="4" spans="1:8" x14ac:dyDescent="0.3">
      <c r="A4" s="410"/>
      <c r="B4" s="410"/>
      <c r="C4" s="410"/>
      <c r="D4" s="410"/>
      <c r="E4" s="411"/>
      <c r="F4" s="410"/>
      <c r="G4" s="410"/>
      <c r="H4" s="410"/>
    </row>
    <row r="5" spans="1:8" x14ac:dyDescent="0.3">
      <c r="A5" s="1418" t="s">
        <v>736</v>
      </c>
      <c r="B5" s="1418"/>
      <c r="C5" s="1418"/>
      <c r="D5" s="410"/>
      <c r="E5" s="1419" t="s">
        <v>737</v>
      </c>
      <c r="F5" s="1419"/>
      <c r="G5" s="410"/>
      <c r="H5" s="410"/>
    </row>
    <row r="6" spans="1:8" ht="15" thickBot="1" x14ac:dyDescent="0.35">
      <c r="A6" s="414"/>
      <c r="B6" s="415"/>
      <c r="C6" s="414"/>
      <c r="D6" s="408"/>
      <c r="E6" s="414"/>
      <c r="F6" s="415"/>
      <c r="G6" s="415"/>
      <c r="H6" s="410"/>
    </row>
    <row r="7" spans="1:8" ht="15" thickBot="1" x14ac:dyDescent="0.35">
      <c r="A7" s="416" t="s">
        <v>738</v>
      </c>
      <c r="B7" s="417">
        <v>0.03</v>
      </c>
      <c r="C7" s="417"/>
      <c r="D7" s="417"/>
      <c r="E7" s="417"/>
      <c r="F7" s="417"/>
      <c r="G7" s="417"/>
      <c r="H7" s="417"/>
    </row>
    <row r="8" spans="1:8" ht="15" thickBot="1" x14ac:dyDescent="0.35">
      <c r="A8" s="410" t="s">
        <v>1084</v>
      </c>
      <c r="B8" s="418" t="e">
        <f>HLOOKUP(B2,'2020 Data(H)'!F1:CC395,353,FALSE)</f>
        <v>#N/A</v>
      </c>
      <c r="C8" s="419"/>
      <c r="D8" s="419"/>
      <c r="E8" s="419"/>
      <c r="F8" s="410"/>
      <c r="G8" s="410"/>
      <c r="H8" s="410"/>
    </row>
    <row r="9" spans="1:8" ht="15" thickBot="1" x14ac:dyDescent="0.35">
      <c r="A9" s="410" t="s">
        <v>740</v>
      </c>
      <c r="B9" s="420" t="e">
        <f>B8*B7</f>
        <v>#N/A</v>
      </c>
      <c r="C9" s="421"/>
      <c r="D9" s="421"/>
      <c r="E9" s="421"/>
      <c r="F9" s="410"/>
      <c r="G9" s="410"/>
      <c r="H9" s="410"/>
    </row>
    <row r="10" spans="1:8" ht="15" thickBot="1" x14ac:dyDescent="0.35">
      <c r="A10" s="410"/>
      <c r="B10" s="410"/>
      <c r="C10" s="410"/>
      <c r="D10" s="410"/>
      <c r="E10" s="410"/>
      <c r="F10" s="410"/>
      <c r="G10" s="410"/>
      <c r="H10" s="410"/>
    </row>
    <row r="11" spans="1:8" ht="15" thickBot="1" x14ac:dyDescent="0.35">
      <c r="A11" s="416" t="s">
        <v>741</v>
      </c>
      <c r="B11" s="417">
        <v>0.05</v>
      </c>
      <c r="C11" s="417"/>
      <c r="D11" s="417"/>
      <c r="E11" s="417"/>
      <c r="F11" s="417"/>
      <c r="G11" s="417"/>
      <c r="H11" s="417"/>
    </row>
    <row r="12" spans="1:8" ht="15" thickBot="1" x14ac:dyDescent="0.35">
      <c r="A12" s="410" t="s">
        <v>1085</v>
      </c>
      <c r="B12" s="422" t="e">
        <f>HLOOKUP(B2,'2020 Data(H)'!F1:CC395,55,FALSE)</f>
        <v>#N/A</v>
      </c>
      <c r="C12" s="423"/>
      <c r="D12" s="423"/>
      <c r="E12" s="423"/>
      <c r="F12" s="410"/>
      <c r="G12" s="410"/>
      <c r="H12" s="410"/>
    </row>
    <row r="13" spans="1:8" ht="15" thickBot="1" x14ac:dyDescent="0.35">
      <c r="A13" s="410" t="s">
        <v>740</v>
      </c>
      <c r="B13" s="420" t="e">
        <f>B12*B11</f>
        <v>#N/A</v>
      </c>
      <c r="C13" s="421"/>
      <c r="D13" s="421"/>
      <c r="E13" s="421"/>
      <c r="F13" s="410"/>
      <c r="G13" s="410"/>
      <c r="H13" s="410"/>
    </row>
    <row r="14" spans="1:8" ht="15" thickBot="1" x14ac:dyDescent="0.35">
      <c r="A14" s="410"/>
      <c r="B14" s="410"/>
      <c r="C14" s="410"/>
      <c r="D14" s="410"/>
      <c r="E14" s="424" t="s">
        <v>742</v>
      </c>
      <c r="F14" s="425">
        <f>+Import!L177</f>
        <v>0</v>
      </c>
      <c r="G14" s="426"/>
      <c r="H14" s="410"/>
    </row>
    <row r="15" spans="1:8" x14ac:dyDescent="0.3">
      <c r="A15" s="410"/>
      <c r="B15" s="410"/>
      <c r="C15" s="410"/>
      <c r="D15" s="410"/>
      <c r="E15" s="410"/>
      <c r="F15" s="410"/>
      <c r="G15" s="410"/>
      <c r="H15" s="427"/>
    </row>
    <row r="16" spans="1:8" x14ac:dyDescent="0.3">
      <c r="A16" s="410"/>
      <c r="B16" s="424"/>
      <c r="C16" s="410"/>
      <c r="D16" s="410"/>
      <c r="E16" s="410"/>
      <c r="F16" s="410"/>
      <c r="G16" s="410"/>
      <c r="H16" s="410"/>
    </row>
    <row r="17" spans="1:8" x14ac:dyDescent="0.3">
      <c r="A17" s="414"/>
      <c r="B17" s="415"/>
      <c r="C17" s="414"/>
      <c r="D17" s="408"/>
      <c r="E17" s="414"/>
      <c r="F17" s="415"/>
      <c r="G17" s="415"/>
      <c r="H17" s="410"/>
    </row>
    <row r="18" spans="1:8" ht="15" thickBot="1" x14ac:dyDescent="0.35">
      <c r="A18" s="428" t="s">
        <v>743</v>
      </c>
      <c r="B18" s="410"/>
      <c r="C18" s="410"/>
      <c r="D18" s="410"/>
      <c r="E18" s="428" t="s">
        <v>743</v>
      </c>
      <c r="F18" s="412" t="s">
        <v>744</v>
      </c>
      <c r="G18" s="412" t="s">
        <v>745</v>
      </c>
      <c r="H18" s="410"/>
    </row>
    <row r="19" spans="1:8" ht="15" thickBot="1" x14ac:dyDescent="0.35">
      <c r="A19" s="410" t="s">
        <v>739</v>
      </c>
      <c r="B19" s="418" t="e">
        <f>+B8</f>
        <v>#N/A</v>
      </c>
      <c r="C19" s="419"/>
      <c r="D19" s="419"/>
      <c r="E19" s="410" t="s">
        <v>746</v>
      </c>
      <c r="F19" s="429">
        <f>+Import!L229</f>
        <v>0</v>
      </c>
      <c r="G19" s="430" t="e">
        <f>+B21</f>
        <v>#N/A</v>
      </c>
      <c r="H19" s="410"/>
    </row>
    <row r="20" spans="1:8" ht="15" thickBot="1" x14ac:dyDescent="0.35">
      <c r="A20" s="410" t="s">
        <v>747</v>
      </c>
      <c r="B20" s="431">
        <f>+Import!L243</f>
        <v>0</v>
      </c>
      <c r="C20" s="410"/>
      <c r="D20" s="410"/>
      <c r="E20" s="410"/>
      <c r="F20" s="432"/>
      <c r="G20" s="410"/>
      <c r="H20" s="410"/>
    </row>
    <row r="21" spans="1:8" ht="15" thickBot="1" x14ac:dyDescent="0.35">
      <c r="A21" s="410" t="s">
        <v>740</v>
      </c>
      <c r="B21" s="420" t="e">
        <f>ROUND((B19/100)*B20,0)</f>
        <v>#N/A</v>
      </c>
      <c r="C21" s="433"/>
      <c r="D21" s="421"/>
      <c r="E21" s="410"/>
      <c r="F21" s="410"/>
      <c r="G21" s="410"/>
      <c r="H21" s="410"/>
    </row>
    <row r="22" spans="1:8" ht="15" thickBot="1" x14ac:dyDescent="0.35">
      <c r="A22" s="410"/>
      <c r="B22" s="410"/>
      <c r="C22" s="434"/>
      <c r="D22" s="434"/>
      <c r="E22" s="410"/>
      <c r="F22" s="410"/>
      <c r="G22" s="410"/>
      <c r="H22" s="410"/>
    </row>
    <row r="23" spans="1:8" ht="15" thickBot="1" x14ac:dyDescent="0.35">
      <c r="A23" s="424"/>
      <c r="B23" s="435"/>
      <c r="C23" s="410"/>
      <c r="D23" s="410"/>
      <c r="E23" s="436" t="s">
        <v>748</v>
      </c>
      <c r="F23" s="420">
        <f>IF(F19=0,F14-F19,F14-MAX(F19,G19))</f>
        <v>0</v>
      </c>
      <c r="G23" s="437"/>
      <c r="H23" s="421"/>
    </row>
    <row r="24" spans="1:8" x14ac:dyDescent="0.3">
      <c r="A24" s="410"/>
      <c r="B24" s="410"/>
      <c r="C24" s="410"/>
      <c r="D24" s="410"/>
      <c r="E24" s="410"/>
      <c r="F24" s="433"/>
      <c r="G24" s="433"/>
      <c r="H24" s="421"/>
    </row>
    <row r="25" spans="1:8" x14ac:dyDescent="0.3">
      <c r="A25" s="414"/>
      <c r="B25" s="415"/>
      <c r="C25" s="414"/>
      <c r="D25" s="408"/>
      <c r="E25" s="414"/>
      <c r="F25" s="415"/>
      <c r="G25" s="415"/>
      <c r="H25" s="410"/>
    </row>
    <row r="26" spans="1:8" ht="15" thickBot="1" x14ac:dyDescent="0.35">
      <c r="A26" s="410"/>
      <c r="B26" s="410"/>
      <c r="C26" s="410"/>
      <c r="D26" s="428"/>
      <c r="E26" s="428" t="s">
        <v>749</v>
      </c>
      <c r="F26" s="428"/>
      <c r="G26" s="428"/>
      <c r="H26" s="428"/>
    </row>
    <row r="27" spans="1:8" ht="15" thickBot="1" x14ac:dyDescent="0.35">
      <c r="A27" s="410"/>
      <c r="B27" s="410"/>
      <c r="C27" s="410"/>
      <c r="D27" s="434"/>
      <c r="E27" s="410" t="s">
        <v>750</v>
      </c>
      <c r="F27" s="438" t="e">
        <f>MAX(B9,B13)</f>
        <v>#N/A</v>
      </c>
      <c r="G27" s="434"/>
      <c r="H27" s="410"/>
    </row>
    <row r="28" spans="1:8" ht="15" thickBot="1" x14ac:dyDescent="0.35">
      <c r="A28" s="410"/>
      <c r="B28" s="410"/>
      <c r="C28" s="410"/>
      <c r="D28" s="434"/>
      <c r="E28" s="410"/>
      <c r="F28" s="434"/>
      <c r="G28" s="434"/>
      <c r="H28" s="410"/>
    </row>
    <row r="29" spans="1:8" ht="33.75" customHeight="1" x14ac:dyDescent="0.3">
      <c r="A29" s="410"/>
      <c r="B29" s="410"/>
      <c r="C29" s="410"/>
      <c r="D29" s="439"/>
      <c r="E29" s="410" t="s">
        <v>751</v>
      </c>
      <c r="F29" s="440" t="e">
        <f>IF(F23&lt;=F27,"Yes", "No, unit exceeds limit by:")</f>
        <v>#N/A</v>
      </c>
      <c r="G29" s="410"/>
      <c r="H29" s="410"/>
    </row>
    <row r="30" spans="1:8" ht="15" thickBot="1" x14ac:dyDescent="0.35">
      <c r="A30" s="410"/>
      <c r="B30" s="410"/>
      <c r="C30" s="410"/>
      <c r="D30" s="439"/>
      <c r="E30" s="410"/>
      <c r="F30" s="441" t="e">
        <f>IF(F23-F27&lt;=0,0,F23-F27)</f>
        <v>#N/A</v>
      </c>
      <c r="G30" s="442"/>
      <c r="H30" s="410"/>
    </row>
    <row r="31" spans="1:8" ht="15" thickBot="1" x14ac:dyDescent="0.35">
      <c r="A31" s="410"/>
      <c r="B31" s="410"/>
      <c r="C31" s="410"/>
      <c r="D31" s="410"/>
      <c r="E31" s="410"/>
      <c r="F31" s="410"/>
      <c r="G31" s="410"/>
      <c r="H31" s="410"/>
    </row>
    <row r="32" spans="1:8" x14ac:dyDescent="0.3">
      <c r="A32" s="410"/>
      <c r="B32" s="410"/>
      <c r="C32" s="410"/>
      <c r="D32" s="410"/>
      <c r="E32" s="436" t="s">
        <v>752</v>
      </c>
      <c r="F32" s="443">
        <f>IF(F19=0,0,F19-G19)</f>
        <v>0</v>
      </c>
      <c r="G32" s="410"/>
      <c r="H32" s="410"/>
    </row>
    <row r="33" spans="1:7" ht="15" thickBot="1" x14ac:dyDescent="0.35">
      <c r="A33" s="410"/>
      <c r="B33" s="410"/>
      <c r="C33" s="410"/>
      <c r="D33" s="410"/>
      <c r="E33" s="410"/>
      <c r="F33" s="444" t="s">
        <v>425</v>
      </c>
      <c r="G33" s="410"/>
    </row>
    <row r="34" spans="1:7" x14ac:dyDescent="0.3">
      <c r="A34" s="408"/>
      <c r="B34" s="410"/>
      <c r="C34" s="410"/>
      <c r="D34" s="410"/>
      <c r="E34" s="408" t="s">
        <v>753</v>
      </c>
      <c r="F34" s="410"/>
      <c r="G34" s="410"/>
    </row>
    <row r="35" spans="1:7" x14ac:dyDescent="0.3">
      <c r="A35" s="445"/>
      <c r="B35" s="445"/>
      <c r="C35" s="445"/>
      <c r="D35" s="410"/>
      <c r="E35" s="1420" t="s">
        <v>1086</v>
      </c>
      <c r="F35" s="1421"/>
      <c r="G35" s="1422"/>
    </row>
    <row r="36" spans="1:7" x14ac:dyDescent="0.3">
      <c r="A36" s="445"/>
      <c r="B36" s="445"/>
      <c r="C36" s="445"/>
      <c r="D36" s="410"/>
      <c r="E36" s="1423"/>
      <c r="F36" s="1424"/>
      <c r="G36" s="1425"/>
    </row>
    <row r="37" spans="1:7" x14ac:dyDescent="0.3">
      <c r="A37" s="445"/>
      <c r="B37" s="445"/>
      <c r="C37" s="445"/>
      <c r="D37" s="410"/>
      <c r="E37" s="1423"/>
      <c r="F37" s="1424"/>
      <c r="G37" s="1425"/>
    </row>
    <row r="38" spans="1:7" x14ac:dyDescent="0.3">
      <c r="A38" s="445"/>
      <c r="B38" s="445"/>
      <c r="C38" s="445"/>
      <c r="D38" s="410"/>
      <c r="E38" s="1426"/>
      <c r="F38" s="1427"/>
      <c r="G38" s="1428"/>
    </row>
    <row r="39" spans="1:7" x14ac:dyDescent="0.3">
      <c r="A39" s="445"/>
      <c r="B39" s="445"/>
      <c r="C39" s="445"/>
      <c r="D39" s="410"/>
      <c r="E39" s="446"/>
      <c r="F39" s="446"/>
      <c r="G39" s="446"/>
    </row>
    <row r="40" spans="1:7" x14ac:dyDescent="0.3">
      <c r="A40" s="445"/>
      <c r="B40" s="445"/>
      <c r="C40" s="445"/>
      <c r="D40" s="410"/>
      <c r="E40" s="1420" t="s">
        <v>1087</v>
      </c>
      <c r="F40" s="1421"/>
      <c r="G40" s="1422"/>
    </row>
    <row r="41" spans="1:7" x14ac:dyDescent="0.3">
      <c r="A41" s="410"/>
      <c r="B41" s="410"/>
      <c r="C41" s="410"/>
      <c r="D41" s="410"/>
      <c r="E41" s="1423"/>
      <c r="F41" s="1424"/>
      <c r="G41" s="1425"/>
    </row>
    <row r="42" spans="1:7" x14ac:dyDescent="0.3">
      <c r="A42" s="410"/>
      <c r="B42" s="410"/>
      <c r="C42" s="410"/>
      <c r="D42" s="410"/>
      <c r="E42" s="1426"/>
      <c r="F42" s="1427"/>
      <c r="G42" s="1428"/>
    </row>
    <row r="43" spans="1:7" x14ac:dyDescent="0.3">
      <c r="A43" s="410"/>
      <c r="B43" s="410"/>
      <c r="C43" s="410"/>
      <c r="D43" s="410"/>
      <c r="E43" s="410"/>
      <c r="F43" s="410"/>
      <c r="G43" s="410"/>
    </row>
    <row r="44" spans="1:7" ht="15" thickBot="1" x14ac:dyDescent="0.35">
      <c r="A44" s="410"/>
      <c r="B44" s="410"/>
      <c r="C44" s="410"/>
      <c r="D44" s="410"/>
      <c r="E44" s="1429" t="s">
        <v>754</v>
      </c>
      <c r="F44" s="1429"/>
      <c r="G44" s="1429"/>
    </row>
    <row r="45" spans="1:7" x14ac:dyDescent="0.3">
      <c r="A45" s="410"/>
      <c r="B45" s="410"/>
      <c r="C45" s="410"/>
      <c r="D45" s="410"/>
      <c r="E45" s="1409"/>
      <c r="F45" s="1410"/>
      <c r="G45" s="1411"/>
    </row>
    <row r="46" spans="1:7" x14ac:dyDescent="0.3">
      <c r="A46" s="410"/>
      <c r="B46" s="410"/>
      <c r="C46" s="410"/>
      <c r="D46" s="410"/>
      <c r="E46" s="1412"/>
      <c r="F46" s="1413"/>
      <c r="G46" s="1414"/>
    </row>
    <row r="47" spans="1:7" x14ac:dyDescent="0.3">
      <c r="A47" s="410"/>
      <c r="B47" s="410"/>
      <c r="C47" s="410"/>
      <c r="D47" s="410"/>
      <c r="E47" s="1412"/>
      <c r="F47" s="1413"/>
      <c r="G47" s="1414"/>
    </row>
    <row r="48" spans="1:7" x14ac:dyDescent="0.3">
      <c r="A48" s="410"/>
      <c r="B48" s="410"/>
      <c r="C48" s="410"/>
      <c r="D48" s="410"/>
      <c r="E48" s="1412"/>
      <c r="F48" s="1413"/>
      <c r="G48" s="1414"/>
    </row>
    <row r="49" spans="5:7" x14ac:dyDescent="0.3">
      <c r="E49" s="1412"/>
      <c r="F49" s="1413"/>
      <c r="G49" s="1414"/>
    </row>
    <row r="50" spans="5:7" x14ac:dyDescent="0.3">
      <c r="E50" s="1412"/>
      <c r="F50" s="1413"/>
      <c r="G50" s="1414"/>
    </row>
    <row r="51" spans="5:7" x14ac:dyDescent="0.3">
      <c r="E51" s="1412"/>
      <c r="F51" s="1413"/>
      <c r="G51" s="1414"/>
    </row>
    <row r="52" spans="5:7" x14ac:dyDescent="0.3">
      <c r="E52" s="1412"/>
      <c r="F52" s="1413"/>
      <c r="G52" s="1414"/>
    </row>
    <row r="53" spans="5:7" x14ac:dyDescent="0.3">
      <c r="E53" s="1412"/>
      <c r="F53" s="1413"/>
      <c r="G53" s="1414"/>
    </row>
    <row r="54" spans="5:7" x14ac:dyDescent="0.3">
      <c r="E54" s="1412"/>
      <c r="F54" s="1413"/>
      <c r="G54" s="1414"/>
    </row>
    <row r="55" spans="5:7" x14ac:dyDescent="0.3">
      <c r="E55" s="1412"/>
      <c r="F55" s="1413"/>
      <c r="G55" s="1414"/>
    </row>
    <row r="56" spans="5:7" ht="15" thickBot="1" x14ac:dyDescent="0.35">
      <c r="E56" s="1415"/>
      <c r="F56" s="1416"/>
      <c r="G56" s="1417"/>
    </row>
  </sheetData>
  <sheetProtection algorithmName="SHA-512" hashValue="3vfzdkMQ/j/5Ez1LPUfJs7Oq97mMPspNSPxPIv58T3XG7teIfYieY+coQOc8SI3yaPWTzhmaFurjDohcB/jDmQ==" saltValue="mi9yBVloMQdHuHImasvn7A==" spinCount="100000" sheet="1" objects="1" scenarios="1"/>
  <mergeCells count="6">
    <mergeCell ref="E45:G56"/>
    <mergeCell ref="A5:C5"/>
    <mergeCell ref="E5:F5"/>
    <mergeCell ref="E35:G38"/>
    <mergeCell ref="E40:G42"/>
    <mergeCell ref="E44:G44"/>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79998168889431442"/>
    <pageSetUpPr fitToPage="1"/>
  </sheetPr>
  <dimension ref="A1:BTI443"/>
  <sheetViews>
    <sheetView zoomScaleNormal="100" workbookViewId="0">
      <pane ySplit="5" topLeftCell="A6" activePane="bottomLeft" state="frozen"/>
      <selection activeCell="K179" sqref="K179"/>
      <selection pane="bottomLeft" activeCell="D2" sqref="D2"/>
    </sheetView>
  </sheetViews>
  <sheetFormatPr defaultColWidth="9.109375" defaultRowHeight="14.4" x14ac:dyDescent="0.3"/>
  <cols>
    <col min="1" max="1" width="10.33203125" style="18" customWidth="1"/>
    <col min="2" max="2" width="16.33203125" style="5" customWidth="1"/>
    <col min="3" max="3" width="17.44140625" style="5" customWidth="1"/>
    <col min="4" max="4" width="46.33203125" style="709" customWidth="1"/>
    <col min="5" max="5" width="17.109375" style="18" customWidth="1"/>
    <col min="6" max="6" width="21.5546875" style="709" customWidth="1"/>
    <col min="7" max="7" width="26.6640625" style="802" customWidth="1"/>
    <col min="8" max="8" width="25.109375" style="593" customWidth="1"/>
    <col min="9" max="9" width="24" style="709" customWidth="1"/>
    <col min="10" max="10" width="13.5546875" style="18" hidden="1" customWidth="1"/>
    <col min="11" max="11" width="11.6640625" style="18" hidden="1" customWidth="1"/>
    <col min="12" max="12" width="15.6640625" style="18" hidden="1" customWidth="1"/>
    <col min="13" max="13" width="11" style="18" hidden="1" customWidth="1"/>
    <col min="14" max="14" width="3.33203125" style="296" hidden="1" customWidth="1"/>
    <col min="15" max="15" width="2.109375" style="18" hidden="1" customWidth="1"/>
    <col min="16" max="16" width="0" style="18" hidden="1" customWidth="1"/>
    <col min="17" max="17" width="15.109375" style="18" hidden="1" customWidth="1"/>
    <col min="18" max="25" width="9.109375" style="18"/>
    <col min="26" max="26" width="30.6640625" style="635" customWidth="1"/>
    <col min="27" max="1881" width="9.109375" style="18"/>
    <col min="1882" max="16384" width="9.109375" style="709"/>
  </cols>
  <sheetData>
    <row r="1" spans="1:44" ht="15" thickBot="1" x14ac:dyDescent="0.35">
      <c r="B1" s="804" t="s">
        <v>475</v>
      </c>
      <c r="C1" s="804"/>
      <c r="E1" s="712" t="s">
        <v>36</v>
      </c>
      <c r="F1" s="713">
        <v>2021</v>
      </c>
      <c r="G1" s="123" t="s">
        <v>126</v>
      </c>
      <c r="H1" s="714"/>
      <c r="I1" s="715"/>
      <c r="J1" s="716" t="s">
        <v>1015</v>
      </c>
      <c r="M1" s="18" t="s">
        <v>51</v>
      </c>
      <c r="O1" s="18">
        <v>1</v>
      </c>
    </row>
    <row r="2" spans="1:44" ht="44.25" customHeight="1" thickBot="1" x14ac:dyDescent="0.35">
      <c r="B2" s="1285" t="s">
        <v>313</v>
      </c>
      <c r="C2" s="1286"/>
      <c r="D2" s="717" t="s">
        <v>1297</v>
      </c>
      <c r="E2" s="1283" t="s">
        <v>327</v>
      </c>
      <c r="F2" s="1283"/>
      <c r="G2" s="1284"/>
      <c r="H2" s="1265" t="s">
        <v>1559</v>
      </c>
      <c r="M2" s="18" t="s">
        <v>52</v>
      </c>
      <c r="N2" s="296">
        <v>50</v>
      </c>
      <c r="O2" s="18">
        <v>2</v>
      </c>
    </row>
    <row r="3" spans="1:44" ht="15" thickBot="1" x14ac:dyDescent="0.35">
      <c r="B3" s="805" t="s">
        <v>0</v>
      </c>
      <c r="C3" s="806"/>
      <c r="D3" s="719" t="e">
        <f>VLOOKUP(D2,'Unit Names(H)'!A2:B151,2,FALSE)</f>
        <v>#N/A</v>
      </c>
      <c r="E3" s="914"/>
      <c r="F3" s="720"/>
      <c r="G3" s="721"/>
      <c r="H3" s="718"/>
      <c r="N3" s="296">
        <v>51</v>
      </c>
      <c r="O3" s="18">
        <v>3</v>
      </c>
    </row>
    <row r="4" spans="1:44" ht="15" thickBot="1" x14ac:dyDescent="0.35">
      <c r="B4" s="807" t="s">
        <v>1133</v>
      </c>
      <c r="C4" s="808"/>
      <c r="D4" s="722"/>
      <c r="E4" s="722"/>
      <c r="F4" s="723"/>
      <c r="G4" s="724"/>
      <c r="H4" s="718"/>
      <c r="I4" s="2"/>
      <c r="M4" s="18" t="s">
        <v>360</v>
      </c>
      <c r="N4" s="296">
        <v>52</v>
      </c>
      <c r="O4" s="18">
        <v>4</v>
      </c>
    </row>
    <row r="5" spans="1:44" ht="37.5" customHeight="1" x14ac:dyDescent="0.3">
      <c r="A5" s="671" t="s">
        <v>472</v>
      </c>
      <c r="B5" s="560" t="s">
        <v>111</v>
      </c>
      <c r="C5" s="560" t="s">
        <v>128</v>
      </c>
      <c r="D5" s="725" t="s">
        <v>1</v>
      </c>
      <c r="E5" s="725">
        <v>2020</v>
      </c>
      <c r="F5" s="726">
        <v>2021</v>
      </c>
      <c r="G5" s="727" t="s">
        <v>1255</v>
      </c>
      <c r="H5" s="728" t="s">
        <v>331</v>
      </c>
      <c r="I5" s="713" t="s">
        <v>13</v>
      </c>
      <c r="M5" s="18" t="s">
        <v>544</v>
      </c>
    </row>
    <row r="6" spans="1:44" ht="22.5" customHeight="1" x14ac:dyDescent="0.3">
      <c r="A6" s="559"/>
      <c r="B6" s="853" t="s">
        <v>127</v>
      </c>
      <c r="C6" s="854"/>
      <c r="D6" s="855"/>
      <c r="E6" s="856"/>
      <c r="F6" s="857"/>
      <c r="G6" s="849"/>
      <c r="H6" s="17"/>
      <c r="M6" s="18" t="s">
        <v>523</v>
      </c>
    </row>
    <row r="7" spans="1:44" s="18" customFormat="1" ht="63.75" customHeight="1" thickBot="1" x14ac:dyDescent="0.35">
      <c r="A7" s="108">
        <v>333</v>
      </c>
      <c r="B7" s="635" t="s">
        <v>67</v>
      </c>
      <c r="C7" s="635" t="s">
        <v>129</v>
      </c>
      <c r="D7" s="708" t="s">
        <v>1134</v>
      </c>
      <c r="E7" s="669" t="e">
        <f>HLOOKUP($D$2,'2020 Data(H)'!$C$1:$CZ$426,99,FALSE)</f>
        <v>#N/A</v>
      </c>
      <c r="F7" s="295">
        <v>0</v>
      </c>
      <c r="G7" s="730">
        <f>IF(F7&lt;0,"Note: Number is normally positive.",)</f>
        <v>0</v>
      </c>
      <c r="H7" s="731"/>
      <c r="I7" s="732"/>
      <c r="J7" s="575" t="s">
        <v>994</v>
      </c>
      <c r="L7" s="695"/>
      <c r="M7" s="18" t="s">
        <v>545</v>
      </c>
      <c r="N7" s="296"/>
      <c r="Q7" s="295">
        <v>475882</v>
      </c>
      <c r="Z7" s="108"/>
      <c r="AA7" s="108"/>
      <c r="AB7" s="108"/>
      <c r="AC7" s="108"/>
      <c r="AD7" s="108"/>
      <c r="AE7" s="108"/>
      <c r="AF7" s="108"/>
      <c r="AG7" s="108"/>
      <c r="AH7" s="108"/>
      <c r="AI7" s="108"/>
      <c r="AJ7" s="108"/>
      <c r="AK7" s="108"/>
      <c r="AL7" s="108"/>
      <c r="AM7" s="108"/>
      <c r="AN7" s="108"/>
      <c r="AO7" s="108"/>
      <c r="AP7" s="108"/>
      <c r="AQ7" s="108"/>
      <c r="AR7" s="108"/>
    </row>
    <row r="8" spans="1:44" s="18" customFormat="1" ht="51" customHeight="1" thickBot="1" x14ac:dyDescent="0.35">
      <c r="A8" s="108">
        <v>500</v>
      </c>
      <c r="B8" s="635" t="s">
        <v>55</v>
      </c>
      <c r="C8" s="635" t="s">
        <v>129</v>
      </c>
      <c r="D8" s="708" t="s">
        <v>1135</v>
      </c>
      <c r="E8" s="669" t="e">
        <f>HLOOKUP($D$2,'2020 Data(H)'!$C$1:$CZ$426,150,FALSE)</f>
        <v>#N/A</v>
      </c>
      <c r="F8" s="295">
        <v>0</v>
      </c>
      <c r="G8" s="730">
        <f>IF(F8&lt;0,"Note: Number is normally positive.",)</f>
        <v>0</v>
      </c>
      <c r="H8" s="731"/>
      <c r="I8" s="731"/>
      <c r="J8" s="575"/>
      <c r="L8" s="704"/>
      <c r="M8" s="18" t="s">
        <v>546</v>
      </c>
      <c r="N8" s="296"/>
      <c r="Q8" s="295">
        <v>1528687</v>
      </c>
      <c r="Z8" s="108"/>
      <c r="AA8" s="108"/>
      <c r="AB8" s="108"/>
      <c r="AC8" s="108"/>
      <c r="AD8" s="108"/>
      <c r="AE8" s="108"/>
      <c r="AF8" s="108"/>
      <c r="AG8" s="108"/>
      <c r="AH8" s="108"/>
      <c r="AI8" s="108"/>
      <c r="AJ8" s="108"/>
      <c r="AK8" s="108"/>
      <c r="AL8" s="108"/>
      <c r="AM8" s="108"/>
      <c r="AN8" s="108"/>
      <c r="AO8" s="108"/>
      <c r="AP8" s="108"/>
      <c r="AQ8" s="108"/>
      <c r="AR8" s="108"/>
    </row>
    <row r="9" spans="1:44" ht="51" customHeight="1" thickBot="1" x14ac:dyDescent="0.35">
      <c r="A9" s="108">
        <v>385</v>
      </c>
      <c r="B9" s="593" t="s">
        <v>60</v>
      </c>
      <c r="C9" s="635" t="s">
        <v>129</v>
      </c>
      <c r="D9" s="107" t="s">
        <v>130</v>
      </c>
      <c r="E9" s="669" t="e">
        <f>HLOOKUP($D$2,'2020 Data(H)'!$C$1:$CZ$426,144,FALSE)-E11</f>
        <v>#N/A</v>
      </c>
      <c r="F9" s="295">
        <v>0</v>
      </c>
      <c r="G9" s="730">
        <f>IF((F7+F8)&gt;F9,"Error: Please review Account numbers (333+500)&gt;385",)</f>
        <v>0</v>
      </c>
      <c r="H9" s="17"/>
      <c r="I9" s="731"/>
      <c r="J9" s="575"/>
      <c r="L9" s="704"/>
      <c r="Q9" s="295">
        <v>4566372</v>
      </c>
      <c r="Z9" s="108"/>
      <c r="AA9" s="108"/>
      <c r="AB9" s="108"/>
      <c r="AC9" s="108"/>
      <c r="AD9" s="108"/>
      <c r="AE9" s="108"/>
      <c r="AF9" s="108"/>
      <c r="AG9" s="108"/>
      <c r="AH9" s="108"/>
      <c r="AI9" s="108"/>
      <c r="AJ9" s="108"/>
      <c r="AK9" s="108"/>
      <c r="AL9" s="108"/>
      <c r="AM9" s="108"/>
      <c r="AN9" s="108"/>
      <c r="AO9" s="108"/>
      <c r="AP9" s="108"/>
      <c r="AQ9" s="108"/>
      <c r="AR9" s="108"/>
    </row>
    <row r="10" spans="1:44" s="18" customFormat="1" ht="90" customHeight="1" thickBot="1" x14ac:dyDescent="0.35">
      <c r="A10" s="108">
        <v>575</v>
      </c>
      <c r="B10" s="635" t="s">
        <v>70</v>
      </c>
      <c r="C10" s="635" t="s">
        <v>129</v>
      </c>
      <c r="D10" s="809" t="s">
        <v>1136</v>
      </c>
      <c r="E10" s="669" t="e">
        <f>HLOOKUP($D$2,'2020 Data(H)'!$C$1:$CZ$426,225,FALSE)</f>
        <v>#N/A</v>
      </c>
      <c r="F10" s="295">
        <v>0</v>
      </c>
      <c r="G10" s="730">
        <f>IF(F10&lt;0,"Note: Number is normally positive.",)</f>
        <v>0</v>
      </c>
      <c r="H10" s="733"/>
      <c r="I10" s="734"/>
      <c r="L10" s="704"/>
      <c r="N10" s="296"/>
      <c r="Q10" s="295">
        <v>0</v>
      </c>
      <c r="Z10" s="108"/>
      <c r="AA10" s="108"/>
      <c r="AB10" s="108"/>
      <c r="AC10" s="108"/>
      <c r="AD10" s="108"/>
      <c r="AE10" s="108"/>
      <c r="AF10" s="108"/>
      <c r="AG10" s="108"/>
      <c r="AH10" s="108"/>
      <c r="AI10" s="108"/>
      <c r="AJ10" s="108"/>
      <c r="AK10" s="108"/>
      <c r="AL10" s="108"/>
      <c r="AM10" s="108"/>
      <c r="AN10" s="108"/>
      <c r="AO10" s="108"/>
      <c r="AP10" s="108"/>
      <c r="AQ10" s="108"/>
      <c r="AR10" s="108"/>
    </row>
    <row r="11" spans="1:44" s="18" customFormat="1" ht="93.75" customHeight="1" thickBot="1" x14ac:dyDescent="0.35">
      <c r="A11" s="108">
        <v>576</v>
      </c>
      <c r="B11" s="635" t="s">
        <v>70</v>
      </c>
      <c r="C11" s="635" t="s">
        <v>129</v>
      </c>
      <c r="D11" s="809" t="s">
        <v>1137</v>
      </c>
      <c r="E11" s="669" t="e">
        <f>HLOOKUP($D$2,'2020 Data(H)'!$C$1:$CZ$426,226,FALSE)</f>
        <v>#N/A</v>
      </c>
      <c r="F11" s="295">
        <v>0</v>
      </c>
      <c r="G11" s="730">
        <f>IF(F11&lt;0,"Error: Enter as positive.",)</f>
        <v>0</v>
      </c>
      <c r="H11" s="733"/>
      <c r="I11" s="734"/>
      <c r="J11" s="575"/>
      <c r="L11" s="704"/>
      <c r="N11" s="296"/>
      <c r="Q11" s="295">
        <v>0</v>
      </c>
      <c r="Z11" s="108"/>
      <c r="AA11" s="108"/>
      <c r="AB11" s="108"/>
      <c r="AC11" s="108"/>
      <c r="AD11" s="108"/>
      <c r="AE11" s="108"/>
      <c r="AF11" s="108"/>
      <c r="AG11" s="108"/>
      <c r="AH11" s="108"/>
      <c r="AI11" s="108"/>
      <c r="AJ11" s="108"/>
      <c r="AK11" s="108"/>
      <c r="AL11" s="108"/>
      <c r="AM11" s="108"/>
      <c r="AN11" s="108"/>
      <c r="AO11" s="108"/>
      <c r="AP11" s="108"/>
      <c r="AQ11" s="108"/>
      <c r="AR11" s="108"/>
    </row>
    <row r="12" spans="1:44" ht="85.5" customHeight="1" thickBot="1" x14ac:dyDescent="0.35">
      <c r="A12" s="308">
        <v>626</v>
      </c>
      <c r="B12" s="810" t="s">
        <v>567</v>
      </c>
      <c r="C12" s="810" t="s">
        <v>129</v>
      </c>
      <c r="D12" s="338" t="s">
        <v>1138</v>
      </c>
      <c r="E12" s="669" t="e">
        <f>HLOOKUP($D$2,'2020 Data(H)'!$C$1:$CZ$426,285,FALSE)-E11</f>
        <v>#N/A</v>
      </c>
      <c r="F12" s="295">
        <v>0</v>
      </c>
      <c r="G12" s="730">
        <f>IF(F12&lt;0,"Error: Enter as positive.",)</f>
        <v>0</v>
      </c>
      <c r="H12" s="735"/>
      <c r="I12" s="735"/>
      <c r="J12" s="575"/>
      <c r="L12" s="704"/>
      <c r="Q12" s="295">
        <v>136667</v>
      </c>
      <c r="Z12" s="308"/>
      <c r="AA12" s="308"/>
      <c r="AB12" s="308"/>
      <c r="AC12" s="308"/>
      <c r="AD12" s="308"/>
      <c r="AE12" s="308"/>
      <c r="AF12" s="308"/>
      <c r="AG12" s="308"/>
      <c r="AH12" s="308"/>
      <c r="AI12" s="308"/>
      <c r="AJ12" s="308"/>
      <c r="AK12" s="308"/>
      <c r="AL12" s="308"/>
      <c r="AM12" s="308"/>
      <c r="AN12" s="308"/>
      <c r="AO12" s="308"/>
      <c r="AP12" s="308"/>
      <c r="AQ12" s="308"/>
      <c r="AR12" s="308"/>
    </row>
    <row r="13" spans="1:44" ht="89.25" customHeight="1" thickBot="1" x14ac:dyDescent="0.35">
      <c r="A13" s="307">
        <v>627</v>
      </c>
      <c r="B13" s="811" t="s">
        <v>440</v>
      </c>
      <c r="C13" s="810" t="s">
        <v>129</v>
      </c>
      <c r="D13" s="338" t="s">
        <v>1139</v>
      </c>
      <c r="E13" s="669" t="e">
        <f>HLOOKUP($D$2,'2020 Data(H)'!$C$1:$CZ$426,286,FALSE)</f>
        <v>#N/A</v>
      </c>
      <c r="F13" s="295">
        <v>0</v>
      </c>
      <c r="G13" s="730">
        <f>IF(F13&gt;F12,"Please review account numbers 627 &gt;626",)</f>
        <v>0</v>
      </c>
      <c r="H13" s="735"/>
      <c r="I13" s="735"/>
      <c r="J13" s="575"/>
      <c r="L13" s="704"/>
      <c r="Q13" s="295">
        <v>0</v>
      </c>
      <c r="Z13" s="307"/>
      <c r="AA13" s="307"/>
      <c r="AB13" s="307"/>
      <c r="AC13" s="307"/>
      <c r="AD13" s="307"/>
      <c r="AE13" s="307"/>
      <c r="AF13" s="307"/>
      <c r="AG13" s="307"/>
      <c r="AH13" s="307"/>
      <c r="AI13" s="307"/>
      <c r="AJ13" s="307"/>
      <c r="AK13" s="307"/>
      <c r="AL13" s="307"/>
      <c r="AM13" s="307"/>
      <c r="AN13" s="307"/>
      <c r="AO13" s="307"/>
      <c r="AP13" s="307"/>
      <c r="AQ13" s="307"/>
      <c r="AR13" s="307"/>
    </row>
    <row r="14" spans="1:44" ht="105" customHeight="1" thickBot="1" x14ac:dyDescent="0.35">
      <c r="A14" s="307">
        <v>628</v>
      </c>
      <c r="B14" s="811" t="s">
        <v>440</v>
      </c>
      <c r="C14" s="810" t="s">
        <v>129</v>
      </c>
      <c r="D14" s="338" t="s">
        <v>1140</v>
      </c>
      <c r="E14" s="669" t="e">
        <f>HLOOKUP($D$2,'2020 Data(H)'!$C$1:$CZ$426,287,FALSE)</f>
        <v>#N/A</v>
      </c>
      <c r="F14" s="295">
        <v>0</v>
      </c>
      <c r="G14" s="730">
        <f>IF(F14&gt;F12,"Please review account numbers 628 &gt; 626",)</f>
        <v>0</v>
      </c>
      <c r="H14" s="735"/>
      <c r="I14" s="735"/>
      <c r="J14" s="575"/>
      <c r="L14" s="704"/>
      <c r="Q14" s="295">
        <v>56141</v>
      </c>
      <c r="Z14" s="307"/>
      <c r="AA14" s="307"/>
      <c r="AB14" s="307"/>
      <c r="AC14" s="307"/>
      <c r="AD14" s="307"/>
      <c r="AE14" s="307"/>
      <c r="AF14" s="307"/>
      <c r="AG14" s="307"/>
      <c r="AH14" s="307"/>
      <c r="AI14" s="307"/>
      <c r="AJ14" s="307"/>
      <c r="AK14" s="307"/>
      <c r="AL14" s="307"/>
      <c r="AM14" s="307"/>
      <c r="AN14" s="307"/>
      <c r="AO14" s="307"/>
      <c r="AP14" s="307"/>
      <c r="AQ14" s="307"/>
      <c r="AR14" s="307"/>
    </row>
    <row r="15" spans="1:44" ht="95.25" customHeight="1" thickBot="1" x14ac:dyDescent="0.35">
      <c r="A15" s="307">
        <v>629</v>
      </c>
      <c r="B15" s="811" t="s">
        <v>440</v>
      </c>
      <c r="C15" s="810" t="s">
        <v>129</v>
      </c>
      <c r="D15" s="338" t="s">
        <v>1141</v>
      </c>
      <c r="E15" s="669" t="e">
        <f>HLOOKUP($D$2,'2020 Data(H)'!$C$1:$CZ$426,288,FALSE)</f>
        <v>#N/A</v>
      </c>
      <c r="F15" s="295">
        <v>0</v>
      </c>
      <c r="G15" s="730">
        <f>IF(F15&gt;F12,"Please review account numbers 629 &gt; 626",)</f>
        <v>0</v>
      </c>
      <c r="H15" s="735"/>
      <c r="I15" s="735"/>
      <c r="J15" s="575"/>
      <c r="L15" s="704"/>
      <c r="Q15" s="295">
        <v>0</v>
      </c>
      <c r="Z15" s="307"/>
      <c r="AA15" s="307"/>
      <c r="AB15" s="307"/>
      <c r="AC15" s="307"/>
      <c r="AD15" s="307"/>
      <c r="AE15" s="307"/>
      <c r="AF15" s="307"/>
      <c r="AG15" s="307"/>
      <c r="AH15" s="307"/>
      <c r="AI15" s="307"/>
      <c r="AJ15" s="307"/>
      <c r="AK15" s="307"/>
      <c r="AL15" s="307"/>
      <c r="AM15" s="307"/>
      <c r="AN15" s="307"/>
      <c r="AO15" s="307"/>
      <c r="AP15" s="307"/>
      <c r="AQ15" s="307"/>
      <c r="AR15" s="307"/>
    </row>
    <row r="16" spans="1:44" ht="69" customHeight="1" thickBot="1" x14ac:dyDescent="0.35">
      <c r="A16" s="307">
        <v>630</v>
      </c>
      <c r="B16" s="811" t="s">
        <v>440</v>
      </c>
      <c r="C16" s="810" t="s">
        <v>129</v>
      </c>
      <c r="D16" s="338" t="s">
        <v>539</v>
      </c>
      <c r="E16" s="669" t="e">
        <f>HLOOKUP($D$2,'2020 Data(H)'!$C$1:$CZ$426,289,FALSE)</f>
        <v>#N/A</v>
      </c>
      <c r="F16" s="295">
        <v>0</v>
      </c>
      <c r="G16" s="730">
        <f>IF(F16&gt;F12,"Please review account numbers 630 &gt; 626",)</f>
        <v>0</v>
      </c>
      <c r="H16" s="735"/>
      <c r="I16" s="735"/>
      <c r="J16" s="575"/>
      <c r="L16" s="704"/>
      <c r="Q16" s="295">
        <v>0</v>
      </c>
      <c r="Z16" s="307"/>
      <c r="AA16" s="307"/>
      <c r="AB16" s="307"/>
      <c r="AC16" s="307"/>
      <c r="AD16" s="307"/>
      <c r="AE16" s="307"/>
      <c r="AF16" s="307"/>
      <c r="AG16" s="307"/>
      <c r="AH16" s="307"/>
      <c r="AI16" s="307"/>
      <c r="AJ16" s="307"/>
      <c r="AK16" s="307"/>
      <c r="AL16" s="307"/>
      <c r="AM16" s="307"/>
      <c r="AN16" s="307"/>
      <c r="AO16" s="307"/>
      <c r="AP16" s="307"/>
      <c r="AQ16" s="307"/>
      <c r="AR16" s="307"/>
    </row>
    <row r="17" spans="1:1881" s="1144" customFormat="1" ht="95.25" customHeight="1" thickBot="1" x14ac:dyDescent="0.35">
      <c r="A17" s="1143">
        <v>631</v>
      </c>
      <c r="B17" s="811" t="s">
        <v>440</v>
      </c>
      <c r="C17" s="810" t="s">
        <v>129</v>
      </c>
      <c r="D17" s="1137" t="s">
        <v>1142</v>
      </c>
      <c r="E17" s="1138" t="e">
        <f>HLOOKUP($D$2,'2020 Data(H)'!$C$1:$CZ$426,290,FALSE)</f>
        <v>#N/A</v>
      </c>
      <c r="F17" s="1139">
        <v>0</v>
      </c>
      <c r="G17" s="730">
        <f>IF(F17&gt;F12,"Please review account numbers 631 &gt; 626",)</f>
        <v>0</v>
      </c>
      <c r="H17" s="735"/>
      <c r="I17" s="735"/>
      <c r="J17" s="1140"/>
      <c r="K17" s="1141"/>
      <c r="L17" s="704"/>
      <c r="M17" s="1141"/>
      <c r="N17" s="1142"/>
      <c r="O17" s="1141"/>
      <c r="P17" s="1141"/>
      <c r="Q17" s="1139">
        <v>0</v>
      </c>
      <c r="R17" s="1141"/>
      <c r="S17" s="1141"/>
      <c r="T17" s="1141"/>
      <c r="U17" s="1141"/>
      <c r="V17" s="1141"/>
      <c r="W17" s="1141"/>
      <c r="X17" s="1141"/>
      <c r="Y17" s="1141"/>
      <c r="Z17" s="1143"/>
      <c r="AA17" s="1143"/>
      <c r="AB17" s="1143"/>
      <c r="AC17" s="1143"/>
      <c r="AD17" s="1143"/>
      <c r="AE17" s="1143"/>
      <c r="AF17" s="1143"/>
      <c r="AG17" s="1143"/>
      <c r="AH17" s="1143"/>
      <c r="AI17" s="1143"/>
      <c r="AJ17" s="1143"/>
      <c r="AK17" s="1143"/>
      <c r="AL17" s="1143"/>
      <c r="AM17" s="1143"/>
      <c r="AN17" s="1143"/>
      <c r="AO17" s="1143"/>
      <c r="AP17" s="1143"/>
      <c r="AQ17" s="1143"/>
      <c r="AR17" s="1143"/>
      <c r="AS17" s="1141"/>
      <c r="AT17" s="1141"/>
      <c r="AU17" s="1141"/>
      <c r="AV17" s="1141"/>
      <c r="AW17" s="1141"/>
      <c r="AX17" s="1141"/>
      <c r="AY17" s="1141"/>
      <c r="AZ17" s="1141"/>
      <c r="BA17" s="1141"/>
      <c r="BB17" s="1141"/>
      <c r="BC17" s="1141"/>
      <c r="BD17" s="1141"/>
      <c r="BE17" s="1141"/>
      <c r="BF17" s="1141"/>
      <c r="BG17" s="1141"/>
      <c r="BH17" s="1141"/>
      <c r="BI17" s="1141"/>
      <c r="BJ17" s="1141"/>
      <c r="BK17" s="1141"/>
      <c r="BL17" s="1141"/>
      <c r="BM17" s="1141"/>
      <c r="BN17" s="1141"/>
      <c r="BO17" s="1141"/>
      <c r="BP17" s="1141"/>
      <c r="BQ17" s="1141"/>
      <c r="BR17" s="1141"/>
      <c r="BS17" s="1141"/>
      <c r="BT17" s="1141"/>
      <c r="BU17" s="1141"/>
      <c r="BV17" s="1141"/>
      <c r="BW17" s="1141"/>
      <c r="BX17" s="1141"/>
      <c r="BY17" s="1141"/>
      <c r="BZ17" s="1141"/>
      <c r="CA17" s="1141"/>
      <c r="CB17" s="1141"/>
      <c r="CC17" s="1141"/>
      <c r="CD17" s="1141"/>
      <c r="CE17" s="1141"/>
      <c r="CF17" s="1141"/>
      <c r="CG17" s="1141"/>
      <c r="CH17" s="1141"/>
      <c r="CI17" s="1141"/>
      <c r="CJ17" s="1141"/>
      <c r="CK17" s="1141"/>
      <c r="CL17" s="1141"/>
      <c r="CM17" s="1141"/>
      <c r="CN17" s="1141"/>
      <c r="CO17" s="1141"/>
      <c r="CP17" s="1141"/>
      <c r="CQ17" s="1141"/>
      <c r="CR17" s="1141"/>
      <c r="CS17" s="1141"/>
      <c r="CT17" s="1141"/>
      <c r="CU17" s="1141"/>
      <c r="CV17" s="1141"/>
      <c r="CW17" s="1141"/>
      <c r="CX17" s="1141"/>
      <c r="CY17" s="1141"/>
      <c r="CZ17" s="1141"/>
      <c r="DA17" s="1141"/>
      <c r="DB17" s="1141"/>
      <c r="DC17" s="1141"/>
      <c r="DD17" s="1141"/>
      <c r="DE17" s="1141"/>
      <c r="DF17" s="1141"/>
      <c r="DG17" s="1141"/>
      <c r="DH17" s="1141"/>
      <c r="DI17" s="1141"/>
      <c r="DJ17" s="1141"/>
      <c r="DK17" s="1141"/>
      <c r="DL17" s="1141"/>
      <c r="DM17" s="1141"/>
      <c r="DN17" s="1141"/>
      <c r="DO17" s="1141"/>
      <c r="DP17" s="1141"/>
      <c r="DQ17" s="1141"/>
      <c r="DR17" s="1141"/>
      <c r="DS17" s="1141"/>
      <c r="DT17" s="1141"/>
      <c r="DU17" s="1141"/>
      <c r="DV17" s="1141"/>
      <c r="DW17" s="1141"/>
      <c r="DX17" s="1141"/>
      <c r="DY17" s="1141"/>
      <c r="DZ17" s="1141"/>
      <c r="EA17" s="1141"/>
      <c r="EB17" s="1141"/>
      <c r="EC17" s="1141"/>
      <c r="ED17" s="1141"/>
      <c r="EE17" s="1141"/>
      <c r="EF17" s="1141"/>
      <c r="EG17" s="1141"/>
      <c r="EH17" s="1141"/>
      <c r="EI17" s="1141"/>
      <c r="EJ17" s="1141"/>
      <c r="EK17" s="1141"/>
      <c r="EL17" s="1141"/>
      <c r="EM17" s="1141"/>
      <c r="EN17" s="1141"/>
      <c r="EO17" s="1141"/>
      <c r="EP17" s="1141"/>
      <c r="EQ17" s="1141"/>
      <c r="ER17" s="1141"/>
      <c r="ES17" s="1141"/>
      <c r="ET17" s="1141"/>
      <c r="EU17" s="1141"/>
      <c r="EV17" s="1141"/>
      <c r="EW17" s="1141"/>
      <c r="EX17" s="1141"/>
      <c r="EY17" s="1141"/>
      <c r="EZ17" s="1141"/>
      <c r="FA17" s="1141"/>
      <c r="FB17" s="1141"/>
      <c r="FC17" s="1141"/>
      <c r="FD17" s="1141"/>
      <c r="FE17" s="1141"/>
      <c r="FF17" s="1141"/>
      <c r="FG17" s="1141"/>
      <c r="FH17" s="1141"/>
      <c r="FI17" s="1141"/>
      <c r="FJ17" s="1141"/>
      <c r="FK17" s="1141"/>
      <c r="FL17" s="1141"/>
      <c r="FM17" s="1141"/>
      <c r="FN17" s="1141"/>
      <c r="FO17" s="1141"/>
      <c r="FP17" s="1141"/>
      <c r="FQ17" s="1141"/>
      <c r="FR17" s="1141"/>
      <c r="FS17" s="1141"/>
      <c r="FT17" s="1141"/>
      <c r="FU17" s="1141"/>
      <c r="FV17" s="1141"/>
      <c r="FW17" s="1141"/>
      <c r="FX17" s="1141"/>
      <c r="FY17" s="1141"/>
      <c r="FZ17" s="1141"/>
      <c r="GA17" s="1141"/>
      <c r="GB17" s="1141"/>
      <c r="GC17" s="1141"/>
      <c r="GD17" s="1141"/>
      <c r="GE17" s="1141"/>
      <c r="GF17" s="1141"/>
      <c r="GG17" s="1141"/>
      <c r="GH17" s="1141"/>
      <c r="GI17" s="1141"/>
      <c r="GJ17" s="1141"/>
      <c r="GK17" s="1141"/>
      <c r="GL17" s="1141"/>
      <c r="GM17" s="1141"/>
      <c r="GN17" s="1141"/>
      <c r="GO17" s="1141"/>
      <c r="GP17" s="1141"/>
      <c r="GQ17" s="1141"/>
      <c r="GR17" s="1141"/>
      <c r="GS17" s="1141"/>
      <c r="GT17" s="1141"/>
      <c r="GU17" s="1141"/>
      <c r="GV17" s="1141"/>
      <c r="GW17" s="1141"/>
      <c r="GX17" s="1141"/>
      <c r="GY17" s="1141"/>
      <c r="GZ17" s="1141"/>
      <c r="HA17" s="1141"/>
      <c r="HB17" s="1141"/>
      <c r="HC17" s="1141"/>
      <c r="HD17" s="1141"/>
      <c r="HE17" s="1141"/>
      <c r="HF17" s="1141"/>
      <c r="HG17" s="1141"/>
      <c r="HH17" s="1141"/>
      <c r="HI17" s="1141"/>
      <c r="HJ17" s="1141"/>
      <c r="HK17" s="1141"/>
      <c r="HL17" s="1141"/>
      <c r="HM17" s="1141"/>
      <c r="HN17" s="1141"/>
      <c r="HO17" s="1141"/>
      <c r="HP17" s="1141"/>
      <c r="HQ17" s="1141"/>
      <c r="HR17" s="1141"/>
      <c r="HS17" s="1141"/>
      <c r="HT17" s="1141"/>
      <c r="HU17" s="1141"/>
      <c r="HV17" s="1141"/>
      <c r="HW17" s="1141"/>
      <c r="HX17" s="1141"/>
      <c r="HY17" s="1141"/>
      <c r="HZ17" s="1141"/>
      <c r="IA17" s="1141"/>
      <c r="IB17" s="1141"/>
      <c r="IC17" s="1141"/>
      <c r="ID17" s="1141"/>
      <c r="IE17" s="1141"/>
      <c r="IF17" s="1141"/>
      <c r="IG17" s="1141"/>
      <c r="IH17" s="1141"/>
      <c r="II17" s="1141"/>
      <c r="IJ17" s="1141"/>
      <c r="IK17" s="1141"/>
      <c r="IL17" s="1141"/>
      <c r="IM17" s="1141"/>
      <c r="IN17" s="1141"/>
      <c r="IO17" s="1141"/>
      <c r="IP17" s="1141"/>
      <c r="IQ17" s="1141"/>
      <c r="IR17" s="1141"/>
      <c r="IS17" s="1141"/>
      <c r="IT17" s="1141"/>
      <c r="IU17" s="1141"/>
      <c r="IV17" s="1141"/>
      <c r="IW17" s="1141"/>
      <c r="IX17" s="1141"/>
      <c r="IY17" s="1141"/>
      <c r="IZ17" s="1141"/>
      <c r="JA17" s="1141"/>
      <c r="JB17" s="1141"/>
      <c r="JC17" s="1141"/>
      <c r="JD17" s="1141"/>
      <c r="JE17" s="1141"/>
      <c r="JF17" s="1141"/>
      <c r="JG17" s="1141"/>
      <c r="JH17" s="1141"/>
      <c r="JI17" s="1141"/>
      <c r="JJ17" s="1141"/>
      <c r="JK17" s="1141"/>
      <c r="JL17" s="1141"/>
      <c r="JM17" s="1141"/>
      <c r="JN17" s="1141"/>
      <c r="JO17" s="1141"/>
      <c r="JP17" s="1141"/>
      <c r="JQ17" s="1141"/>
      <c r="JR17" s="1141"/>
      <c r="JS17" s="1141"/>
      <c r="JT17" s="1141"/>
      <c r="JU17" s="1141"/>
      <c r="JV17" s="1141"/>
      <c r="JW17" s="1141"/>
      <c r="JX17" s="1141"/>
      <c r="JY17" s="1141"/>
      <c r="JZ17" s="1141"/>
      <c r="KA17" s="1141"/>
      <c r="KB17" s="1141"/>
      <c r="KC17" s="1141"/>
      <c r="KD17" s="1141"/>
      <c r="KE17" s="1141"/>
      <c r="KF17" s="1141"/>
      <c r="KG17" s="1141"/>
      <c r="KH17" s="1141"/>
      <c r="KI17" s="1141"/>
      <c r="KJ17" s="1141"/>
      <c r="KK17" s="1141"/>
      <c r="KL17" s="1141"/>
      <c r="KM17" s="1141"/>
      <c r="KN17" s="1141"/>
      <c r="KO17" s="1141"/>
      <c r="KP17" s="1141"/>
      <c r="KQ17" s="1141"/>
      <c r="KR17" s="1141"/>
      <c r="KS17" s="1141"/>
      <c r="KT17" s="1141"/>
      <c r="KU17" s="1141"/>
      <c r="KV17" s="1141"/>
      <c r="KW17" s="1141"/>
      <c r="KX17" s="1141"/>
      <c r="KY17" s="1141"/>
      <c r="KZ17" s="1141"/>
      <c r="LA17" s="1141"/>
      <c r="LB17" s="1141"/>
      <c r="LC17" s="1141"/>
      <c r="LD17" s="1141"/>
      <c r="LE17" s="1141"/>
      <c r="LF17" s="1141"/>
      <c r="LG17" s="1141"/>
      <c r="LH17" s="1141"/>
      <c r="LI17" s="1141"/>
      <c r="LJ17" s="1141"/>
      <c r="LK17" s="1141"/>
      <c r="LL17" s="1141"/>
      <c r="LM17" s="1141"/>
      <c r="LN17" s="1141"/>
      <c r="LO17" s="1141"/>
      <c r="LP17" s="1141"/>
      <c r="LQ17" s="1141"/>
      <c r="LR17" s="1141"/>
      <c r="LS17" s="1141"/>
      <c r="LT17" s="1141"/>
      <c r="LU17" s="1141"/>
      <c r="LV17" s="1141"/>
      <c r="LW17" s="1141"/>
      <c r="LX17" s="1141"/>
      <c r="LY17" s="1141"/>
      <c r="LZ17" s="1141"/>
      <c r="MA17" s="1141"/>
      <c r="MB17" s="1141"/>
      <c r="MC17" s="1141"/>
      <c r="MD17" s="1141"/>
      <c r="ME17" s="1141"/>
      <c r="MF17" s="1141"/>
      <c r="MG17" s="1141"/>
      <c r="MH17" s="1141"/>
      <c r="MI17" s="1141"/>
      <c r="MJ17" s="1141"/>
      <c r="MK17" s="1141"/>
      <c r="ML17" s="1141"/>
      <c r="MM17" s="1141"/>
      <c r="MN17" s="1141"/>
      <c r="MO17" s="1141"/>
      <c r="MP17" s="1141"/>
      <c r="MQ17" s="1141"/>
      <c r="MR17" s="1141"/>
      <c r="MS17" s="1141"/>
      <c r="MT17" s="1141"/>
      <c r="MU17" s="1141"/>
      <c r="MV17" s="1141"/>
      <c r="MW17" s="1141"/>
      <c r="MX17" s="1141"/>
      <c r="MY17" s="1141"/>
      <c r="MZ17" s="1141"/>
      <c r="NA17" s="1141"/>
      <c r="NB17" s="1141"/>
      <c r="NC17" s="1141"/>
      <c r="ND17" s="1141"/>
      <c r="NE17" s="1141"/>
      <c r="NF17" s="1141"/>
      <c r="NG17" s="1141"/>
      <c r="NH17" s="1141"/>
      <c r="NI17" s="1141"/>
      <c r="NJ17" s="1141"/>
      <c r="NK17" s="1141"/>
      <c r="NL17" s="1141"/>
      <c r="NM17" s="1141"/>
      <c r="NN17" s="1141"/>
      <c r="NO17" s="1141"/>
      <c r="NP17" s="1141"/>
      <c r="NQ17" s="1141"/>
      <c r="NR17" s="1141"/>
      <c r="NS17" s="1141"/>
      <c r="NT17" s="1141"/>
      <c r="NU17" s="1141"/>
      <c r="NV17" s="1141"/>
      <c r="NW17" s="1141"/>
      <c r="NX17" s="1141"/>
      <c r="NY17" s="1141"/>
      <c r="NZ17" s="1141"/>
      <c r="OA17" s="1141"/>
      <c r="OB17" s="1141"/>
      <c r="OC17" s="1141"/>
      <c r="OD17" s="1141"/>
      <c r="OE17" s="1141"/>
      <c r="OF17" s="1141"/>
      <c r="OG17" s="1141"/>
      <c r="OH17" s="1141"/>
      <c r="OI17" s="1141"/>
      <c r="OJ17" s="1141"/>
      <c r="OK17" s="1141"/>
      <c r="OL17" s="1141"/>
      <c r="OM17" s="1141"/>
      <c r="ON17" s="1141"/>
      <c r="OO17" s="1141"/>
      <c r="OP17" s="1141"/>
      <c r="OQ17" s="1141"/>
      <c r="OR17" s="1141"/>
      <c r="OS17" s="1141"/>
      <c r="OT17" s="1141"/>
      <c r="OU17" s="1141"/>
      <c r="OV17" s="1141"/>
      <c r="OW17" s="1141"/>
      <c r="OX17" s="1141"/>
      <c r="OY17" s="1141"/>
      <c r="OZ17" s="1141"/>
      <c r="PA17" s="1141"/>
      <c r="PB17" s="1141"/>
      <c r="PC17" s="1141"/>
      <c r="PD17" s="1141"/>
      <c r="PE17" s="1141"/>
      <c r="PF17" s="1141"/>
      <c r="PG17" s="1141"/>
      <c r="PH17" s="1141"/>
      <c r="PI17" s="1141"/>
      <c r="PJ17" s="1141"/>
      <c r="PK17" s="1141"/>
      <c r="PL17" s="1141"/>
      <c r="PM17" s="1141"/>
      <c r="PN17" s="1141"/>
      <c r="PO17" s="1141"/>
      <c r="PP17" s="1141"/>
      <c r="PQ17" s="1141"/>
      <c r="PR17" s="1141"/>
      <c r="PS17" s="1141"/>
      <c r="PT17" s="1141"/>
      <c r="PU17" s="1141"/>
      <c r="PV17" s="1141"/>
      <c r="PW17" s="1141"/>
      <c r="PX17" s="1141"/>
      <c r="PY17" s="1141"/>
      <c r="PZ17" s="1141"/>
      <c r="QA17" s="1141"/>
      <c r="QB17" s="1141"/>
      <c r="QC17" s="1141"/>
      <c r="QD17" s="1141"/>
      <c r="QE17" s="1141"/>
      <c r="QF17" s="1141"/>
      <c r="QG17" s="1141"/>
      <c r="QH17" s="1141"/>
      <c r="QI17" s="1141"/>
      <c r="QJ17" s="1141"/>
      <c r="QK17" s="1141"/>
      <c r="QL17" s="1141"/>
      <c r="QM17" s="1141"/>
      <c r="QN17" s="1141"/>
      <c r="QO17" s="1141"/>
      <c r="QP17" s="1141"/>
      <c r="QQ17" s="1141"/>
      <c r="QR17" s="1141"/>
      <c r="QS17" s="1141"/>
      <c r="QT17" s="1141"/>
      <c r="QU17" s="1141"/>
      <c r="QV17" s="1141"/>
      <c r="QW17" s="1141"/>
      <c r="QX17" s="1141"/>
      <c r="QY17" s="1141"/>
      <c r="QZ17" s="1141"/>
      <c r="RA17" s="1141"/>
      <c r="RB17" s="1141"/>
      <c r="RC17" s="1141"/>
      <c r="RD17" s="1141"/>
      <c r="RE17" s="1141"/>
      <c r="RF17" s="1141"/>
      <c r="RG17" s="1141"/>
      <c r="RH17" s="1141"/>
      <c r="RI17" s="1141"/>
      <c r="RJ17" s="1141"/>
      <c r="RK17" s="1141"/>
      <c r="RL17" s="1141"/>
      <c r="RM17" s="1141"/>
      <c r="RN17" s="1141"/>
      <c r="RO17" s="1141"/>
      <c r="RP17" s="1141"/>
      <c r="RQ17" s="1141"/>
      <c r="RR17" s="1141"/>
      <c r="RS17" s="1141"/>
      <c r="RT17" s="1141"/>
      <c r="RU17" s="1141"/>
      <c r="RV17" s="1141"/>
      <c r="RW17" s="1141"/>
      <c r="RX17" s="1141"/>
      <c r="RY17" s="1141"/>
      <c r="RZ17" s="1141"/>
      <c r="SA17" s="1141"/>
      <c r="SB17" s="1141"/>
      <c r="SC17" s="1141"/>
      <c r="SD17" s="1141"/>
      <c r="SE17" s="1141"/>
      <c r="SF17" s="1141"/>
      <c r="SG17" s="1141"/>
      <c r="SH17" s="1141"/>
      <c r="SI17" s="1141"/>
      <c r="SJ17" s="1141"/>
      <c r="SK17" s="1141"/>
      <c r="SL17" s="1141"/>
      <c r="SM17" s="1141"/>
      <c r="SN17" s="1141"/>
      <c r="SO17" s="1141"/>
      <c r="SP17" s="1141"/>
      <c r="SQ17" s="1141"/>
      <c r="SR17" s="1141"/>
      <c r="SS17" s="1141"/>
      <c r="ST17" s="1141"/>
      <c r="SU17" s="1141"/>
      <c r="SV17" s="1141"/>
      <c r="SW17" s="1141"/>
      <c r="SX17" s="1141"/>
      <c r="SY17" s="1141"/>
      <c r="SZ17" s="1141"/>
      <c r="TA17" s="1141"/>
      <c r="TB17" s="1141"/>
      <c r="TC17" s="1141"/>
      <c r="TD17" s="1141"/>
      <c r="TE17" s="1141"/>
      <c r="TF17" s="1141"/>
      <c r="TG17" s="1141"/>
      <c r="TH17" s="1141"/>
      <c r="TI17" s="1141"/>
      <c r="TJ17" s="1141"/>
      <c r="TK17" s="1141"/>
      <c r="TL17" s="1141"/>
      <c r="TM17" s="1141"/>
      <c r="TN17" s="1141"/>
      <c r="TO17" s="1141"/>
      <c r="TP17" s="1141"/>
      <c r="TQ17" s="1141"/>
      <c r="TR17" s="1141"/>
      <c r="TS17" s="1141"/>
      <c r="TT17" s="1141"/>
      <c r="TU17" s="1141"/>
      <c r="TV17" s="1141"/>
      <c r="TW17" s="1141"/>
      <c r="TX17" s="1141"/>
      <c r="TY17" s="1141"/>
      <c r="TZ17" s="1141"/>
      <c r="UA17" s="1141"/>
      <c r="UB17" s="1141"/>
      <c r="UC17" s="1141"/>
      <c r="UD17" s="1141"/>
      <c r="UE17" s="1141"/>
      <c r="UF17" s="1141"/>
      <c r="UG17" s="1141"/>
      <c r="UH17" s="1141"/>
      <c r="UI17" s="1141"/>
      <c r="UJ17" s="1141"/>
      <c r="UK17" s="1141"/>
      <c r="UL17" s="1141"/>
      <c r="UM17" s="1141"/>
      <c r="UN17" s="1141"/>
      <c r="UO17" s="1141"/>
      <c r="UP17" s="1141"/>
      <c r="UQ17" s="1141"/>
      <c r="UR17" s="1141"/>
      <c r="US17" s="1141"/>
      <c r="UT17" s="1141"/>
      <c r="UU17" s="1141"/>
      <c r="UV17" s="1141"/>
      <c r="UW17" s="1141"/>
      <c r="UX17" s="1141"/>
      <c r="UY17" s="1141"/>
      <c r="UZ17" s="1141"/>
      <c r="VA17" s="1141"/>
      <c r="VB17" s="1141"/>
      <c r="VC17" s="1141"/>
      <c r="VD17" s="1141"/>
      <c r="VE17" s="1141"/>
      <c r="VF17" s="1141"/>
      <c r="VG17" s="1141"/>
      <c r="VH17" s="1141"/>
      <c r="VI17" s="1141"/>
      <c r="VJ17" s="1141"/>
      <c r="VK17" s="1141"/>
      <c r="VL17" s="1141"/>
      <c r="VM17" s="1141"/>
      <c r="VN17" s="1141"/>
      <c r="VO17" s="1141"/>
      <c r="VP17" s="1141"/>
      <c r="VQ17" s="1141"/>
      <c r="VR17" s="1141"/>
      <c r="VS17" s="1141"/>
      <c r="VT17" s="1141"/>
      <c r="VU17" s="1141"/>
      <c r="VV17" s="1141"/>
      <c r="VW17" s="1141"/>
      <c r="VX17" s="1141"/>
      <c r="VY17" s="1141"/>
      <c r="VZ17" s="1141"/>
      <c r="WA17" s="1141"/>
      <c r="WB17" s="1141"/>
      <c r="WC17" s="1141"/>
      <c r="WD17" s="1141"/>
      <c r="WE17" s="1141"/>
      <c r="WF17" s="1141"/>
      <c r="WG17" s="1141"/>
      <c r="WH17" s="1141"/>
      <c r="WI17" s="1141"/>
      <c r="WJ17" s="1141"/>
      <c r="WK17" s="1141"/>
      <c r="WL17" s="1141"/>
      <c r="WM17" s="1141"/>
      <c r="WN17" s="1141"/>
      <c r="WO17" s="1141"/>
      <c r="WP17" s="1141"/>
      <c r="WQ17" s="1141"/>
      <c r="WR17" s="1141"/>
      <c r="WS17" s="1141"/>
      <c r="WT17" s="1141"/>
      <c r="WU17" s="1141"/>
      <c r="WV17" s="1141"/>
      <c r="WW17" s="1141"/>
      <c r="WX17" s="1141"/>
      <c r="WY17" s="1141"/>
      <c r="WZ17" s="1141"/>
      <c r="XA17" s="1141"/>
      <c r="XB17" s="1141"/>
      <c r="XC17" s="1141"/>
      <c r="XD17" s="1141"/>
      <c r="XE17" s="1141"/>
      <c r="XF17" s="1141"/>
      <c r="XG17" s="1141"/>
      <c r="XH17" s="1141"/>
      <c r="XI17" s="1141"/>
      <c r="XJ17" s="1141"/>
      <c r="XK17" s="1141"/>
      <c r="XL17" s="1141"/>
      <c r="XM17" s="1141"/>
      <c r="XN17" s="1141"/>
      <c r="XO17" s="1141"/>
      <c r="XP17" s="1141"/>
      <c r="XQ17" s="1141"/>
      <c r="XR17" s="1141"/>
      <c r="XS17" s="1141"/>
      <c r="XT17" s="1141"/>
      <c r="XU17" s="1141"/>
      <c r="XV17" s="1141"/>
      <c r="XW17" s="1141"/>
      <c r="XX17" s="1141"/>
      <c r="XY17" s="1141"/>
      <c r="XZ17" s="1141"/>
      <c r="YA17" s="1141"/>
      <c r="YB17" s="1141"/>
      <c r="YC17" s="1141"/>
      <c r="YD17" s="1141"/>
      <c r="YE17" s="1141"/>
      <c r="YF17" s="1141"/>
      <c r="YG17" s="1141"/>
      <c r="YH17" s="1141"/>
      <c r="YI17" s="1141"/>
      <c r="YJ17" s="1141"/>
      <c r="YK17" s="1141"/>
      <c r="YL17" s="1141"/>
      <c r="YM17" s="1141"/>
      <c r="YN17" s="1141"/>
      <c r="YO17" s="1141"/>
      <c r="YP17" s="1141"/>
      <c r="YQ17" s="1141"/>
      <c r="YR17" s="1141"/>
      <c r="YS17" s="1141"/>
      <c r="YT17" s="1141"/>
      <c r="YU17" s="1141"/>
      <c r="YV17" s="1141"/>
      <c r="YW17" s="1141"/>
      <c r="YX17" s="1141"/>
      <c r="YY17" s="1141"/>
      <c r="YZ17" s="1141"/>
      <c r="ZA17" s="1141"/>
      <c r="ZB17" s="1141"/>
      <c r="ZC17" s="1141"/>
      <c r="ZD17" s="1141"/>
      <c r="ZE17" s="1141"/>
      <c r="ZF17" s="1141"/>
      <c r="ZG17" s="1141"/>
      <c r="ZH17" s="1141"/>
      <c r="ZI17" s="1141"/>
      <c r="ZJ17" s="1141"/>
      <c r="ZK17" s="1141"/>
      <c r="ZL17" s="1141"/>
      <c r="ZM17" s="1141"/>
      <c r="ZN17" s="1141"/>
      <c r="ZO17" s="1141"/>
      <c r="ZP17" s="1141"/>
      <c r="ZQ17" s="1141"/>
      <c r="ZR17" s="1141"/>
      <c r="ZS17" s="1141"/>
      <c r="ZT17" s="1141"/>
      <c r="ZU17" s="1141"/>
      <c r="ZV17" s="1141"/>
      <c r="ZW17" s="1141"/>
      <c r="ZX17" s="1141"/>
      <c r="ZY17" s="1141"/>
      <c r="ZZ17" s="1141"/>
      <c r="AAA17" s="1141"/>
      <c r="AAB17" s="1141"/>
      <c r="AAC17" s="1141"/>
      <c r="AAD17" s="1141"/>
      <c r="AAE17" s="1141"/>
      <c r="AAF17" s="1141"/>
      <c r="AAG17" s="1141"/>
      <c r="AAH17" s="1141"/>
      <c r="AAI17" s="1141"/>
      <c r="AAJ17" s="1141"/>
      <c r="AAK17" s="1141"/>
      <c r="AAL17" s="1141"/>
      <c r="AAM17" s="1141"/>
      <c r="AAN17" s="1141"/>
      <c r="AAO17" s="1141"/>
      <c r="AAP17" s="1141"/>
      <c r="AAQ17" s="1141"/>
      <c r="AAR17" s="1141"/>
      <c r="AAS17" s="1141"/>
      <c r="AAT17" s="1141"/>
      <c r="AAU17" s="1141"/>
      <c r="AAV17" s="1141"/>
      <c r="AAW17" s="1141"/>
      <c r="AAX17" s="1141"/>
      <c r="AAY17" s="1141"/>
      <c r="AAZ17" s="1141"/>
      <c r="ABA17" s="1141"/>
      <c r="ABB17" s="1141"/>
      <c r="ABC17" s="1141"/>
      <c r="ABD17" s="1141"/>
      <c r="ABE17" s="1141"/>
      <c r="ABF17" s="1141"/>
      <c r="ABG17" s="1141"/>
      <c r="ABH17" s="1141"/>
      <c r="ABI17" s="1141"/>
      <c r="ABJ17" s="1141"/>
      <c r="ABK17" s="1141"/>
      <c r="ABL17" s="1141"/>
      <c r="ABM17" s="1141"/>
      <c r="ABN17" s="1141"/>
      <c r="ABO17" s="1141"/>
      <c r="ABP17" s="1141"/>
      <c r="ABQ17" s="1141"/>
      <c r="ABR17" s="1141"/>
      <c r="ABS17" s="1141"/>
      <c r="ABT17" s="1141"/>
      <c r="ABU17" s="1141"/>
      <c r="ABV17" s="1141"/>
      <c r="ABW17" s="1141"/>
      <c r="ABX17" s="1141"/>
      <c r="ABY17" s="1141"/>
      <c r="ABZ17" s="1141"/>
      <c r="ACA17" s="1141"/>
      <c r="ACB17" s="1141"/>
      <c r="ACC17" s="1141"/>
      <c r="ACD17" s="1141"/>
      <c r="ACE17" s="1141"/>
      <c r="ACF17" s="1141"/>
      <c r="ACG17" s="1141"/>
      <c r="ACH17" s="1141"/>
      <c r="ACI17" s="1141"/>
      <c r="ACJ17" s="1141"/>
      <c r="ACK17" s="1141"/>
      <c r="ACL17" s="1141"/>
      <c r="ACM17" s="1141"/>
      <c r="ACN17" s="1141"/>
      <c r="ACO17" s="1141"/>
      <c r="ACP17" s="1141"/>
      <c r="ACQ17" s="1141"/>
      <c r="ACR17" s="1141"/>
      <c r="ACS17" s="1141"/>
      <c r="ACT17" s="1141"/>
      <c r="ACU17" s="1141"/>
      <c r="ACV17" s="1141"/>
      <c r="ACW17" s="1141"/>
      <c r="ACX17" s="1141"/>
      <c r="ACY17" s="1141"/>
      <c r="ACZ17" s="1141"/>
      <c r="ADA17" s="1141"/>
      <c r="ADB17" s="1141"/>
      <c r="ADC17" s="1141"/>
      <c r="ADD17" s="1141"/>
      <c r="ADE17" s="1141"/>
      <c r="ADF17" s="1141"/>
      <c r="ADG17" s="1141"/>
      <c r="ADH17" s="1141"/>
      <c r="ADI17" s="1141"/>
      <c r="ADJ17" s="1141"/>
      <c r="ADK17" s="1141"/>
      <c r="ADL17" s="1141"/>
      <c r="ADM17" s="1141"/>
      <c r="ADN17" s="1141"/>
      <c r="ADO17" s="1141"/>
      <c r="ADP17" s="1141"/>
      <c r="ADQ17" s="1141"/>
      <c r="ADR17" s="1141"/>
      <c r="ADS17" s="1141"/>
      <c r="ADT17" s="1141"/>
      <c r="ADU17" s="1141"/>
      <c r="ADV17" s="1141"/>
      <c r="ADW17" s="1141"/>
      <c r="ADX17" s="1141"/>
      <c r="ADY17" s="1141"/>
      <c r="ADZ17" s="1141"/>
      <c r="AEA17" s="1141"/>
      <c r="AEB17" s="1141"/>
      <c r="AEC17" s="1141"/>
      <c r="AED17" s="1141"/>
      <c r="AEE17" s="1141"/>
      <c r="AEF17" s="1141"/>
      <c r="AEG17" s="1141"/>
      <c r="AEH17" s="1141"/>
      <c r="AEI17" s="1141"/>
      <c r="AEJ17" s="1141"/>
      <c r="AEK17" s="1141"/>
      <c r="AEL17" s="1141"/>
      <c r="AEM17" s="1141"/>
      <c r="AEN17" s="1141"/>
      <c r="AEO17" s="1141"/>
      <c r="AEP17" s="1141"/>
      <c r="AEQ17" s="1141"/>
      <c r="AER17" s="1141"/>
      <c r="AES17" s="1141"/>
      <c r="AET17" s="1141"/>
      <c r="AEU17" s="1141"/>
      <c r="AEV17" s="1141"/>
      <c r="AEW17" s="1141"/>
      <c r="AEX17" s="1141"/>
      <c r="AEY17" s="1141"/>
      <c r="AEZ17" s="1141"/>
      <c r="AFA17" s="1141"/>
      <c r="AFB17" s="1141"/>
      <c r="AFC17" s="1141"/>
      <c r="AFD17" s="1141"/>
      <c r="AFE17" s="1141"/>
      <c r="AFF17" s="1141"/>
      <c r="AFG17" s="1141"/>
      <c r="AFH17" s="1141"/>
      <c r="AFI17" s="1141"/>
      <c r="AFJ17" s="1141"/>
      <c r="AFK17" s="1141"/>
      <c r="AFL17" s="1141"/>
      <c r="AFM17" s="1141"/>
      <c r="AFN17" s="1141"/>
      <c r="AFO17" s="1141"/>
      <c r="AFP17" s="1141"/>
      <c r="AFQ17" s="1141"/>
      <c r="AFR17" s="1141"/>
      <c r="AFS17" s="1141"/>
      <c r="AFT17" s="1141"/>
      <c r="AFU17" s="1141"/>
      <c r="AFV17" s="1141"/>
      <c r="AFW17" s="1141"/>
      <c r="AFX17" s="1141"/>
      <c r="AFY17" s="1141"/>
      <c r="AFZ17" s="1141"/>
      <c r="AGA17" s="1141"/>
      <c r="AGB17" s="1141"/>
      <c r="AGC17" s="1141"/>
      <c r="AGD17" s="1141"/>
      <c r="AGE17" s="1141"/>
      <c r="AGF17" s="1141"/>
      <c r="AGG17" s="1141"/>
      <c r="AGH17" s="1141"/>
      <c r="AGI17" s="1141"/>
      <c r="AGJ17" s="1141"/>
      <c r="AGK17" s="1141"/>
      <c r="AGL17" s="1141"/>
      <c r="AGM17" s="1141"/>
      <c r="AGN17" s="1141"/>
      <c r="AGO17" s="1141"/>
      <c r="AGP17" s="1141"/>
      <c r="AGQ17" s="1141"/>
      <c r="AGR17" s="1141"/>
      <c r="AGS17" s="1141"/>
      <c r="AGT17" s="1141"/>
      <c r="AGU17" s="1141"/>
      <c r="AGV17" s="1141"/>
      <c r="AGW17" s="1141"/>
      <c r="AGX17" s="1141"/>
      <c r="AGY17" s="1141"/>
      <c r="AGZ17" s="1141"/>
      <c r="AHA17" s="1141"/>
      <c r="AHB17" s="1141"/>
      <c r="AHC17" s="1141"/>
      <c r="AHD17" s="1141"/>
      <c r="AHE17" s="1141"/>
      <c r="AHF17" s="1141"/>
      <c r="AHG17" s="1141"/>
      <c r="AHH17" s="1141"/>
      <c r="AHI17" s="1141"/>
      <c r="AHJ17" s="1141"/>
      <c r="AHK17" s="1141"/>
      <c r="AHL17" s="1141"/>
      <c r="AHM17" s="1141"/>
      <c r="AHN17" s="1141"/>
      <c r="AHO17" s="1141"/>
      <c r="AHP17" s="1141"/>
      <c r="AHQ17" s="1141"/>
      <c r="AHR17" s="1141"/>
      <c r="AHS17" s="1141"/>
      <c r="AHT17" s="1141"/>
      <c r="AHU17" s="1141"/>
      <c r="AHV17" s="1141"/>
      <c r="AHW17" s="1141"/>
      <c r="AHX17" s="1141"/>
      <c r="AHY17" s="1141"/>
      <c r="AHZ17" s="1141"/>
      <c r="AIA17" s="1141"/>
      <c r="AIB17" s="1141"/>
      <c r="AIC17" s="1141"/>
      <c r="AID17" s="1141"/>
      <c r="AIE17" s="1141"/>
      <c r="AIF17" s="1141"/>
      <c r="AIG17" s="1141"/>
      <c r="AIH17" s="1141"/>
      <c r="AII17" s="1141"/>
      <c r="AIJ17" s="1141"/>
      <c r="AIK17" s="1141"/>
      <c r="AIL17" s="1141"/>
      <c r="AIM17" s="1141"/>
      <c r="AIN17" s="1141"/>
      <c r="AIO17" s="1141"/>
      <c r="AIP17" s="1141"/>
      <c r="AIQ17" s="1141"/>
      <c r="AIR17" s="1141"/>
      <c r="AIS17" s="1141"/>
      <c r="AIT17" s="1141"/>
      <c r="AIU17" s="1141"/>
      <c r="AIV17" s="1141"/>
      <c r="AIW17" s="1141"/>
      <c r="AIX17" s="1141"/>
      <c r="AIY17" s="1141"/>
      <c r="AIZ17" s="1141"/>
      <c r="AJA17" s="1141"/>
      <c r="AJB17" s="1141"/>
      <c r="AJC17" s="1141"/>
      <c r="AJD17" s="1141"/>
      <c r="AJE17" s="1141"/>
      <c r="AJF17" s="1141"/>
      <c r="AJG17" s="1141"/>
      <c r="AJH17" s="1141"/>
      <c r="AJI17" s="1141"/>
      <c r="AJJ17" s="1141"/>
      <c r="AJK17" s="1141"/>
      <c r="AJL17" s="1141"/>
      <c r="AJM17" s="1141"/>
      <c r="AJN17" s="1141"/>
      <c r="AJO17" s="1141"/>
      <c r="AJP17" s="1141"/>
      <c r="AJQ17" s="1141"/>
      <c r="AJR17" s="1141"/>
      <c r="AJS17" s="1141"/>
      <c r="AJT17" s="1141"/>
      <c r="AJU17" s="1141"/>
      <c r="AJV17" s="1141"/>
      <c r="AJW17" s="1141"/>
      <c r="AJX17" s="1141"/>
      <c r="AJY17" s="1141"/>
      <c r="AJZ17" s="1141"/>
      <c r="AKA17" s="1141"/>
      <c r="AKB17" s="1141"/>
      <c r="AKC17" s="1141"/>
      <c r="AKD17" s="1141"/>
      <c r="AKE17" s="1141"/>
      <c r="AKF17" s="1141"/>
      <c r="AKG17" s="1141"/>
      <c r="AKH17" s="1141"/>
      <c r="AKI17" s="1141"/>
      <c r="AKJ17" s="1141"/>
      <c r="AKK17" s="1141"/>
      <c r="AKL17" s="1141"/>
      <c r="AKM17" s="1141"/>
      <c r="AKN17" s="1141"/>
      <c r="AKO17" s="1141"/>
      <c r="AKP17" s="1141"/>
      <c r="AKQ17" s="1141"/>
      <c r="AKR17" s="1141"/>
      <c r="AKS17" s="1141"/>
      <c r="AKT17" s="1141"/>
      <c r="AKU17" s="1141"/>
      <c r="AKV17" s="1141"/>
      <c r="AKW17" s="1141"/>
      <c r="AKX17" s="1141"/>
      <c r="AKY17" s="1141"/>
      <c r="AKZ17" s="1141"/>
      <c r="ALA17" s="1141"/>
      <c r="ALB17" s="1141"/>
      <c r="ALC17" s="1141"/>
      <c r="ALD17" s="1141"/>
      <c r="ALE17" s="1141"/>
      <c r="ALF17" s="1141"/>
      <c r="ALG17" s="1141"/>
      <c r="ALH17" s="1141"/>
      <c r="ALI17" s="1141"/>
      <c r="ALJ17" s="1141"/>
      <c r="ALK17" s="1141"/>
      <c r="ALL17" s="1141"/>
      <c r="ALM17" s="1141"/>
      <c r="ALN17" s="1141"/>
      <c r="ALO17" s="1141"/>
      <c r="ALP17" s="1141"/>
      <c r="ALQ17" s="1141"/>
      <c r="ALR17" s="1141"/>
      <c r="ALS17" s="1141"/>
      <c r="ALT17" s="1141"/>
      <c r="ALU17" s="1141"/>
      <c r="ALV17" s="1141"/>
      <c r="ALW17" s="1141"/>
      <c r="ALX17" s="1141"/>
      <c r="ALY17" s="1141"/>
      <c r="ALZ17" s="1141"/>
      <c r="AMA17" s="1141"/>
      <c r="AMB17" s="1141"/>
      <c r="AMC17" s="1141"/>
      <c r="AMD17" s="1141"/>
      <c r="AME17" s="1141"/>
      <c r="AMF17" s="1141"/>
      <c r="AMG17" s="1141"/>
      <c r="AMH17" s="1141"/>
      <c r="AMI17" s="1141"/>
      <c r="AMJ17" s="1141"/>
      <c r="AMK17" s="1141"/>
      <c r="AML17" s="1141"/>
      <c r="AMM17" s="1141"/>
      <c r="AMN17" s="1141"/>
      <c r="AMO17" s="1141"/>
      <c r="AMP17" s="1141"/>
      <c r="AMQ17" s="1141"/>
      <c r="AMR17" s="1141"/>
      <c r="AMS17" s="1141"/>
      <c r="AMT17" s="1141"/>
      <c r="AMU17" s="1141"/>
      <c r="AMV17" s="1141"/>
      <c r="AMW17" s="1141"/>
      <c r="AMX17" s="1141"/>
      <c r="AMY17" s="1141"/>
      <c r="AMZ17" s="1141"/>
      <c r="ANA17" s="1141"/>
      <c r="ANB17" s="1141"/>
      <c r="ANC17" s="1141"/>
      <c r="AND17" s="1141"/>
      <c r="ANE17" s="1141"/>
      <c r="ANF17" s="1141"/>
      <c r="ANG17" s="1141"/>
      <c r="ANH17" s="1141"/>
      <c r="ANI17" s="1141"/>
      <c r="ANJ17" s="1141"/>
      <c r="ANK17" s="1141"/>
      <c r="ANL17" s="1141"/>
      <c r="ANM17" s="1141"/>
      <c r="ANN17" s="1141"/>
      <c r="ANO17" s="1141"/>
      <c r="ANP17" s="1141"/>
      <c r="ANQ17" s="1141"/>
      <c r="ANR17" s="1141"/>
      <c r="ANS17" s="1141"/>
      <c r="ANT17" s="1141"/>
      <c r="ANU17" s="1141"/>
      <c r="ANV17" s="1141"/>
      <c r="ANW17" s="1141"/>
      <c r="ANX17" s="1141"/>
      <c r="ANY17" s="1141"/>
      <c r="ANZ17" s="1141"/>
      <c r="AOA17" s="1141"/>
      <c r="AOB17" s="1141"/>
      <c r="AOC17" s="1141"/>
      <c r="AOD17" s="1141"/>
      <c r="AOE17" s="1141"/>
      <c r="AOF17" s="1141"/>
      <c r="AOG17" s="1141"/>
      <c r="AOH17" s="1141"/>
      <c r="AOI17" s="1141"/>
      <c r="AOJ17" s="1141"/>
      <c r="AOK17" s="1141"/>
      <c r="AOL17" s="1141"/>
      <c r="AOM17" s="1141"/>
      <c r="AON17" s="1141"/>
      <c r="AOO17" s="1141"/>
      <c r="AOP17" s="1141"/>
      <c r="AOQ17" s="1141"/>
      <c r="AOR17" s="1141"/>
      <c r="AOS17" s="1141"/>
      <c r="AOT17" s="1141"/>
      <c r="AOU17" s="1141"/>
      <c r="AOV17" s="1141"/>
      <c r="AOW17" s="1141"/>
      <c r="AOX17" s="1141"/>
      <c r="AOY17" s="1141"/>
      <c r="AOZ17" s="1141"/>
      <c r="APA17" s="1141"/>
      <c r="APB17" s="1141"/>
      <c r="APC17" s="1141"/>
      <c r="APD17" s="1141"/>
      <c r="APE17" s="1141"/>
      <c r="APF17" s="1141"/>
      <c r="APG17" s="1141"/>
      <c r="APH17" s="1141"/>
      <c r="API17" s="1141"/>
      <c r="APJ17" s="1141"/>
      <c r="APK17" s="1141"/>
      <c r="APL17" s="1141"/>
      <c r="APM17" s="1141"/>
      <c r="APN17" s="1141"/>
      <c r="APO17" s="1141"/>
      <c r="APP17" s="1141"/>
      <c r="APQ17" s="1141"/>
      <c r="APR17" s="1141"/>
      <c r="APS17" s="1141"/>
      <c r="APT17" s="1141"/>
      <c r="APU17" s="1141"/>
      <c r="APV17" s="1141"/>
      <c r="APW17" s="1141"/>
      <c r="APX17" s="1141"/>
      <c r="APY17" s="1141"/>
      <c r="APZ17" s="1141"/>
      <c r="AQA17" s="1141"/>
      <c r="AQB17" s="1141"/>
      <c r="AQC17" s="1141"/>
      <c r="AQD17" s="1141"/>
      <c r="AQE17" s="1141"/>
      <c r="AQF17" s="1141"/>
      <c r="AQG17" s="1141"/>
      <c r="AQH17" s="1141"/>
      <c r="AQI17" s="1141"/>
      <c r="AQJ17" s="1141"/>
      <c r="AQK17" s="1141"/>
      <c r="AQL17" s="1141"/>
      <c r="AQM17" s="1141"/>
      <c r="AQN17" s="1141"/>
      <c r="AQO17" s="1141"/>
      <c r="AQP17" s="1141"/>
      <c r="AQQ17" s="1141"/>
      <c r="AQR17" s="1141"/>
      <c r="AQS17" s="1141"/>
      <c r="AQT17" s="1141"/>
      <c r="AQU17" s="1141"/>
      <c r="AQV17" s="1141"/>
      <c r="AQW17" s="1141"/>
      <c r="AQX17" s="1141"/>
      <c r="AQY17" s="1141"/>
      <c r="AQZ17" s="1141"/>
      <c r="ARA17" s="1141"/>
      <c r="ARB17" s="1141"/>
      <c r="ARC17" s="1141"/>
      <c r="ARD17" s="1141"/>
      <c r="ARE17" s="1141"/>
      <c r="ARF17" s="1141"/>
      <c r="ARG17" s="1141"/>
      <c r="ARH17" s="1141"/>
      <c r="ARI17" s="1141"/>
      <c r="ARJ17" s="1141"/>
      <c r="ARK17" s="1141"/>
      <c r="ARL17" s="1141"/>
      <c r="ARM17" s="1141"/>
      <c r="ARN17" s="1141"/>
      <c r="ARO17" s="1141"/>
      <c r="ARP17" s="1141"/>
      <c r="ARQ17" s="1141"/>
      <c r="ARR17" s="1141"/>
      <c r="ARS17" s="1141"/>
      <c r="ART17" s="1141"/>
      <c r="ARU17" s="1141"/>
      <c r="ARV17" s="1141"/>
      <c r="ARW17" s="1141"/>
      <c r="ARX17" s="1141"/>
      <c r="ARY17" s="1141"/>
      <c r="ARZ17" s="1141"/>
      <c r="ASA17" s="1141"/>
      <c r="ASB17" s="1141"/>
      <c r="ASC17" s="1141"/>
      <c r="ASD17" s="1141"/>
      <c r="ASE17" s="1141"/>
      <c r="ASF17" s="1141"/>
      <c r="ASG17" s="1141"/>
      <c r="ASH17" s="1141"/>
      <c r="ASI17" s="1141"/>
      <c r="ASJ17" s="1141"/>
      <c r="ASK17" s="1141"/>
      <c r="ASL17" s="1141"/>
      <c r="ASM17" s="1141"/>
      <c r="ASN17" s="1141"/>
      <c r="ASO17" s="1141"/>
      <c r="ASP17" s="1141"/>
      <c r="ASQ17" s="1141"/>
      <c r="ASR17" s="1141"/>
      <c r="ASS17" s="1141"/>
      <c r="AST17" s="1141"/>
      <c r="ASU17" s="1141"/>
      <c r="ASV17" s="1141"/>
      <c r="ASW17" s="1141"/>
      <c r="ASX17" s="1141"/>
      <c r="ASY17" s="1141"/>
      <c r="ASZ17" s="1141"/>
      <c r="ATA17" s="1141"/>
      <c r="ATB17" s="1141"/>
      <c r="ATC17" s="1141"/>
      <c r="ATD17" s="1141"/>
      <c r="ATE17" s="1141"/>
      <c r="ATF17" s="1141"/>
      <c r="ATG17" s="1141"/>
      <c r="ATH17" s="1141"/>
      <c r="ATI17" s="1141"/>
      <c r="ATJ17" s="1141"/>
      <c r="ATK17" s="1141"/>
      <c r="ATL17" s="1141"/>
      <c r="ATM17" s="1141"/>
      <c r="ATN17" s="1141"/>
      <c r="ATO17" s="1141"/>
      <c r="ATP17" s="1141"/>
      <c r="ATQ17" s="1141"/>
      <c r="ATR17" s="1141"/>
      <c r="ATS17" s="1141"/>
      <c r="ATT17" s="1141"/>
      <c r="ATU17" s="1141"/>
      <c r="ATV17" s="1141"/>
      <c r="ATW17" s="1141"/>
      <c r="ATX17" s="1141"/>
      <c r="ATY17" s="1141"/>
      <c r="ATZ17" s="1141"/>
      <c r="AUA17" s="1141"/>
      <c r="AUB17" s="1141"/>
      <c r="AUC17" s="1141"/>
      <c r="AUD17" s="1141"/>
      <c r="AUE17" s="1141"/>
      <c r="AUF17" s="1141"/>
      <c r="AUG17" s="1141"/>
      <c r="AUH17" s="1141"/>
      <c r="AUI17" s="1141"/>
      <c r="AUJ17" s="1141"/>
      <c r="AUK17" s="1141"/>
      <c r="AUL17" s="1141"/>
      <c r="AUM17" s="1141"/>
      <c r="AUN17" s="1141"/>
      <c r="AUO17" s="1141"/>
      <c r="AUP17" s="1141"/>
      <c r="AUQ17" s="1141"/>
      <c r="AUR17" s="1141"/>
      <c r="AUS17" s="1141"/>
      <c r="AUT17" s="1141"/>
      <c r="AUU17" s="1141"/>
      <c r="AUV17" s="1141"/>
      <c r="AUW17" s="1141"/>
      <c r="AUX17" s="1141"/>
      <c r="AUY17" s="1141"/>
      <c r="AUZ17" s="1141"/>
      <c r="AVA17" s="1141"/>
      <c r="AVB17" s="1141"/>
      <c r="AVC17" s="1141"/>
      <c r="AVD17" s="1141"/>
      <c r="AVE17" s="1141"/>
      <c r="AVF17" s="1141"/>
      <c r="AVG17" s="1141"/>
      <c r="AVH17" s="1141"/>
      <c r="AVI17" s="1141"/>
      <c r="AVJ17" s="1141"/>
      <c r="AVK17" s="1141"/>
      <c r="AVL17" s="1141"/>
      <c r="AVM17" s="1141"/>
      <c r="AVN17" s="1141"/>
      <c r="AVO17" s="1141"/>
      <c r="AVP17" s="1141"/>
      <c r="AVQ17" s="1141"/>
      <c r="AVR17" s="1141"/>
      <c r="AVS17" s="1141"/>
      <c r="AVT17" s="1141"/>
      <c r="AVU17" s="1141"/>
      <c r="AVV17" s="1141"/>
      <c r="AVW17" s="1141"/>
      <c r="AVX17" s="1141"/>
      <c r="AVY17" s="1141"/>
      <c r="AVZ17" s="1141"/>
      <c r="AWA17" s="1141"/>
      <c r="AWB17" s="1141"/>
      <c r="AWC17" s="1141"/>
      <c r="AWD17" s="1141"/>
      <c r="AWE17" s="1141"/>
      <c r="AWF17" s="1141"/>
      <c r="AWG17" s="1141"/>
      <c r="AWH17" s="1141"/>
      <c r="AWI17" s="1141"/>
      <c r="AWJ17" s="1141"/>
      <c r="AWK17" s="1141"/>
      <c r="AWL17" s="1141"/>
      <c r="AWM17" s="1141"/>
      <c r="AWN17" s="1141"/>
      <c r="AWO17" s="1141"/>
      <c r="AWP17" s="1141"/>
      <c r="AWQ17" s="1141"/>
      <c r="AWR17" s="1141"/>
      <c r="AWS17" s="1141"/>
      <c r="AWT17" s="1141"/>
      <c r="AWU17" s="1141"/>
      <c r="AWV17" s="1141"/>
      <c r="AWW17" s="1141"/>
      <c r="AWX17" s="1141"/>
      <c r="AWY17" s="1141"/>
      <c r="AWZ17" s="1141"/>
      <c r="AXA17" s="1141"/>
      <c r="AXB17" s="1141"/>
      <c r="AXC17" s="1141"/>
      <c r="AXD17" s="1141"/>
      <c r="AXE17" s="1141"/>
      <c r="AXF17" s="1141"/>
      <c r="AXG17" s="1141"/>
      <c r="AXH17" s="1141"/>
      <c r="AXI17" s="1141"/>
      <c r="AXJ17" s="1141"/>
      <c r="AXK17" s="1141"/>
      <c r="AXL17" s="1141"/>
      <c r="AXM17" s="1141"/>
      <c r="AXN17" s="1141"/>
      <c r="AXO17" s="1141"/>
      <c r="AXP17" s="1141"/>
      <c r="AXQ17" s="1141"/>
      <c r="AXR17" s="1141"/>
      <c r="AXS17" s="1141"/>
      <c r="AXT17" s="1141"/>
      <c r="AXU17" s="1141"/>
      <c r="AXV17" s="1141"/>
      <c r="AXW17" s="1141"/>
      <c r="AXX17" s="1141"/>
      <c r="AXY17" s="1141"/>
      <c r="AXZ17" s="1141"/>
      <c r="AYA17" s="1141"/>
      <c r="AYB17" s="1141"/>
      <c r="AYC17" s="1141"/>
      <c r="AYD17" s="1141"/>
      <c r="AYE17" s="1141"/>
      <c r="AYF17" s="1141"/>
      <c r="AYG17" s="1141"/>
      <c r="AYH17" s="1141"/>
      <c r="AYI17" s="1141"/>
      <c r="AYJ17" s="1141"/>
      <c r="AYK17" s="1141"/>
      <c r="AYL17" s="1141"/>
      <c r="AYM17" s="1141"/>
      <c r="AYN17" s="1141"/>
      <c r="AYO17" s="1141"/>
      <c r="AYP17" s="1141"/>
      <c r="AYQ17" s="1141"/>
      <c r="AYR17" s="1141"/>
      <c r="AYS17" s="1141"/>
      <c r="AYT17" s="1141"/>
      <c r="AYU17" s="1141"/>
      <c r="AYV17" s="1141"/>
      <c r="AYW17" s="1141"/>
      <c r="AYX17" s="1141"/>
      <c r="AYY17" s="1141"/>
      <c r="AYZ17" s="1141"/>
      <c r="AZA17" s="1141"/>
      <c r="AZB17" s="1141"/>
      <c r="AZC17" s="1141"/>
      <c r="AZD17" s="1141"/>
      <c r="AZE17" s="1141"/>
      <c r="AZF17" s="1141"/>
      <c r="AZG17" s="1141"/>
      <c r="AZH17" s="1141"/>
      <c r="AZI17" s="1141"/>
      <c r="AZJ17" s="1141"/>
      <c r="AZK17" s="1141"/>
      <c r="AZL17" s="1141"/>
      <c r="AZM17" s="1141"/>
      <c r="AZN17" s="1141"/>
      <c r="AZO17" s="1141"/>
      <c r="AZP17" s="1141"/>
      <c r="AZQ17" s="1141"/>
      <c r="AZR17" s="1141"/>
      <c r="AZS17" s="1141"/>
      <c r="AZT17" s="1141"/>
      <c r="AZU17" s="1141"/>
      <c r="AZV17" s="1141"/>
      <c r="AZW17" s="1141"/>
      <c r="AZX17" s="1141"/>
      <c r="AZY17" s="1141"/>
      <c r="AZZ17" s="1141"/>
      <c r="BAA17" s="1141"/>
      <c r="BAB17" s="1141"/>
      <c r="BAC17" s="1141"/>
      <c r="BAD17" s="1141"/>
      <c r="BAE17" s="1141"/>
      <c r="BAF17" s="1141"/>
      <c r="BAG17" s="1141"/>
      <c r="BAH17" s="1141"/>
      <c r="BAI17" s="1141"/>
      <c r="BAJ17" s="1141"/>
      <c r="BAK17" s="1141"/>
      <c r="BAL17" s="1141"/>
      <c r="BAM17" s="1141"/>
      <c r="BAN17" s="1141"/>
      <c r="BAO17" s="1141"/>
      <c r="BAP17" s="1141"/>
      <c r="BAQ17" s="1141"/>
      <c r="BAR17" s="1141"/>
      <c r="BAS17" s="1141"/>
      <c r="BAT17" s="1141"/>
      <c r="BAU17" s="1141"/>
      <c r="BAV17" s="1141"/>
      <c r="BAW17" s="1141"/>
      <c r="BAX17" s="1141"/>
      <c r="BAY17" s="1141"/>
      <c r="BAZ17" s="1141"/>
      <c r="BBA17" s="1141"/>
      <c r="BBB17" s="1141"/>
      <c r="BBC17" s="1141"/>
      <c r="BBD17" s="1141"/>
      <c r="BBE17" s="1141"/>
      <c r="BBF17" s="1141"/>
      <c r="BBG17" s="1141"/>
      <c r="BBH17" s="1141"/>
      <c r="BBI17" s="1141"/>
      <c r="BBJ17" s="1141"/>
      <c r="BBK17" s="1141"/>
      <c r="BBL17" s="1141"/>
      <c r="BBM17" s="1141"/>
      <c r="BBN17" s="1141"/>
      <c r="BBO17" s="1141"/>
      <c r="BBP17" s="1141"/>
      <c r="BBQ17" s="1141"/>
      <c r="BBR17" s="1141"/>
      <c r="BBS17" s="1141"/>
      <c r="BBT17" s="1141"/>
      <c r="BBU17" s="1141"/>
      <c r="BBV17" s="1141"/>
      <c r="BBW17" s="1141"/>
      <c r="BBX17" s="1141"/>
      <c r="BBY17" s="1141"/>
      <c r="BBZ17" s="1141"/>
      <c r="BCA17" s="1141"/>
      <c r="BCB17" s="1141"/>
      <c r="BCC17" s="1141"/>
      <c r="BCD17" s="1141"/>
      <c r="BCE17" s="1141"/>
      <c r="BCF17" s="1141"/>
      <c r="BCG17" s="1141"/>
      <c r="BCH17" s="1141"/>
      <c r="BCI17" s="1141"/>
      <c r="BCJ17" s="1141"/>
      <c r="BCK17" s="1141"/>
      <c r="BCL17" s="1141"/>
      <c r="BCM17" s="1141"/>
      <c r="BCN17" s="1141"/>
      <c r="BCO17" s="1141"/>
      <c r="BCP17" s="1141"/>
      <c r="BCQ17" s="1141"/>
      <c r="BCR17" s="1141"/>
      <c r="BCS17" s="1141"/>
      <c r="BCT17" s="1141"/>
      <c r="BCU17" s="1141"/>
      <c r="BCV17" s="1141"/>
      <c r="BCW17" s="1141"/>
      <c r="BCX17" s="1141"/>
      <c r="BCY17" s="1141"/>
      <c r="BCZ17" s="1141"/>
      <c r="BDA17" s="1141"/>
      <c r="BDB17" s="1141"/>
      <c r="BDC17" s="1141"/>
      <c r="BDD17" s="1141"/>
      <c r="BDE17" s="1141"/>
      <c r="BDF17" s="1141"/>
      <c r="BDG17" s="1141"/>
      <c r="BDH17" s="1141"/>
      <c r="BDI17" s="1141"/>
      <c r="BDJ17" s="1141"/>
      <c r="BDK17" s="1141"/>
      <c r="BDL17" s="1141"/>
      <c r="BDM17" s="1141"/>
      <c r="BDN17" s="1141"/>
      <c r="BDO17" s="1141"/>
      <c r="BDP17" s="1141"/>
      <c r="BDQ17" s="1141"/>
      <c r="BDR17" s="1141"/>
      <c r="BDS17" s="1141"/>
      <c r="BDT17" s="1141"/>
      <c r="BDU17" s="1141"/>
      <c r="BDV17" s="1141"/>
      <c r="BDW17" s="1141"/>
      <c r="BDX17" s="1141"/>
      <c r="BDY17" s="1141"/>
      <c r="BDZ17" s="1141"/>
      <c r="BEA17" s="1141"/>
      <c r="BEB17" s="1141"/>
      <c r="BEC17" s="1141"/>
      <c r="BED17" s="1141"/>
      <c r="BEE17" s="1141"/>
      <c r="BEF17" s="1141"/>
      <c r="BEG17" s="1141"/>
      <c r="BEH17" s="1141"/>
      <c r="BEI17" s="1141"/>
      <c r="BEJ17" s="1141"/>
      <c r="BEK17" s="1141"/>
      <c r="BEL17" s="1141"/>
      <c r="BEM17" s="1141"/>
      <c r="BEN17" s="1141"/>
      <c r="BEO17" s="1141"/>
      <c r="BEP17" s="1141"/>
      <c r="BEQ17" s="1141"/>
      <c r="BER17" s="1141"/>
      <c r="BES17" s="1141"/>
      <c r="BET17" s="1141"/>
      <c r="BEU17" s="1141"/>
      <c r="BEV17" s="1141"/>
      <c r="BEW17" s="1141"/>
      <c r="BEX17" s="1141"/>
      <c r="BEY17" s="1141"/>
      <c r="BEZ17" s="1141"/>
      <c r="BFA17" s="1141"/>
      <c r="BFB17" s="1141"/>
      <c r="BFC17" s="1141"/>
      <c r="BFD17" s="1141"/>
      <c r="BFE17" s="1141"/>
      <c r="BFF17" s="1141"/>
      <c r="BFG17" s="1141"/>
      <c r="BFH17" s="1141"/>
      <c r="BFI17" s="1141"/>
      <c r="BFJ17" s="1141"/>
      <c r="BFK17" s="1141"/>
      <c r="BFL17" s="1141"/>
      <c r="BFM17" s="1141"/>
      <c r="BFN17" s="1141"/>
      <c r="BFO17" s="1141"/>
      <c r="BFP17" s="1141"/>
      <c r="BFQ17" s="1141"/>
      <c r="BFR17" s="1141"/>
      <c r="BFS17" s="1141"/>
      <c r="BFT17" s="1141"/>
      <c r="BFU17" s="1141"/>
      <c r="BFV17" s="1141"/>
      <c r="BFW17" s="1141"/>
      <c r="BFX17" s="1141"/>
      <c r="BFY17" s="1141"/>
      <c r="BFZ17" s="1141"/>
      <c r="BGA17" s="1141"/>
      <c r="BGB17" s="1141"/>
      <c r="BGC17" s="1141"/>
      <c r="BGD17" s="1141"/>
      <c r="BGE17" s="1141"/>
      <c r="BGF17" s="1141"/>
      <c r="BGG17" s="1141"/>
      <c r="BGH17" s="1141"/>
      <c r="BGI17" s="1141"/>
      <c r="BGJ17" s="1141"/>
      <c r="BGK17" s="1141"/>
      <c r="BGL17" s="1141"/>
      <c r="BGM17" s="1141"/>
      <c r="BGN17" s="1141"/>
      <c r="BGO17" s="1141"/>
      <c r="BGP17" s="1141"/>
      <c r="BGQ17" s="1141"/>
      <c r="BGR17" s="1141"/>
      <c r="BGS17" s="1141"/>
      <c r="BGT17" s="1141"/>
      <c r="BGU17" s="1141"/>
      <c r="BGV17" s="1141"/>
      <c r="BGW17" s="1141"/>
      <c r="BGX17" s="1141"/>
      <c r="BGY17" s="1141"/>
      <c r="BGZ17" s="1141"/>
      <c r="BHA17" s="1141"/>
      <c r="BHB17" s="1141"/>
      <c r="BHC17" s="1141"/>
      <c r="BHD17" s="1141"/>
      <c r="BHE17" s="1141"/>
      <c r="BHF17" s="1141"/>
      <c r="BHG17" s="1141"/>
      <c r="BHH17" s="1141"/>
      <c r="BHI17" s="1141"/>
      <c r="BHJ17" s="1141"/>
      <c r="BHK17" s="1141"/>
      <c r="BHL17" s="1141"/>
      <c r="BHM17" s="1141"/>
      <c r="BHN17" s="1141"/>
      <c r="BHO17" s="1141"/>
      <c r="BHP17" s="1141"/>
      <c r="BHQ17" s="1141"/>
      <c r="BHR17" s="1141"/>
      <c r="BHS17" s="1141"/>
      <c r="BHT17" s="1141"/>
      <c r="BHU17" s="1141"/>
      <c r="BHV17" s="1141"/>
      <c r="BHW17" s="1141"/>
      <c r="BHX17" s="1141"/>
      <c r="BHY17" s="1141"/>
      <c r="BHZ17" s="1141"/>
      <c r="BIA17" s="1141"/>
      <c r="BIB17" s="1141"/>
      <c r="BIC17" s="1141"/>
      <c r="BID17" s="1141"/>
      <c r="BIE17" s="1141"/>
      <c r="BIF17" s="1141"/>
      <c r="BIG17" s="1141"/>
      <c r="BIH17" s="1141"/>
      <c r="BII17" s="1141"/>
      <c r="BIJ17" s="1141"/>
      <c r="BIK17" s="1141"/>
      <c r="BIL17" s="1141"/>
      <c r="BIM17" s="1141"/>
      <c r="BIN17" s="1141"/>
      <c r="BIO17" s="1141"/>
      <c r="BIP17" s="1141"/>
      <c r="BIQ17" s="1141"/>
      <c r="BIR17" s="1141"/>
      <c r="BIS17" s="1141"/>
      <c r="BIT17" s="1141"/>
      <c r="BIU17" s="1141"/>
      <c r="BIV17" s="1141"/>
      <c r="BIW17" s="1141"/>
      <c r="BIX17" s="1141"/>
      <c r="BIY17" s="1141"/>
      <c r="BIZ17" s="1141"/>
      <c r="BJA17" s="1141"/>
      <c r="BJB17" s="1141"/>
      <c r="BJC17" s="1141"/>
      <c r="BJD17" s="1141"/>
      <c r="BJE17" s="1141"/>
      <c r="BJF17" s="1141"/>
      <c r="BJG17" s="1141"/>
      <c r="BJH17" s="1141"/>
      <c r="BJI17" s="1141"/>
      <c r="BJJ17" s="1141"/>
      <c r="BJK17" s="1141"/>
      <c r="BJL17" s="1141"/>
      <c r="BJM17" s="1141"/>
      <c r="BJN17" s="1141"/>
      <c r="BJO17" s="1141"/>
      <c r="BJP17" s="1141"/>
      <c r="BJQ17" s="1141"/>
      <c r="BJR17" s="1141"/>
      <c r="BJS17" s="1141"/>
      <c r="BJT17" s="1141"/>
      <c r="BJU17" s="1141"/>
      <c r="BJV17" s="1141"/>
      <c r="BJW17" s="1141"/>
      <c r="BJX17" s="1141"/>
      <c r="BJY17" s="1141"/>
      <c r="BJZ17" s="1141"/>
      <c r="BKA17" s="1141"/>
      <c r="BKB17" s="1141"/>
      <c r="BKC17" s="1141"/>
      <c r="BKD17" s="1141"/>
      <c r="BKE17" s="1141"/>
      <c r="BKF17" s="1141"/>
      <c r="BKG17" s="1141"/>
      <c r="BKH17" s="1141"/>
      <c r="BKI17" s="1141"/>
      <c r="BKJ17" s="1141"/>
      <c r="BKK17" s="1141"/>
      <c r="BKL17" s="1141"/>
      <c r="BKM17" s="1141"/>
      <c r="BKN17" s="1141"/>
      <c r="BKO17" s="1141"/>
      <c r="BKP17" s="1141"/>
      <c r="BKQ17" s="1141"/>
      <c r="BKR17" s="1141"/>
      <c r="BKS17" s="1141"/>
      <c r="BKT17" s="1141"/>
      <c r="BKU17" s="1141"/>
      <c r="BKV17" s="1141"/>
      <c r="BKW17" s="1141"/>
      <c r="BKX17" s="1141"/>
      <c r="BKY17" s="1141"/>
      <c r="BKZ17" s="1141"/>
      <c r="BLA17" s="1141"/>
      <c r="BLB17" s="1141"/>
      <c r="BLC17" s="1141"/>
      <c r="BLD17" s="1141"/>
      <c r="BLE17" s="1141"/>
      <c r="BLF17" s="1141"/>
      <c r="BLG17" s="1141"/>
      <c r="BLH17" s="1141"/>
      <c r="BLI17" s="1141"/>
      <c r="BLJ17" s="1141"/>
      <c r="BLK17" s="1141"/>
      <c r="BLL17" s="1141"/>
      <c r="BLM17" s="1141"/>
      <c r="BLN17" s="1141"/>
      <c r="BLO17" s="1141"/>
      <c r="BLP17" s="1141"/>
      <c r="BLQ17" s="1141"/>
      <c r="BLR17" s="1141"/>
      <c r="BLS17" s="1141"/>
      <c r="BLT17" s="1141"/>
      <c r="BLU17" s="1141"/>
      <c r="BLV17" s="1141"/>
      <c r="BLW17" s="1141"/>
      <c r="BLX17" s="1141"/>
      <c r="BLY17" s="1141"/>
      <c r="BLZ17" s="1141"/>
      <c r="BMA17" s="1141"/>
      <c r="BMB17" s="1141"/>
      <c r="BMC17" s="1141"/>
      <c r="BMD17" s="1141"/>
      <c r="BME17" s="1141"/>
      <c r="BMF17" s="1141"/>
      <c r="BMG17" s="1141"/>
      <c r="BMH17" s="1141"/>
      <c r="BMI17" s="1141"/>
      <c r="BMJ17" s="1141"/>
      <c r="BMK17" s="1141"/>
      <c r="BML17" s="1141"/>
      <c r="BMM17" s="1141"/>
      <c r="BMN17" s="1141"/>
      <c r="BMO17" s="1141"/>
      <c r="BMP17" s="1141"/>
      <c r="BMQ17" s="1141"/>
      <c r="BMR17" s="1141"/>
      <c r="BMS17" s="1141"/>
      <c r="BMT17" s="1141"/>
      <c r="BMU17" s="1141"/>
      <c r="BMV17" s="1141"/>
      <c r="BMW17" s="1141"/>
      <c r="BMX17" s="1141"/>
      <c r="BMY17" s="1141"/>
      <c r="BMZ17" s="1141"/>
      <c r="BNA17" s="1141"/>
      <c r="BNB17" s="1141"/>
      <c r="BNC17" s="1141"/>
      <c r="BND17" s="1141"/>
      <c r="BNE17" s="1141"/>
      <c r="BNF17" s="1141"/>
      <c r="BNG17" s="1141"/>
      <c r="BNH17" s="1141"/>
      <c r="BNI17" s="1141"/>
      <c r="BNJ17" s="1141"/>
      <c r="BNK17" s="1141"/>
      <c r="BNL17" s="1141"/>
      <c r="BNM17" s="1141"/>
      <c r="BNN17" s="1141"/>
      <c r="BNO17" s="1141"/>
      <c r="BNP17" s="1141"/>
      <c r="BNQ17" s="1141"/>
      <c r="BNR17" s="1141"/>
      <c r="BNS17" s="1141"/>
      <c r="BNT17" s="1141"/>
      <c r="BNU17" s="1141"/>
      <c r="BNV17" s="1141"/>
      <c r="BNW17" s="1141"/>
      <c r="BNX17" s="1141"/>
      <c r="BNY17" s="1141"/>
      <c r="BNZ17" s="1141"/>
      <c r="BOA17" s="1141"/>
      <c r="BOB17" s="1141"/>
      <c r="BOC17" s="1141"/>
      <c r="BOD17" s="1141"/>
      <c r="BOE17" s="1141"/>
      <c r="BOF17" s="1141"/>
      <c r="BOG17" s="1141"/>
      <c r="BOH17" s="1141"/>
      <c r="BOI17" s="1141"/>
      <c r="BOJ17" s="1141"/>
      <c r="BOK17" s="1141"/>
      <c r="BOL17" s="1141"/>
      <c r="BOM17" s="1141"/>
      <c r="BON17" s="1141"/>
      <c r="BOO17" s="1141"/>
      <c r="BOP17" s="1141"/>
      <c r="BOQ17" s="1141"/>
      <c r="BOR17" s="1141"/>
      <c r="BOS17" s="1141"/>
      <c r="BOT17" s="1141"/>
      <c r="BOU17" s="1141"/>
      <c r="BOV17" s="1141"/>
      <c r="BOW17" s="1141"/>
      <c r="BOX17" s="1141"/>
      <c r="BOY17" s="1141"/>
      <c r="BOZ17" s="1141"/>
      <c r="BPA17" s="1141"/>
      <c r="BPB17" s="1141"/>
      <c r="BPC17" s="1141"/>
      <c r="BPD17" s="1141"/>
      <c r="BPE17" s="1141"/>
      <c r="BPF17" s="1141"/>
      <c r="BPG17" s="1141"/>
      <c r="BPH17" s="1141"/>
      <c r="BPI17" s="1141"/>
      <c r="BPJ17" s="1141"/>
      <c r="BPK17" s="1141"/>
      <c r="BPL17" s="1141"/>
      <c r="BPM17" s="1141"/>
      <c r="BPN17" s="1141"/>
      <c r="BPO17" s="1141"/>
      <c r="BPP17" s="1141"/>
      <c r="BPQ17" s="1141"/>
      <c r="BPR17" s="1141"/>
      <c r="BPS17" s="1141"/>
      <c r="BPT17" s="1141"/>
      <c r="BPU17" s="1141"/>
      <c r="BPV17" s="1141"/>
      <c r="BPW17" s="1141"/>
      <c r="BPX17" s="1141"/>
      <c r="BPY17" s="1141"/>
      <c r="BPZ17" s="1141"/>
      <c r="BQA17" s="1141"/>
      <c r="BQB17" s="1141"/>
      <c r="BQC17" s="1141"/>
      <c r="BQD17" s="1141"/>
      <c r="BQE17" s="1141"/>
      <c r="BQF17" s="1141"/>
      <c r="BQG17" s="1141"/>
      <c r="BQH17" s="1141"/>
      <c r="BQI17" s="1141"/>
      <c r="BQJ17" s="1141"/>
      <c r="BQK17" s="1141"/>
      <c r="BQL17" s="1141"/>
      <c r="BQM17" s="1141"/>
      <c r="BQN17" s="1141"/>
      <c r="BQO17" s="1141"/>
      <c r="BQP17" s="1141"/>
      <c r="BQQ17" s="1141"/>
      <c r="BQR17" s="1141"/>
      <c r="BQS17" s="1141"/>
      <c r="BQT17" s="1141"/>
      <c r="BQU17" s="1141"/>
      <c r="BQV17" s="1141"/>
      <c r="BQW17" s="1141"/>
      <c r="BQX17" s="1141"/>
      <c r="BQY17" s="1141"/>
      <c r="BQZ17" s="1141"/>
      <c r="BRA17" s="1141"/>
      <c r="BRB17" s="1141"/>
      <c r="BRC17" s="1141"/>
      <c r="BRD17" s="1141"/>
      <c r="BRE17" s="1141"/>
      <c r="BRF17" s="1141"/>
      <c r="BRG17" s="1141"/>
      <c r="BRH17" s="1141"/>
      <c r="BRI17" s="1141"/>
      <c r="BRJ17" s="1141"/>
      <c r="BRK17" s="1141"/>
      <c r="BRL17" s="1141"/>
      <c r="BRM17" s="1141"/>
      <c r="BRN17" s="1141"/>
      <c r="BRO17" s="1141"/>
      <c r="BRP17" s="1141"/>
      <c r="BRQ17" s="1141"/>
      <c r="BRR17" s="1141"/>
      <c r="BRS17" s="1141"/>
      <c r="BRT17" s="1141"/>
      <c r="BRU17" s="1141"/>
      <c r="BRV17" s="1141"/>
      <c r="BRW17" s="1141"/>
      <c r="BRX17" s="1141"/>
      <c r="BRY17" s="1141"/>
      <c r="BRZ17" s="1141"/>
      <c r="BSA17" s="1141"/>
      <c r="BSB17" s="1141"/>
      <c r="BSC17" s="1141"/>
      <c r="BSD17" s="1141"/>
      <c r="BSE17" s="1141"/>
      <c r="BSF17" s="1141"/>
      <c r="BSG17" s="1141"/>
      <c r="BSH17" s="1141"/>
      <c r="BSI17" s="1141"/>
      <c r="BSJ17" s="1141"/>
      <c r="BSK17" s="1141"/>
      <c r="BSL17" s="1141"/>
      <c r="BSM17" s="1141"/>
      <c r="BSN17" s="1141"/>
      <c r="BSO17" s="1141"/>
      <c r="BSP17" s="1141"/>
      <c r="BSQ17" s="1141"/>
      <c r="BSR17" s="1141"/>
      <c r="BSS17" s="1141"/>
      <c r="BST17" s="1141"/>
      <c r="BSU17" s="1141"/>
      <c r="BSV17" s="1141"/>
      <c r="BSW17" s="1141"/>
      <c r="BSX17" s="1141"/>
      <c r="BSY17" s="1141"/>
      <c r="BSZ17" s="1141"/>
      <c r="BTA17" s="1141"/>
      <c r="BTB17" s="1141"/>
      <c r="BTC17" s="1141"/>
      <c r="BTD17" s="1141"/>
      <c r="BTE17" s="1141"/>
      <c r="BTF17" s="1141"/>
      <c r="BTG17" s="1141"/>
      <c r="BTH17" s="1141"/>
      <c r="BTI17" s="1141"/>
    </row>
    <row r="18" spans="1:1881" s="1144" customFormat="1" ht="111.75" hidden="1" customHeight="1" thickBot="1" x14ac:dyDescent="0.35">
      <c r="A18" s="1143">
        <v>632</v>
      </c>
      <c r="B18" s="811" t="s">
        <v>440</v>
      </c>
      <c r="C18" s="810" t="s">
        <v>129</v>
      </c>
      <c r="D18" s="1137" t="s">
        <v>1143</v>
      </c>
      <c r="E18" s="1138" t="e">
        <f>HLOOKUP($D$2,'2020 Data(H)'!$C$1:$CZ$426,291,FALSE)</f>
        <v>#N/A</v>
      </c>
      <c r="F18" s="1139">
        <v>0</v>
      </c>
      <c r="G18" s="730">
        <f>IF(F18&gt;F12,"Please review account numbers 632 &gt; 626",)</f>
        <v>0</v>
      </c>
      <c r="H18" s="735"/>
      <c r="I18" s="735"/>
      <c r="J18" s="1140"/>
      <c r="K18" s="1141"/>
      <c r="L18" s="704"/>
      <c r="M18" s="1141"/>
      <c r="N18" s="1142"/>
      <c r="O18" s="1141"/>
      <c r="P18" s="1141"/>
      <c r="Q18" s="1139">
        <v>0</v>
      </c>
      <c r="R18" s="1141"/>
      <c r="S18" s="1141"/>
      <c r="T18" s="1141"/>
      <c r="U18" s="1141"/>
      <c r="V18" s="1141"/>
      <c r="W18" s="1141"/>
      <c r="X18" s="1141"/>
      <c r="Y18" s="1141"/>
      <c r="Z18" s="1143"/>
      <c r="AA18" s="1143"/>
      <c r="AB18" s="1143"/>
      <c r="AC18" s="1143"/>
      <c r="AD18" s="1143"/>
      <c r="AE18" s="1143"/>
      <c r="AF18" s="1143"/>
      <c r="AG18" s="1143"/>
      <c r="AH18" s="1143"/>
      <c r="AI18" s="1143"/>
      <c r="AJ18" s="1143"/>
      <c r="AK18" s="1143"/>
      <c r="AL18" s="1143"/>
      <c r="AM18" s="1143"/>
      <c r="AN18" s="1143"/>
      <c r="AO18" s="1143"/>
      <c r="AP18" s="1143"/>
      <c r="AQ18" s="1143"/>
      <c r="AR18" s="1143"/>
      <c r="AS18" s="1141"/>
      <c r="AT18" s="1141"/>
      <c r="AU18" s="1141"/>
      <c r="AV18" s="1141"/>
      <c r="AW18" s="1141"/>
      <c r="AX18" s="1141"/>
      <c r="AY18" s="1141"/>
      <c r="AZ18" s="1141"/>
      <c r="BA18" s="1141"/>
      <c r="BB18" s="1141"/>
      <c r="BC18" s="1141"/>
      <c r="BD18" s="1141"/>
      <c r="BE18" s="1141"/>
      <c r="BF18" s="1141"/>
      <c r="BG18" s="1141"/>
      <c r="BH18" s="1141"/>
      <c r="BI18" s="1141"/>
      <c r="BJ18" s="1141"/>
      <c r="BK18" s="1141"/>
      <c r="BL18" s="1141"/>
      <c r="BM18" s="1141"/>
      <c r="BN18" s="1141"/>
      <c r="BO18" s="1141"/>
      <c r="BP18" s="1141"/>
      <c r="BQ18" s="1141"/>
      <c r="BR18" s="1141"/>
      <c r="BS18" s="1141"/>
      <c r="BT18" s="1141"/>
      <c r="BU18" s="1141"/>
      <c r="BV18" s="1141"/>
      <c r="BW18" s="1141"/>
      <c r="BX18" s="1141"/>
      <c r="BY18" s="1141"/>
      <c r="BZ18" s="1141"/>
      <c r="CA18" s="1141"/>
      <c r="CB18" s="1141"/>
      <c r="CC18" s="1141"/>
      <c r="CD18" s="1141"/>
      <c r="CE18" s="1141"/>
      <c r="CF18" s="1141"/>
      <c r="CG18" s="1141"/>
      <c r="CH18" s="1141"/>
      <c r="CI18" s="1141"/>
      <c r="CJ18" s="1141"/>
      <c r="CK18" s="1141"/>
      <c r="CL18" s="1141"/>
      <c r="CM18" s="1141"/>
      <c r="CN18" s="1141"/>
      <c r="CO18" s="1141"/>
      <c r="CP18" s="1141"/>
      <c r="CQ18" s="1141"/>
      <c r="CR18" s="1141"/>
      <c r="CS18" s="1141"/>
      <c r="CT18" s="1141"/>
      <c r="CU18" s="1141"/>
      <c r="CV18" s="1141"/>
      <c r="CW18" s="1141"/>
      <c r="CX18" s="1141"/>
      <c r="CY18" s="1141"/>
      <c r="CZ18" s="1141"/>
      <c r="DA18" s="1141"/>
      <c r="DB18" s="1141"/>
      <c r="DC18" s="1141"/>
      <c r="DD18" s="1141"/>
      <c r="DE18" s="1141"/>
      <c r="DF18" s="1141"/>
      <c r="DG18" s="1141"/>
      <c r="DH18" s="1141"/>
      <c r="DI18" s="1141"/>
      <c r="DJ18" s="1141"/>
      <c r="DK18" s="1141"/>
      <c r="DL18" s="1141"/>
      <c r="DM18" s="1141"/>
      <c r="DN18" s="1141"/>
      <c r="DO18" s="1141"/>
      <c r="DP18" s="1141"/>
      <c r="DQ18" s="1141"/>
      <c r="DR18" s="1141"/>
      <c r="DS18" s="1141"/>
      <c r="DT18" s="1141"/>
      <c r="DU18" s="1141"/>
      <c r="DV18" s="1141"/>
      <c r="DW18" s="1141"/>
      <c r="DX18" s="1141"/>
      <c r="DY18" s="1141"/>
      <c r="DZ18" s="1141"/>
      <c r="EA18" s="1141"/>
      <c r="EB18" s="1141"/>
      <c r="EC18" s="1141"/>
      <c r="ED18" s="1141"/>
      <c r="EE18" s="1141"/>
      <c r="EF18" s="1141"/>
      <c r="EG18" s="1141"/>
      <c r="EH18" s="1141"/>
      <c r="EI18" s="1141"/>
      <c r="EJ18" s="1141"/>
      <c r="EK18" s="1141"/>
      <c r="EL18" s="1141"/>
      <c r="EM18" s="1141"/>
      <c r="EN18" s="1141"/>
      <c r="EO18" s="1141"/>
      <c r="EP18" s="1141"/>
      <c r="EQ18" s="1141"/>
      <c r="ER18" s="1141"/>
      <c r="ES18" s="1141"/>
      <c r="ET18" s="1141"/>
      <c r="EU18" s="1141"/>
      <c r="EV18" s="1141"/>
      <c r="EW18" s="1141"/>
      <c r="EX18" s="1141"/>
      <c r="EY18" s="1141"/>
      <c r="EZ18" s="1141"/>
      <c r="FA18" s="1141"/>
      <c r="FB18" s="1141"/>
      <c r="FC18" s="1141"/>
      <c r="FD18" s="1141"/>
      <c r="FE18" s="1141"/>
      <c r="FF18" s="1141"/>
      <c r="FG18" s="1141"/>
      <c r="FH18" s="1141"/>
      <c r="FI18" s="1141"/>
      <c r="FJ18" s="1141"/>
      <c r="FK18" s="1141"/>
      <c r="FL18" s="1141"/>
      <c r="FM18" s="1141"/>
      <c r="FN18" s="1141"/>
      <c r="FO18" s="1141"/>
      <c r="FP18" s="1141"/>
      <c r="FQ18" s="1141"/>
      <c r="FR18" s="1141"/>
      <c r="FS18" s="1141"/>
      <c r="FT18" s="1141"/>
      <c r="FU18" s="1141"/>
      <c r="FV18" s="1141"/>
      <c r="FW18" s="1141"/>
      <c r="FX18" s="1141"/>
      <c r="FY18" s="1141"/>
      <c r="FZ18" s="1141"/>
      <c r="GA18" s="1141"/>
      <c r="GB18" s="1141"/>
      <c r="GC18" s="1141"/>
      <c r="GD18" s="1141"/>
      <c r="GE18" s="1141"/>
      <c r="GF18" s="1141"/>
      <c r="GG18" s="1141"/>
      <c r="GH18" s="1141"/>
      <c r="GI18" s="1141"/>
      <c r="GJ18" s="1141"/>
      <c r="GK18" s="1141"/>
      <c r="GL18" s="1141"/>
      <c r="GM18" s="1141"/>
      <c r="GN18" s="1141"/>
      <c r="GO18" s="1141"/>
      <c r="GP18" s="1141"/>
      <c r="GQ18" s="1141"/>
      <c r="GR18" s="1141"/>
      <c r="GS18" s="1141"/>
      <c r="GT18" s="1141"/>
      <c r="GU18" s="1141"/>
      <c r="GV18" s="1141"/>
      <c r="GW18" s="1141"/>
      <c r="GX18" s="1141"/>
      <c r="GY18" s="1141"/>
      <c r="GZ18" s="1141"/>
      <c r="HA18" s="1141"/>
      <c r="HB18" s="1141"/>
      <c r="HC18" s="1141"/>
      <c r="HD18" s="1141"/>
      <c r="HE18" s="1141"/>
      <c r="HF18" s="1141"/>
      <c r="HG18" s="1141"/>
      <c r="HH18" s="1141"/>
      <c r="HI18" s="1141"/>
      <c r="HJ18" s="1141"/>
      <c r="HK18" s="1141"/>
      <c r="HL18" s="1141"/>
      <c r="HM18" s="1141"/>
      <c r="HN18" s="1141"/>
      <c r="HO18" s="1141"/>
      <c r="HP18" s="1141"/>
      <c r="HQ18" s="1141"/>
      <c r="HR18" s="1141"/>
      <c r="HS18" s="1141"/>
      <c r="HT18" s="1141"/>
      <c r="HU18" s="1141"/>
      <c r="HV18" s="1141"/>
      <c r="HW18" s="1141"/>
      <c r="HX18" s="1141"/>
      <c r="HY18" s="1141"/>
      <c r="HZ18" s="1141"/>
      <c r="IA18" s="1141"/>
      <c r="IB18" s="1141"/>
      <c r="IC18" s="1141"/>
      <c r="ID18" s="1141"/>
      <c r="IE18" s="1141"/>
      <c r="IF18" s="1141"/>
      <c r="IG18" s="1141"/>
      <c r="IH18" s="1141"/>
      <c r="II18" s="1141"/>
      <c r="IJ18" s="1141"/>
      <c r="IK18" s="1141"/>
      <c r="IL18" s="1141"/>
      <c r="IM18" s="1141"/>
      <c r="IN18" s="1141"/>
      <c r="IO18" s="1141"/>
      <c r="IP18" s="1141"/>
      <c r="IQ18" s="1141"/>
      <c r="IR18" s="1141"/>
      <c r="IS18" s="1141"/>
      <c r="IT18" s="1141"/>
      <c r="IU18" s="1141"/>
      <c r="IV18" s="1141"/>
      <c r="IW18" s="1141"/>
      <c r="IX18" s="1141"/>
      <c r="IY18" s="1141"/>
      <c r="IZ18" s="1141"/>
      <c r="JA18" s="1141"/>
      <c r="JB18" s="1141"/>
      <c r="JC18" s="1141"/>
      <c r="JD18" s="1141"/>
      <c r="JE18" s="1141"/>
      <c r="JF18" s="1141"/>
      <c r="JG18" s="1141"/>
      <c r="JH18" s="1141"/>
      <c r="JI18" s="1141"/>
      <c r="JJ18" s="1141"/>
      <c r="JK18" s="1141"/>
      <c r="JL18" s="1141"/>
      <c r="JM18" s="1141"/>
      <c r="JN18" s="1141"/>
      <c r="JO18" s="1141"/>
      <c r="JP18" s="1141"/>
      <c r="JQ18" s="1141"/>
      <c r="JR18" s="1141"/>
      <c r="JS18" s="1141"/>
      <c r="JT18" s="1141"/>
      <c r="JU18" s="1141"/>
      <c r="JV18" s="1141"/>
      <c r="JW18" s="1141"/>
      <c r="JX18" s="1141"/>
      <c r="JY18" s="1141"/>
      <c r="JZ18" s="1141"/>
      <c r="KA18" s="1141"/>
      <c r="KB18" s="1141"/>
      <c r="KC18" s="1141"/>
      <c r="KD18" s="1141"/>
      <c r="KE18" s="1141"/>
      <c r="KF18" s="1141"/>
      <c r="KG18" s="1141"/>
      <c r="KH18" s="1141"/>
      <c r="KI18" s="1141"/>
      <c r="KJ18" s="1141"/>
      <c r="KK18" s="1141"/>
      <c r="KL18" s="1141"/>
      <c r="KM18" s="1141"/>
      <c r="KN18" s="1141"/>
      <c r="KO18" s="1141"/>
      <c r="KP18" s="1141"/>
      <c r="KQ18" s="1141"/>
      <c r="KR18" s="1141"/>
      <c r="KS18" s="1141"/>
      <c r="KT18" s="1141"/>
      <c r="KU18" s="1141"/>
      <c r="KV18" s="1141"/>
      <c r="KW18" s="1141"/>
      <c r="KX18" s="1141"/>
      <c r="KY18" s="1141"/>
      <c r="KZ18" s="1141"/>
      <c r="LA18" s="1141"/>
      <c r="LB18" s="1141"/>
      <c r="LC18" s="1141"/>
      <c r="LD18" s="1141"/>
      <c r="LE18" s="1141"/>
      <c r="LF18" s="1141"/>
      <c r="LG18" s="1141"/>
      <c r="LH18" s="1141"/>
      <c r="LI18" s="1141"/>
      <c r="LJ18" s="1141"/>
      <c r="LK18" s="1141"/>
      <c r="LL18" s="1141"/>
      <c r="LM18" s="1141"/>
      <c r="LN18" s="1141"/>
      <c r="LO18" s="1141"/>
      <c r="LP18" s="1141"/>
      <c r="LQ18" s="1141"/>
      <c r="LR18" s="1141"/>
      <c r="LS18" s="1141"/>
      <c r="LT18" s="1141"/>
      <c r="LU18" s="1141"/>
      <c r="LV18" s="1141"/>
      <c r="LW18" s="1141"/>
      <c r="LX18" s="1141"/>
      <c r="LY18" s="1141"/>
      <c r="LZ18" s="1141"/>
      <c r="MA18" s="1141"/>
      <c r="MB18" s="1141"/>
      <c r="MC18" s="1141"/>
      <c r="MD18" s="1141"/>
      <c r="ME18" s="1141"/>
      <c r="MF18" s="1141"/>
      <c r="MG18" s="1141"/>
      <c r="MH18" s="1141"/>
      <c r="MI18" s="1141"/>
      <c r="MJ18" s="1141"/>
      <c r="MK18" s="1141"/>
      <c r="ML18" s="1141"/>
      <c r="MM18" s="1141"/>
      <c r="MN18" s="1141"/>
      <c r="MO18" s="1141"/>
      <c r="MP18" s="1141"/>
      <c r="MQ18" s="1141"/>
      <c r="MR18" s="1141"/>
      <c r="MS18" s="1141"/>
      <c r="MT18" s="1141"/>
      <c r="MU18" s="1141"/>
      <c r="MV18" s="1141"/>
      <c r="MW18" s="1141"/>
      <c r="MX18" s="1141"/>
      <c r="MY18" s="1141"/>
      <c r="MZ18" s="1141"/>
      <c r="NA18" s="1141"/>
      <c r="NB18" s="1141"/>
      <c r="NC18" s="1141"/>
      <c r="ND18" s="1141"/>
      <c r="NE18" s="1141"/>
      <c r="NF18" s="1141"/>
      <c r="NG18" s="1141"/>
      <c r="NH18" s="1141"/>
      <c r="NI18" s="1141"/>
      <c r="NJ18" s="1141"/>
      <c r="NK18" s="1141"/>
      <c r="NL18" s="1141"/>
      <c r="NM18" s="1141"/>
      <c r="NN18" s="1141"/>
      <c r="NO18" s="1141"/>
      <c r="NP18" s="1141"/>
      <c r="NQ18" s="1141"/>
      <c r="NR18" s="1141"/>
      <c r="NS18" s="1141"/>
      <c r="NT18" s="1141"/>
      <c r="NU18" s="1141"/>
      <c r="NV18" s="1141"/>
      <c r="NW18" s="1141"/>
      <c r="NX18" s="1141"/>
      <c r="NY18" s="1141"/>
      <c r="NZ18" s="1141"/>
      <c r="OA18" s="1141"/>
      <c r="OB18" s="1141"/>
      <c r="OC18" s="1141"/>
      <c r="OD18" s="1141"/>
      <c r="OE18" s="1141"/>
      <c r="OF18" s="1141"/>
      <c r="OG18" s="1141"/>
      <c r="OH18" s="1141"/>
      <c r="OI18" s="1141"/>
      <c r="OJ18" s="1141"/>
      <c r="OK18" s="1141"/>
      <c r="OL18" s="1141"/>
      <c r="OM18" s="1141"/>
      <c r="ON18" s="1141"/>
      <c r="OO18" s="1141"/>
      <c r="OP18" s="1141"/>
      <c r="OQ18" s="1141"/>
      <c r="OR18" s="1141"/>
      <c r="OS18" s="1141"/>
      <c r="OT18" s="1141"/>
      <c r="OU18" s="1141"/>
      <c r="OV18" s="1141"/>
      <c r="OW18" s="1141"/>
      <c r="OX18" s="1141"/>
      <c r="OY18" s="1141"/>
      <c r="OZ18" s="1141"/>
      <c r="PA18" s="1141"/>
      <c r="PB18" s="1141"/>
      <c r="PC18" s="1141"/>
      <c r="PD18" s="1141"/>
      <c r="PE18" s="1141"/>
      <c r="PF18" s="1141"/>
      <c r="PG18" s="1141"/>
      <c r="PH18" s="1141"/>
      <c r="PI18" s="1141"/>
      <c r="PJ18" s="1141"/>
      <c r="PK18" s="1141"/>
      <c r="PL18" s="1141"/>
      <c r="PM18" s="1141"/>
      <c r="PN18" s="1141"/>
      <c r="PO18" s="1141"/>
      <c r="PP18" s="1141"/>
      <c r="PQ18" s="1141"/>
      <c r="PR18" s="1141"/>
      <c r="PS18" s="1141"/>
      <c r="PT18" s="1141"/>
      <c r="PU18" s="1141"/>
      <c r="PV18" s="1141"/>
      <c r="PW18" s="1141"/>
      <c r="PX18" s="1141"/>
      <c r="PY18" s="1141"/>
      <c r="PZ18" s="1141"/>
      <c r="QA18" s="1141"/>
      <c r="QB18" s="1141"/>
      <c r="QC18" s="1141"/>
      <c r="QD18" s="1141"/>
      <c r="QE18" s="1141"/>
      <c r="QF18" s="1141"/>
      <c r="QG18" s="1141"/>
      <c r="QH18" s="1141"/>
      <c r="QI18" s="1141"/>
      <c r="QJ18" s="1141"/>
      <c r="QK18" s="1141"/>
      <c r="QL18" s="1141"/>
      <c r="QM18" s="1141"/>
      <c r="QN18" s="1141"/>
      <c r="QO18" s="1141"/>
      <c r="QP18" s="1141"/>
      <c r="QQ18" s="1141"/>
      <c r="QR18" s="1141"/>
      <c r="QS18" s="1141"/>
      <c r="QT18" s="1141"/>
      <c r="QU18" s="1141"/>
      <c r="QV18" s="1141"/>
      <c r="QW18" s="1141"/>
      <c r="QX18" s="1141"/>
      <c r="QY18" s="1141"/>
      <c r="QZ18" s="1141"/>
      <c r="RA18" s="1141"/>
      <c r="RB18" s="1141"/>
      <c r="RC18" s="1141"/>
      <c r="RD18" s="1141"/>
      <c r="RE18" s="1141"/>
      <c r="RF18" s="1141"/>
      <c r="RG18" s="1141"/>
      <c r="RH18" s="1141"/>
      <c r="RI18" s="1141"/>
      <c r="RJ18" s="1141"/>
      <c r="RK18" s="1141"/>
      <c r="RL18" s="1141"/>
      <c r="RM18" s="1141"/>
      <c r="RN18" s="1141"/>
      <c r="RO18" s="1141"/>
      <c r="RP18" s="1141"/>
      <c r="RQ18" s="1141"/>
      <c r="RR18" s="1141"/>
      <c r="RS18" s="1141"/>
      <c r="RT18" s="1141"/>
      <c r="RU18" s="1141"/>
      <c r="RV18" s="1141"/>
      <c r="RW18" s="1141"/>
      <c r="RX18" s="1141"/>
      <c r="RY18" s="1141"/>
      <c r="RZ18" s="1141"/>
      <c r="SA18" s="1141"/>
      <c r="SB18" s="1141"/>
      <c r="SC18" s="1141"/>
      <c r="SD18" s="1141"/>
      <c r="SE18" s="1141"/>
      <c r="SF18" s="1141"/>
      <c r="SG18" s="1141"/>
      <c r="SH18" s="1141"/>
      <c r="SI18" s="1141"/>
      <c r="SJ18" s="1141"/>
      <c r="SK18" s="1141"/>
      <c r="SL18" s="1141"/>
      <c r="SM18" s="1141"/>
      <c r="SN18" s="1141"/>
      <c r="SO18" s="1141"/>
      <c r="SP18" s="1141"/>
      <c r="SQ18" s="1141"/>
      <c r="SR18" s="1141"/>
      <c r="SS18" s="1141"/>
      <c r="ST18" s="1141"/>
      <c r="SU18" s="1141"/>
      <c r="SV18" s="1141"/>
      <c r="SW18" s="1141"/>
      <c r="SX18" s="1141"/>
      <c r="SY18" s="1141"/>
      <c r="SZ18" s="1141"/>
      <c r="TA18" s="1141"/>
      <c r="TB18" s="1141"/>
      <c r="TC18" s="1141"/>
      <c r="TD18" s="1141"/>
      <c r="TE18" s="1141"/>
      <c r="TF18" s="1141"/>
      <c r="TG18" s="1141"/>
      <c r="TH18" s="1141"/>
      <c r="TI18" s="1141"/>
      <c r="TJ18" s="1141"/>
      <c r="TK18" s="1141"/>
      <c r="TL18" s="1141"/>
      <c r="TM18" s="1141"/>
      <c r="TN18" s="1141"/>
      <c r="TO18" s="1141"/>
      <c r="TP18" s="1141"/>
      <c r="TQ18" s="1141"/>
      <c r="TR18" s="1141"/>
      <c r="TS18" s="1141"/>
      <c r="TT18" s="1141"/>
      <c r="TU18" s="1141"/>
      <c r="TV18" s="1141"/>
      <c r="TW18" s="1141"/>
      <c r="TX18" s="1141"/>
      <c r="TY18" s="1141"/>
      <c r="TZ18" s="1141"/>
      <c r="UA18" s="1141"/>
      <c r="UB18" s="1141"/>
      <c r="UC18" s="1141"/>
      <c r="UD18" s="1141"/>
      <c r="UE18" s="1141"/>
      <c r="UF18" s="1141"/>
      <c r="UG18" s="1141"/>
      <c r="UH18" s="1141"/>
      <c r="UI18" s="1141"/>
      <c r="UJ18" s="1141"/>
      <c r="UK18" s="1141"/>
      <c r="UL18" s="1141"/>
      <c r="UM18" s="1141"/>
      <c r="UN18" s="1141"/>
      <c r="UO18" s="1141"/>
      <c r="UP18" s="1141"/>
      <c r="UQ18" s="1141"/>
      <c r="UR18" s="1141"/>
      <c r="US18" s="1141"/>
      <c r="UT18" s="1141"/>
      <c r="UU18" s="1141"/>
      <c r="UV18" s="1141"/>
      <c r="UW18" s="1141"/>
      <c r="UX18" s="1141"/>
      <c r="UY18" s="1141"/>
      <c r="UZ18" s="1141"/>
      <c r="VA18" s="1141"/>
      <c r="VB18" s="1141"/>
      <c r="VC18" s="1141"/>
      <c r="VD18" s="1141"/>
      <c r="VE18" s="1141"/>
      <c r="VF18" s="1141"/>
      <c r="VG18" s="1141"/>
      <c r="VH18" s="1141"/>
      <c r="VI18" s="1141"/>
      <c r="VJ18" s="1141"/>
      <c r="VK18" s="1141"/>
      <c r="VL18" s="1141"/>
      <c r="VM18" s="1141"/>
      <c r="VN18" s="1141"/>
      <c r="VO18" s="1141"/>
      <c r="VP18" s="1141"/>
      <c r="VQ18" s="1141"/>
      <c r="VR18" s="1141"/>
      <c r="VS18" s="1141"/>
      <c r="VT18" s="1141"/>
      <c r="VU18" s="1141"/>
      <c r="VV18" s="1141"/>
      <c r="VW18" s="1141"/>
      <c r="VX18" s="1141"/>
      <c r="VY18" s="1141"/>
      <c r="VZ18" s="1141"/>
      <c r="WA18" s="1141"/>
      <c r="WB18" s="1141"/>
      <c r="WC18" s="1141"/>
      <c r="WD18" s="1141"/>
      <c r="WE18" s="1141"/>
      <c r="WF18" s="1141"/>
      <c r="WG18" s="1141"/>
      <c r="WH18" s="1141"/>
      <c r="WI18" s="1141"/>
      <c r="WJ18" s="1141"/>
      <c r="WK18" s="1141"/>
      <c r="WL18" s="1141"/>
      <c r="WM18" s="1141"/>
      <c r="WN18" s="1141"/>
      <c r="WO18" s="1141"/>
      <c r="WP18" s="1141"/>
      <c r="WQ18" s="1141"/>
      <c r="WR18" s="1141"/>
      <c r="WS18" s="1141"/>
      <c r="WT18" s="1141"/>
      <c r="WU18" s="1141"/>
      <c r="WV18" s="1141"/>
      <c r="WW18" s="1141"/>
      <c r="WX18" s="1141"/>
      <c r="WY18" s="1141"/>
      <c r="WZ18" s="1141"/>
      <c r="XA18" s="1141"/>
      <c r="XB18" s="1141"/>
      <c r="XC18" s="1141"/>
      <c r="XD18" s="1141"/>
      <c r="XE18" s="1141"/>
      <c r="XF18" s="1141"/>
      <c r="XG18" s="1141"/>
      <c r="XH18" s="1141"/>
      <c r="XI18" s="1141"/>
      <c r="XJ18" s="1141"/>
      <c r="XK18" s="1141"/>
      <c r="XL18" s="1141"/>
      <c r="XM18" s="1141"/>
      <c r="XN18" s="1141"/>
      <c r="XO18" s="1141"/>
      <c r="XP18" s="1141"/>
      <c r="XQ18" s="1141"/>
      <c r="XR18" s="1141"/>
      <c r="XS18" s="1141"/>
      <c r="XT18" s="1141"/>
      <c r="XU18" s="1141"/>
      <c r="XV18" s="1141"/>
      <c r="XW18" s="1141"/>
      <c r="XX18" s="1141"/>
      <c r="XY18" s="1141"/>
      <c r="XZ18" s="1141"/>
      <c r="YA18" s="1141"/>
      <c r="YB18" s="1141"/>
      <c r="YC18" s="1141"/>
      <c r="YD18" s="1141"/>
      <c r="YE18" s="1141"/>
      <c r="YF18" s="1141"/>
      <c r="YG18" s="1141"/>
      <c r="YH18" s="1141"/>
      <c r="YI18" s="1141"/>
      <c r="YJ18" s="1141"/>
      <c r="YK18" s="1141"/>
      <c r="YL18" s="1141"/>
      <c r="YM18" s="1141"/>
      <c r="YN18" s="1141"/>
      <c r="YO18" s="1141"/>
      <c r="YP18" s="1141"/>
      <c r="YQ18" s="1141"/>
      <c r="YR18" s="1141"/>
      <c r="YS18" s="1141"/>
      <c r="YT18" s="1141"/>
      <c r="YU18" s="1141"/>
      <c r="YV18" s="1141"/>
      <c r="YW18" s="1141"/>
      <c r="YX18" s="1141"/>
      <c r="YY18" s="1141"/>
      <c r="YZ18" s="1141"/>
      <c r="ZA18" s="1141"/>
      <c r="ZB18" s="1141"/>
      <c r="ZC18" s="1141"/>
      <c r="ZD18" s="1141"/>
      <c r="ZE18" s="1141"/>
      <c r="ZF18" s="1141"/>
      <c r="ZG18" s="1141"/>
      <c r="ZH18" s="1141"/>
      <c r="ZI18" s="1141"/>
      <c r="ZJ18" s="1141"/>
      <c r="ZK18" s="1141"/>
      <c r="ZL18" s="1141"/>
      <c r="ZM18" s="1141"/>
      <c r="ZN18" s="1141"/>
      <c r="ZO18" s="1141"/>
      <c r="ZP18" s="1141"/>
      <c r="ZQ18" s="1141"/>
      <c r="ZR18" s="1141"/>
      <c r="ZS18" s="1141"/>
      <c r="ZT18" s="1141"/>
      <c r="ZU18" s="1141"/>
      <c r="ZV18" s="1141"/>
      <c r="ZW18" s="1141"/>
      <c r="ZX18" s="1141"/>
      <c r="ZY18" s="1141"/>
      <c r="ZZ18" s="1141"/>
      <c r="AAA18" s="1141"/>
      <c r="AAB18" s="1141"/>
      <c r="AAC18" s="1141"/>
      <c r="AAD18" s="1141"/>
      <c r="AAE18" s="1141"/>
      <c r="AAF18" s="1141"/>
      <c r="AAG18" s="1141"/>
      <c r="AAH18" s="1141"/>
      <c r="AAI18" s="1141"/>
      <c r="AAJ18" s="1141"/>
      <c r="AAK18" s="1141"/>
      <c r="AAL18" s="1141"/>
      <c r="AAM18" s="1141"/>
      <c r="AAN18" s="1141"/>
      <c r="AAO18" s="1141"/>
      <c r="AAP18" s="1141"/>
      <c r="AAQ18" s="1141"/>
      <c r="AAR18" s="1141"/>
      <c r="AAS18" s="1141"/>
      <c r="AAT18" s="1141"/>
      <c r="AAU18" s="1141"/>
      <c r="AAV18" s="1141"/>
      <c r="AAW18" s="1141"/>
      <c r="AAX18" s="1141"/>
      <c r="AAY18" s="1141"/>
      <c r="AAZ18" s="1141"/>
      <c r="ABA18" s="1141"/>
      <c r="ABB18" s="1141"/>
      <c r="ABC18" s="1141"/>
      <c r="ABD18" s="1141"/>
      <c r="ABE18" s="1141"/>
      <c r="ABF18" s="1141"/>
      <c r="ABG18" s="1141"/>
      <c r="ABH18" s="1141"/>
      <c r="ABI18" s="1141"/>
      <c r="ABJ18" s="1141"/>
      <c r="ABK18" s="1141"/>
      <c r="ABL18" s="1141"/>
      <c r="ABM18" s="1141"/>
      <c r="ABN18" s="1141"/>
      <c r="ABO18" s="1141"/>
      <c r="ABP18" s="1141"/>
      <c r="ABQ18" s="1141"/>
      <c r="ABR18" s="1141"/>
      <c r="ABS18" s="1141"/>
      <c r="ABT18" s="1141"/>
      <c r="ABU18" s="1141"/>
      <c r="ABV18" s="1141"/>
      <c r="ABW18" s="1141"/>
      <c r="ABX18" s="1141"/>
      <c r="ABY18" s="1141"/>
      <c r="ABZ18" s="1141"/>
      <c r="ACA18" s="1141"/>
      <c r="ACB18" s="1141"/>
      <c r="ACC18" s="1141"/>
      <c r="ACD18" s="1141"/>
      <c r="ACE18" s="1141"/>
      <c r="ACF18" s="1141"/>
      <c r="ACG18" s="1141"/>
      <c r="ACH18" s="1141"/>
      <c r="ACI18" s="1141"/>
      <c r="ACJ18" s="1141"/>
      <c r="ACK18" s="1141"/>
      <c r="ACL18" s="1141"/>
      <c r="ACM18" s="1141"/>
      <c r="ACN18" s="1141"/>
      <c r="ACO18" s="1141"/>
      <c r="ACP18" s="1141"/>
      <c r="ACQ18" s="1141"/>
      <c r="ACR18" s="1141"/>
      <c r="ACS18" s="1141"/>
      <c r="ACT18" s="1141"/>
      <c r="ACU18" s="1141"/>
      <c r="ACV18" s="1141"/>
      <c r="ACW18" s="1141"/>
      <c r="ACX18" s="1141"/>
      <c r="ACY18" s="1141"/>
      <c r="ACZ18" s="1141"/>
      <c r="ADA18" s="1141"/>
      <c r="ADB18" s="1141"/>
      <c r="ADC18" s="1141"/>
      <c r="ADD18" s="1141"/>
      <c r="ADE18" s="1141"/>
      <c r="ADF18" s="1141"/>
      <c r="ADG18" s="1141"/>
      <c r="ADH18" s="1141"/>
      <c r="ADI18" s="1141"/>
      <c r="ADJ18" s="1141"/>
      <c r="ADK18" s="1141"/>
      <c r="ADL18" s="1141"/>
      <c r="ADM18" s="1141"/>
      <c r="ADN18" s="1141"/>
      <c r="ADO18" s="1141"/>
      <c r="ADP18" s="1141"/>
      <c r="ADQ18" s="1141"/>
      <c r="ADR18" s="1141"/>
      <c r="ADS18" s="1141"/>
      <c r="ADT18" s="1141"/>
      <c r="ADU18" s="1141"/>
      <c r="ADV18" s="1141"/>
      <c r="ADW18" s="1141"/>
      <c r="ADX18" s="1141"/>
      <c r="ADY18" s="1141"/>
      <c r="ADZ18" s="1141"/>
      <c r="AEA18" s="1141"/>
      <c r="AEB18" s="1141"/>
      <c r="AEC18" s="1141"/>
      <c r="AED18" s="1141"/>
      <c r="AEE18" s="1141"/>
      <c r="AEF18" s="1141"/>
      <c r="AEG18" s="1141"/>
      <c r="AEH18" s="1141"/>
      <c r="AEI18" s="1141"/>
      <c r="AEJ18" s="1141"/>
      <c r="AEK18" s="1141"/>
      <c r="AEL18" s="1141"/>
      <c r="AEM18" s="1141"/>
      <c r="AEN18" s="1141"/>
      <c r="AEO18" s="1141"/>
      <c r="AEP18" s="1141"/>
      <c r="AEQ18" s="1141"/>
      <c r="AER18" s="1141"/>
      <c r="AES18" s="1141"/>
      <c r="AET18" s="1141"/>
      <c r="AEU18" s="1141"/>
      <c r="AEV18" s="1141"/>
      <c r="AEW18" s="1141"/>
      <c r="AEX18" s="1141"/>
      <c r="AEY18" s="1141"/>
      <c r="AEZ18" s="1141"/>
      <c r="AFA18" s="1141"/>
      <c r="AFB18" s="1141"/>
      <c r="AFC18" s="1141"/>
      <c r="AFD18" s="1141"/>
      <c r="AFE18" s="1141"/>
      <c r="AFF18" s="1141"/>
      <c r="AFG18" s="1141"/>
      <c r="AFH18" s="1141"/>
      <c r="AFI18" s="1141"/>
      <c r="AFJ18" s="1141"/>
      <c r="AFK18" s="1141"/>
      <c r="AFL18" s="1141"/>
      <c r="AFM18" s="1141"/>
      <c r="AFN18" s="1141"/>
      <c r="AFO18" s="1141"/>
      <c r="AFP18" s="1141"/>
      <c r="AFQ18" s="1141"/>
      <c r="AFR18" s="1141"/>
      <c r="AFS18" s="1141"/>
      <c r="AFT18" s="1141"/>
      <c r="AFU18" s="1141"/>
      <c r="AFV18" s="1141"/>
      <c r="AFW18" s="1141"/>
      <c r="AFX18" s="1141"/>
      <c r="AFY18" s="1141"/>
      <c r="AFZ18" s="1141"/>
      <c r="AGA18" s="1141"/>
      <c r="AGB18" s="1141"/>
      <c r="AGC18" s="1141"/>
      <c r="AGD18" s="1141"/>
      <c r="AGE18" s="1141"/>
      <c r="AGF18" s="1141"/>
      <c r="AGG18" s="1141"/>
      <c r="AGH18" s="1141"/>
      <c r="AGI18" s="1141"/>
      <c r="AGJ18" s="1141"/>
      <c r="AGK18" s="1141"/>
      <c r="AGL18" s="1141"/>
      <c r="AGM18" s="1141"/>
      <c r="AGN18" s="1141"/>
      <c r="AGO18" s="1141"/>
      <c r="AGP18" s="1141"/>
      <c r="AGQ18" s="1141"/>
      <c r="AGR18" s="1141"/>
      <c r="AGS18" s="1141"/>
      <c r="AGT18" s="1141"/>
      <c r="AGU18" s="1141"/>
      <c r="AGV18" s="1141"/>
      <c r="AGW18" s="1141"/>
      <c r="AGX18" s="1141"/>
      <c r="AGY18" s="1141"/>
      <c r="AGZ18" s="1141"/>
      <c r="AHA18" s="1141"/>
      <c r="AHB18" s="1141"/>
      <c r="AHC18" s="1141"/>
      <c r="AHD18" s="1141"/>
      <c r="AHE18" s="1141"/>
      <c r="AHF18" s="1141"/>
      <c r="AHG18" s="1141"/>
      <c r="AHH18" s="1141"/>
      <c r="AHI18" s="1141"/>
      <c r="AHJ18" s="1141"/>
      <c r="AHK18" s="1141"/>
      <c r="AHL18" s="1141"/>
      <c r="AHM18" s="1141"/>
      <c r="AHN18" s="1141"/>
      <c r="AHO18" s="1141"/>
      <c r="AHP18" s="1141"/>
      <c r="AHQ18" s="1141"/>
      <c r="AHR18" s="1141"/>
      <c r="AHS18" s="1141"/>
      <c r="AHT18" s="1141"/>
      <c r="AHU18" s="1141"/>
      <c r="AHV18" s="1141"/>
      <c r="AHW18" s="1141"/>
      <c r="AHX18" s="1141"/>
      <c r="AHY18" s="1141"/>
      <c r="AHZ18" s="1141"/>
      <c r="AIA18" s="1141"/>
      <c r="AIB18" s="1141"/>
      <c r="AIC18" s="1141"/>
      <c r="AID18" s="1141"/>
      <c r="AIE18" s="1141"/>
      <c r="AIF18" s="1141"/>
      <c r="AIG18" s="1141"/>
      <c r="AIH18" s="1141"/>
      <c r="AII18" s="1141"/>
      <c r="AIJ18" s="1141"/>
      <c r="AIK18" s="1141"/>
      <c r="AIL18" s="1141"/>
      <c r="AIM18" s="1141"/>
      <c r="AIN18" s="1141"/>
      <c r="AIO18" s="1141"/>
      <c r="AIP18" s="1141"/>
      <c r="AIQ18" s="1141"/>
      <c r="AIR18" s="1141"/>
      <c r="AIS18" s="1141"/>
      <c r="AIT18" s="1141"/>
      <c r="AIU18" s="1141"/>
      <c r="AIV18" s="1141"/>
      <c r="AIW18" s="1141"/>
      <c r="AIX18" s="1141"/>
      <c r="AIY18" s="1141"/>
      <c r="AIZ18" s="1141"/>
      <c r="AJA18" s="1141"/>
      <c r="AJB18" s="1141"/>
      <c r="AJC18" s="1141"/>
      <c r="AJD18" s="1141"/>
      <c r="AJE18" s="1141"/>
      <c r="AJF18" s="1141"/>
      <c r="AJG18" s="1141"/>
      <c r="AJH18" s="1141"/>
      <c r="AJI18" s="1141"/>
      <c r="AJJ18" s="1141"/>
      <c r="AJK18" s="1141"/>
      <c r="AJL18" s="1141"/>
      <c r="AJM18" s="1141"/>
      <c r="AJN18" s="1141"/>
      <c r="AJO18" s="1141"/>
      <c r="AJP18" s="1141"/>
      <c r="AJQ18" s="1141"/>
      <c r="AJR18" s="1141"/>
      <c r="AJS18" s="1141"/>
      <c r="AJT18" s="1141"/>
      <c r="AJU18" s="1141"/>
      <c r="AJV18" s="1141"/>
      <c r="AJW18" s="1141"/>
      <c r="AJX18" s="1141"/>
      <c r="AJY18" s="1141"/>
      <c r="AJZ18" s="1141"/>
      <c r="AKA18" s="1141"/>
      <c r="AKB18" s="1141"/>
      <c r="AKC18" s="1141"/>
      <c r="AKD18" s="1141"/>
      <c r="AKE18" s="1141"/>
      <c r="AKF18" s="1141"/>
      <c r="AKG18" s="1141"/>
      <c r="AKH18" s="1141"/>
      <c r="AKI18" s="1141"/>
      <c r="AKJ18" s="1141"/>
      <c r="AKK18" s="1141"/>
      <c r="AKL18" s="1141"/>
      <c r="AKM18" s="1141"/>
      <c r="AKN18" s="1141"/>
      <c r="AKO18" s="1141"/>
      <c r="AKP18" s="1141"/>
      <c r="AKQ18" s="1141"/>
      <c r="AKR18" s="1141"/>
      <c r="AKS18" s="1141"/>
      <c r="AKT18" s="1141"/>
      <c r="AKU18" s="1141"/>
      <c r="AKV18" s="1141"/>
      <c r="AKW18" s="1141"/>
      <c r="AKX18" s="1141"/>
      <c r="AKY18" s="1141"/>
      <c r="AKZ18" s="1141"/>
      <c r="ALA18" s="1141"/>
      <c r="ALB18" s="1141"/>
      <c r="ALC18" s="1141"/>
      <c r="ALD18" s="1141"/>
      <c r="ALE18" s="1141"/>
      <c r="ALF18" s="1141"/>
      <c r="ALG18" s="1141"/>
      <c r="ALH18" s="1141"/>
      <c r="ALI18" s="1141"/>
      <c r="ALJ18" s="1141"/>
      <c r="ALK18" s="1141"/>
      <c r="ALL18" s="1141"/>
      <c r="ALM18" s="1141"/>
      <c r="ALN18" s="1141"/>
      <c r="ALO18" s="1141"/>
      <c r="ALP18" s="1141"/>
      <c r="ALQ18" s="1141"/>
      <c r="ALR18" s="1141"/>
      <c r="ALS18" s="1141"/>
      <c r="ALT18" s="1141"/>
      <c r="ALU18" s="1141"/>
      <c r="ALV18" s="1141"/>
      <c r="ALW18" s="1141"/>
      <c r="ALX18" s="1141"/>
      <c r="ALY18" s="1141"/>
      <c r="ALZ18" s="1141"/>
      <c r="AMA18" s="1141"/>
      <c r="AMB18" s="1141"/>
      <c r="AMC18" s="1141"/>
      <c r="AMD18" s="1141"/>
      <c r="AME18" s="1141"/>
      <c r="AMF18" s="1141"/>
      <c r="AMG18" s="1141"/>
      <c r="AMH18" s="1141"/>
      <c r="AMI18" s="1141"/>
      <c r="AMJ18" s="1141"/>
      <c r="AMK18" s="1141"/>
      <c r="AML18" s="1141"/>
      <c r="AMM18" s="1141"/>
      <c r="AMN18" s="1141"/>
      <c r="AMO18" s="1141"/>
      <c r="AMP18" s="1141"/>
      <c r="AMQ18" s="1141"/>
      <c r="AMR18" s="1141"/>
      <c r="AMS18" s="1141"/>
      <c r="AMT18" s="1141"/>
      <c r="AMU18" s="1141"/>
      <c r="AMV18" s="1141"/>
      <c r="AMW18" s="1141"/>
      <c r="AMX18" s="1141"/>
      <c r="AMY18" s="1141"/>
      <c r="AMZ18" s="1141"/>
      <c r="ANA18" s="1141"/>
      <c r="ANB18" s="1141"/>
      <c r="ANC18" s="1141"/>
      <c r="AND18" s="1141"/>
      <c r="ANE18" s="1141"/>
      <c r="ANF18" s="1141"/>
      <c r="ANG18" s="1141"/>
      <c r="ANH18" s="1141"/>
      <c r="ANI18" s="1141"/>
      <c r="ANJ18" s="1141"/>
      <c r="ANK18" s="1141"/>
      <c r="ANL18" s="1141"/>
      <c r="ANM18" s="1141"/>
      <c r="ANN18" s="1141"/>
      <c r="ANO18" s="1141"/>
      <c r="ANP18" s="1141"/>
      <c r="ANQ18" s="1141"/>
      <c r="ANR18" s="1141"/>
      <c r="ANS18" s="1141"/>
      <c r="ANT18" s="1141"/>
      <c r="ANU18" s="1141"/>
      <c r="ANV18" s="1141"/>
      <c r="ANW18" s="1141"/>
      <c r="ANX18" s="1141"/>
      <c r="ANY18" s="1141"/>
      <c r="ANZ18" s="1141"/>
      <c r="AOA18" s="1141"/>
      <c r="AOB18" s="1141"/>
      <c r="AOC18" s="1141"/>
      <c r="AOD18" s="1141"/>
      <c r="AOE18" s="1141"/>
      <c r="AOF18" s="1141"/>
      <c r="AOG18" s="1141"/>
      <c r="AOH18" s="1141"/>
      <c r="AOI18" s="1141"/>
      <c r="AOJ18" s="1141"/>
      <c r="AOK18" s="1141"/>
      <c r="AOL18" s="1141"/>
      <c r="AOM18" s="1141"/>
      <c r="AON18" s="1141"/>
      <c r="AOO18" s="1141"/>
      <c r="AOP18" s="1141"/>
      <c r="AOQ18" s="1141"/>
      <c r="AOR18" s="1141"/>
      <c r="AOS18" s="1141"/>
      <c r="AOT18" s="1141"/>
      <c r="AOU18" s="1141"/>
      <c r="AOV18" s="1141"/>
      <c r="AOW18" s="1141"/>
      <c r="AOX18" s="1141"/>
      <c r="AOY18" s="1141"/>
      <c r="AOZ18" s="1141"/>
      <c r="APA18" s="1141"/>
      <c r="APB18" s="1141"/>
      <c r="APC18" s="1141"/>
      <c r="APD18" s="1141"/>
      <c r="APE18" s="1141"/>
      <c r="APF18" s="1141"/>
      <c r="APG18" s="1141"/>
      <c r="APH18" s="1141"/>
      <c r="API18" s="1141"/>
      <c r="APJ18" s="1141"/>
      <c r="APK18" s="1141"/>
      <c r="APL18" s="1141"/>
      <c r="APM18" s="1141"/>
      <c r="APN18" s="1141"/>
      <c r="APO18" s="1141"/>
      <c r="APP18" s="1141"/>
      <c r="APQ18" s="1141"/>
      <c r="APR18" s="1141"/>
      <c r="APS18" s="1141"/>
      <c r="APT18" s="1141"/>
      <c r="APU18" s="1141"/>
      <c r="APV18" s="1141"/>
      <c r="APW18" s="1141"/>
      <c r="APX18" s="1141"/>
      <c r="APY18" s="1141"/>
      <c r="APZ18" s="1141"/>
      <c r="AQA18" s="1141"/>
      <c r="AQB18" s="1141"/>
      <c r="AQC18" s="1141"/>
      <c r="AQD18" s="1141"/>
      <c r="AQE18" s="1141"/>
      <c r="AQF18" s="1141"/>
      <c r="AQG18" s="1141"/>
      <c r="AQH18" s="1141"/>
      <c r="AQI18" s="1141"/>
      <c r="AQJ18" s="1141"/>
      <c r="AQK18" s="1141"/>
      <c r="AQL18" s="1141"/>
      <c r="AQM18" s="1141"/>
      <c r="AQN18" s="1141"/>
      <c r="AQO18" s="1141"/>
      <c r="AQP18" s="1141"/>
      <c r="AQQ18" s="1141"/>
      <c r="AQR18" s="1141"/>
      <c r="AQS18" s="1141"/>
      <c r="AQT18" s="1141"/>
      <c r="AQU18" s="1141"/>
      <c r="AQV18" s="1141"/>
      <c r="AQW18" s="1141"/>
      <c r="AQX18" s="1141"/>
      <c r="AQY18" s="1141"/>
      <c r="AQZ18" s="1141"/>
      <c r="ARA18" s="1141"/>
      <c r="ARB18" s="1141"/>
      <c r="ARC18" s="1141"/>
      <c r="ARD18" s="1141"/>
      <c r="ARE18" s="1141"/>
      <c r="ARF18" s="1141"/>
      <c r="ARG18" s="1141"/>
      <c r="ARH18" s="1141"/>
      <c r="ARI18" s="1141"/>
      <c r="ARJ18" s="1141"/>
      <c r="ARK18" s="1141"/>
      <c r="ARL18" s="1141"/>
      <c r="ARM18" s="1141"/>
      <c r="ARN18" s="1141"/>
      <c r="ARO18" s="1141"/>
      <c r="ARP18" s="1141"/>
      <c r="ARQ18" s="1141"/>
      <c r="ARR18" s="1141"/>
      <c r="ARS18" s="1141"/>
      <c r="ART18" s="1141"/>
      <c r="ARU18" s="1141"/>
      <c r="ARV18" s="1141"/>
      <c r="ARW18" s="1141"/>
      <c r="ARX18" s="1141"/>
      <c r="ARY18" s="1141"/>
      <c r="ARZ18" s="1141"/>
      <c r="ASA18" s="1141"/>
      <c r="ASB18" s="1141"/>
      <c r="ASC18" s="1141"/>
      <c r="ASD18" s="1141"/>
      <c r="ASE18" s="1141"/>
      <c r="ASF18" s="1141"/>
      <c r="ASG18" s="1141"/>
      <c r="ASH18" s="1141"/>
      <c r="ASI18" s="1141"/>
      <c r="ASJ18" s="1141"/>
      <c r="ASK18" s="1141"/>
      <c r="ASL18" s="1141"/>
      <c r="ASM18" s="1141"/>
      <c r="ASN18" s="1141"/>
      <c r="ASO18" s="1141"/>
      <c r="ASP18" s="1141"/>
      <c r="ASQ18" s="1141"/>
      <c r="ASR18" s="1141"/>
      <c r="ASS18" s="1141"/>
      <c r="AST18" s="1141"/>
      <c r="ASU18" s="1141"/>
      <c r="ASV18" s="1141"/>
      <c r="ASW18" s="1141"/>
      <c r="ASX18" s="1141"/>
      <c r="ASY18" s="1141"/>
      <c r="ASZ18" s="1141"/>
      <c r="ATA18" s="1141"/>
      <c r="ATB18" s="1141"/>
      <c r="ATC18" s="1141"/>
      <c r="ATD18" s="1141"/>
      <c r="ATE18" s="1141"/>
      <c r="ATF18" s="1141"/>
      <c r="ATG18" s="1141"/>
      <c r="ATH18" s="1141"/>
      <c r="ATI18" s="1141"/>
      <c r="ATJ18" s="1141"/>
      <c r="ATK18" s="1141"/>
      <c r="ATL18" s="1141"/>
      <c r="ATM18" s="1141"/>
      <c r="ATN18" s="1141"/>
      <c r="ATO18" s="1141"/>
      <c r="ATP18" s="1141"/>
      <c r="ATQ18" s="1141"/>
      <c r="ATR18" s="1141"/>
      <c r="ATS18" s="1141"/>
      <c r="ATT18" s="1141"/>
      <c r="ATU18" s="1141"/>
      <c r="ATV18" s="1141"/>
      <c r="ATW18" s="1141"/>
      <c r="ATX18" s="1141"/>
      <c r="ATY18" s="1141"/>
      <c r="ATZ18" s="1141"/>
      <c r="AUA18" s="1141"/>
      <c r="AUB18" s="1141"/>
      <c r="AUC18" s="1141"/>
      <c r="AUD18" s="1141"/>
      <c r="AUE18" s="1141"/>
      <c r="AUF18" s="1141"/>
      <c r="AUG18" s="1141"/>
      <c r="AUH18" s="1141"/>
      <c r="AUI18" s="1141"/>
      <c r="AUJ18" s="1141"/>
      <c r="AUK18" s="1141"/>
      <c r="AUL18" s="1141"/>
      <c r="AUM18" s="1141"/>
      <c r="AUN18" s="1141"/>
      <c r="AUO18" s="1141"/>
      <c r="AUP18" s="1141"/>
      <c r="AUQ18" s="1141"/>
      <c r="AUR18" s="1141"/>
      <c r="AUS18" s="1141"/>
      <c r="AUT18" s="1141"/>
      <c r="AUU18" s="1141"/>
      <c r="AUV18" s="1141"/>
      <c r="AUW18" s="1141"/>
      <c r="AUX18" s="1141"/>
      <c r="AUY18" s="1141"/>
      <c r="AUZ18" s="1141"/>
      <c r="AVA18" s="1141"/>
      <c r="AVB18" s="1141"/>
      <c r="AVC18" s="1141"/>
      <c r="AVD18" s="1141"/>
      <c r="AVE18" s="1141"/>
      <c r="AVF18" s="1141"/>
      <c r="AVG18" s="1141"/>
      <c r="AVH18" s="1141"/>
      <c r="AVI18" s="1141"/>
      <c r="AVJ18" s="1141"/>
      <c r="AVK18" s="1141"/>
      <c r="AVL18" s="1141"/>
      <c r="AVM18" s="1141"/>
      <c r="AVN18" s="1141"/>
      <c r="AVO18" s="1141"/>
      <c r="AVP18" s="1141"/>
      <c r="AVQ18" s="1141"/>
      <c r="AVR18" s="1141"/>
      <c r="AVS18" s="1141"/>
      <c r="AVT18" s="1141"/>
      <c r="AVU18" s="1141"/>
      <c r="AVV18" s="1141"/>
      <c r="AVW18" s="1141"/>
      <c r="AVX18" s="1141"/>
      <c r="AVY18" s="1141"/>
      <c r="AVZ18" s="1141"/>
      <c r="AWA18" s="1141"/>
      <c r="AWB18" s="1141"/>
      <c r="AWC18" s="1141"/>
      <c r="AWD18" s="1141"/>
      <c r="AWE18" s="1141"/>
      <c r="AWF18" s="1141"/>
      <c r="AWG18" s="1141"/>
      <c r="AWH18" s="1141"/>
      <c r="AWI18" s="1141"/>
      <c r="AWJ18" s="1141"/>
      <c r="AWK18" s="1141"/>
      <c r="AWL18" s="1141"/>
      <c r="AWM18" s="1141"/>
      <c r="AWN18" s="1141"/>
      <c r="AWO18" s="1141"/>
      <c r="AWP18" s="1141"/>
      <c r="AWQ18" s="1141"/>
      <c r="AWR18" s="1141"/>
      <c r="AWS18" s="1141"/>
      <c r="AWT18" s="1141"/>
      <c r="AWU18" s="1141"/>
      <c r="AWV18" s="1141"/>
      <c r="AWW18" s="1141"/>
      <c r="AWX18" s="1141"/>
      <c r="AWY18" s="1141"/>
      <c r="AWZ18" s="1141"/>
      <c r="AXA18" s="1141"/>
      <c r="AXB18" s="1141"/>
      <c r="AXC18" s="1141"/>
      <c r="AXD18" s="1141"/>
      <c r="AXE18" s="1141"/>
      <c r="AXF18" s="1141"/>
      <c r="AXG18" s="1141"/>
      <c r="AXH18" s="1141"/>
      <c r="AXI18" s="1141"/>
      <c r="AXJ18" s="1141"/>
      <c r="AXK18" s="1141"/>
      <c r="AXL18" s="1141"/>
      <c r="AXM18" s="1141"/>
      <c r="AXN18" s="1141"/>
      <c r="AXO18" s="1141"/>
      <c r="AXP18" s="1141"/>
      <c r="AXQ18" s="1141"/>
      <c r="AXR18" s="1141"/>
      <c r="AXS18" s="1141"/>
      <c r="AXT18" s="1141"/>
      <c r="AXU18" s="1141"/>
      <c r="AXV18" s="1141"/>
      <c r="AXW18" s="1141"/>
      <c r="AXX18" s="1141"/>
      <c r="AXY18" s="1141"/>
      <c r="AXZ18" s="1141"/>
      <c r="AYA18" s="1141"/>
      <c r="AYB18" s="1141"/>
      <c r="AYC18" s="1141"/>
      <c r="AYD18" s="1141"/>
      <c r="AYE18" s="1141"/>
      <c r="AYF18" s="1141"/>
      <c r="AYG18" s="1141"/>
      <c r="AYH18" s="1141"/>
      <c r="AYI18" s="1141"/>
      <c r="AYJ18" s="1141"/>
      <c r="AYK18" s="1141"/>
      <c r="AYL18" s="1141"/>
      <c r="AYM18" s="1141"/>
      <c r="AYN18" s="1141"/>
      <c r="AYO18" s="1141"/>
      <c r="AYP18" s="1141"/>
      <c r="AYQ18" s="1141"/>
      <c r="AYR18" s="1141"/>
      <c r="AYS18" s="1141"/>
      <c r="AYT18" s="1141"/>
      <c r="AYU18" s="1141"/>
      <c r="AYV18" s="1141"/>
      <c r="AYW18" s="1141"/>
      <c r="AYX18" s="1141"/>
      <c r="AYY18" s="1141"/>
      <c r="AYZ18" s="1141"/>
      <c r="AZA18" s="1141"/>
      <c r="AZB18" s="1141"/>
      <c r="AZC18" s="1141"/>
      <c r="AZD18" s="1141"/>
      <c r="AZE18" s="1141"/>
      <c r="AZF18" s="1141"/>
      <c r="AZG18" s="1141"/>
      <c r="AZH18" s="1141"/>
      <c r="AZI18" s="1141"/>
      <c r="AZJ18" s="1141"/>
      <c r="AZK18" s="1141"/>
      <c r="AZL18" s="1141"/>
      <c r="AZM18" s="1141"/>
      <c r="AZN18" s="1141"/>
      <c r="AZO18" s="1141"/>
      <c r="AZP18" s="1141"/>
      <c r="AZQ18" s="1141"/>
      <c r="AZR18" s="1141"/>
      <c r="AZS18" s="1141"/>
      <c r="AZT18" s="1141"/>
      <c r="AZU18" s="1141"/>
      <c r="AZV18" s="1141"/>
      <c r="AZW18" s="1141"/>
      <c r="AZX18" s="1141"/>
      <c r="AZY18" s="1141"/>
      <c r="AZZ18" s="1141"/>
      <c r="BAA18" s="1141"/>
      <c r="BAB18" s="1141"/>
      <c r="BAC18" s="1141"/>
      <c r="BAD18" s="1141"/>
      <c r="BAE18" s="1141"/>
      <c r="BAF18" s="1141"/>
      <c r="BAG18" s="1141"/>
      <c r="BAH18" s="1141"/>
      <c r="BAI18" s="1141"/>
      <c r="BAJ18" s="1141"/>
      <c r="BAK18" s="1141"/>
      <c r="BAL18" s="1141"/>
      <c r="BAM18" s="1141"/>
      <c r="BAN18" s="1141"/>
      <c r="BAO18" s="1141"/>
      <c r="BAP18" s="1141"/>
      <c r="BAQ18" s="1141"/>
      <c r="BAR18" s="1141"/>
      <c r="BAS18" s="1141"/>
      <c r="BAT18" s="1141"/>
      <c r="BAU18" s="1141"/>
      <c r="BAV18" s="1141"/>
      <c r="BAW18" s="1141"/>
      <c r="BAX18" s="1141"/>
      <c r="BAY18" s="1141"/>
      <c r="BAZ18" s="1141"/>
      <c r="BBA18" s="1141"/>
      <c r="BBB18" s="1141"/>
      <c r="BBC18" s="1141"/>
      <c r="BBD18" s="1141"/>
      <c r="BBE18" s="1141"/>
      <c r="BBF18" s="1141"/>
      <c r="BBG18" s="1141"/>
      <c r="BBH18" s="1141"/>
      <c r="BBI18" s="1141"/>
      <c r="BBJ18" s="1141"/>
      <c r="BBK18" s="1141"/>
      <c r="BBL18" s="1141"/>
      <c r="BBM18" s="1141"/>
      <c r="BBN18" s="1141"/>
      <c r="BBO18" s="1141"/>
      <c r="BBP18" s="1141"/>
      <c r="BBQ18" s="1141"/>
      <c r="BBR18" s="1141"/>
      <c r="BBS18" s="1141"/>
      <c r="BBT18" s="1141"/>
      <c r="BBU18" s="1141"/>
      <c r="BBV18" s="1141"/>
      <c r="BBW18" s="1141"/>
      <c r="BBX18" s="1141"/>
      <c r="BBY18" s="1141"/>
      <c r="BBZ18" s="1141"/>
      <c r="BCA18" s="1141"/>
      <c r="BCB18" s="1141"/>
      <c r="BCC18" s="1141"/>
      <c r="BCD18" s="1141"/>
      <c r="BCE18" s="1141"/>
      <c r="BCF18" s="1141"/>
      <c r="BCG18" s="1141"/>
      <c r="BCH18" s="1141"/>
      <c r="BCI18" s="1141"/>
      <c r="BCJ18" s="1141"/>
      <c r="BCK18" s="1141"/>
      <c r="BCL18" s="1141"/>
      <c r="BCM18" s="1141"/>
      <c r="BCN18" s="1141"/>
      <c r="BCO18" s="1141"/>
      <c r="BCP18" s="1141"/>
      <c r="BCQ18" s="1141"/>
      <c r="BCR18" s="1141"/>
      <c r="BCS18" s="1141"/>
      <c r="BCT18" s="1141"/>
      <c r="BCU18" s="1141"/>
      <c r="BCV18" s="1141"/>
      <c r="BCW18" s="1141"/>
      <c r="BCX18" s="1141"/>
      <c r="BCY18" s="1141"/>
      <c r="BCZ18" s="1141"/>
      <c r="BDA18" s="1141"/>
      <c r="BDB18" s="1141"/>
      <c r="BDC18" s="1141"/>
      <c r="BDD18" s="1141"/>
      <c r="BDE18" s="1141"/>
      <c r="BDF18" s="1141"/>
      <c r="BDG18" s="1141"/>
      <c r="BDH18" s="1141"/>
      <c r="BDI18" s="1141"/>
      <c r="BDJ18" s="1141"/>
      <c r="BDK18" s="1141"/>
      <c r="BDL18" s="1141"/>
      <c r="BDM18" s="1141"/>
      <c r="BDN18" s="1141"/>
      <c r="BDO18" s="1141"/>
      <c r="BDP18" s="1141"/>
      <c r="BDQ18" s="1141"/>
      <c r="BDR18" s="1141"/>
      <c r="BDS18" s="1141"/>
      <c r="BDT18" s="1141"/>
      <c r="BDU18" s="1141"/>
      <c r="BDV18" s="1141"/>
      <c r="BDW18" s="1141"/>
      <c r="BDX18" s="1141"/>
      <c r="BDY18" s="1141"/>
      <c r="BDZ18" s="1141"/>
      <c r="BEA18" s="1141"/>
      <c r="BEB18" s="1141"/>
      <c r="BEC18" s="1141"/>
      <c r="BED18" s="1141"/>
      <c r="BEE18" s="1141"/>
      <c r="BEF18" s="1141"/>
      <c r="BEG18" s="1141"/>
      <c r="BEH18" s="1141"/>
      <c r="BEI18" s="1141"/>
      <c r="BEJ18" s="1141"/>
      <c r="BEK18" s="1141"/>
      <c r="BEL18" s="1141"/>
      <c r="BEM18" s="1141"/>
      <c r="BEN18" s="1141"/>
      <c r="BEO18" s="1141"/>
      <c r="BEP18" s="1141"/>
      <c r="BEQ18" s="1141"/>
      <c r="BER18" s="1141"/>
      <c r="BES18" s="1141"/>
      <c r="BET18" s="1141"/>
      <c r="BEU18" s="1141"/>
      <c r="BEV18" s="1141"/>
      <c r="BEW18" s="1141"/>
      <c r="BEX18" s="1141"/>
      <c r="BEY18" s="1141"/>
      <c r="BEZ18" s="1141"/>
      <c r="BFA18" s="1141"/>
      <c r="BFB18" s="1141"/>
      <c r="BFC18" s="1141"/>
      <c r="BFD18" s="1141"/>
      <c r="BFE18" s="1141"/>
      <c r="BFF18" s="1141"/>
      <c r="BFG18" s="1141"/>
      <c r="BFH18" s="1141"/>
      <c r="BFI18" s="1141"/>
      <c r="BFJ18" s="1141"/>
      <c r="BFK18" s="1141"/>
      <c r="BFL18" s="1141"/>
      <c r="BFM18" s="1141"/>
      <c r="BFN18" s="1141"/>
      <c r="BFO18" s="1141"/>
      <c r="BFP18" s="1141"/>
      <c r="BFQ18" s="1141"/>
      <c r="BFR18" s="1141"/>
      <c r="BFS18" s="1141"/>
      <c r="BFT18" s="1141"/>
      <c r="BFU18" s="1141"/>
      <c r="BFV18" s="1141"/>
      <c r="BFW18" s="1141"/>
      <c r="BFX18" s="1141"/>
      <c r="BFY18" s="1141"/>
      <c r="BFZ18" s="1141"/>
      <c r="BGA18" s="1141"/>
      <c r="BGB18" s="1141"/>
      <c r="BGC18" s="1141"/>
      <c r="BGD18" s="1141"/>
      <c r="BGE18" s="1141"/>
      <c r="BGF18" s="1141"/>
      <c r="BGG18" s="1141"/>
      <c r="BGH18" s="1141"/>
      <c r="BGI18" s="1141"/>
      <c r="BGJ18" s="1141"/>
      <c r="BGK18" s="1141"/>
      <c r="BGL18" s="1141"/>
      <c r="BGM18" s="1141"/>
      <c r="BGN18" s="1141"/>
      <c r="BGO18" s="1141"/>
      <c r="BGP18" s="1141"/>
      <c r="BGQ18" s="1141"/>
      <c r="BGR18" s="1141"/>
      <c r="BGS18" s="1141"/>
      <c r="BGT18" s="1141"/>
      <c r="BGU18" s="1141"/>
      <c r="BGV18" s="1141"/>
      <c r="BGW18" s="1141"/>
      <c r="BGX18" s="1141"/>
      <c r="BGY18" s="1141"/>
      <c r="BGZ18" s="1141"/>
      <c r="BHA18" s="1141"/>
      <c r="BHB18" s="1141"/>
      <c r="BHC18" s="1141"/>
      <c r="BHD18" s="1141"/>
      <c r="BHE18" s="1141"/>
      <c r="BHF18" s="1141"/>
      <c r="BHG18" s="1141"/>
      <c r="BHH18" s="1141"/>
      <c r="BHI18" s="1141"/>
      <c r="BHJ18" s="1141"/>
      <c r="BHK18" s="1141"/>
      <c r="BHL18" s="1141"/>
      <c r="BHM18" s="1141"/>
      <c r="BHN18" s="1141"/>
      <c r="BHO18" s="1141"/>
      <c r="BHP18" s="1141"/>
      <c r="BHQ18" s="1141"/>
      <c r="BHR18" s="1141"/>
      <c r="BHS18" s="1141"/>
      <c r="BHT18" s="1141"/>
      <c r="BHU18" s="1141"/>
      <c r="BHV18" s="1141"/>
      <c r="BHW18" s="1141"/>
      <c r="BHX18" s="1141"/>
      <c r="BHY18" s="1141"/>
      <c r="BHZ18" s="1141"/>
      <c r="BIA18" s="1141"/>
      <c r="BIB18" s="1141"/>
      <c r="BIC18" s="1141"/>
      <c r="BID18" s="1141"/>
      <c r="BIE18" s="1141"/>
      <c r="BIF18" s="1141"/>
      <c r="BIG18" s="1141"/>
      <c r="BIH18" s="1141"/>
      <c r="BII18" s="1141"/>
      <c r="BIJ18" s="1141"/>
      <c r="BIK18" s="1141"/>
      <c r="BIL18" s="1141"/>
      <c r="BIM18" s="1141"/>
      <c r="BIN18" s="1141"/>
      <c r="BIO18" s="1141"/>
      <c r="BIP18" s="1141"/>
      <c r="BIQ18" s="1141"/>
      <c r="BIR18" s="1141"/>
      <c r="BIS18" s="1141"/>
      <c r="BIT18" s="1141"/>
      <c r="BIU18" s="1141"/>
      <c r="BIV18" s="1141"/>
      <c r="BIW18" s="1141"/>
      <c r="BIX18" s="1141"/>
      <c r="BIY18" s="1141"/>
      <c r="BIZ18" s="1141"/>
      <c r="BJA18" s="1141"/>
      <c r="BJB18" s="1141"/>
      <c r="BJC18" s="1141"/>
      <c r="BJD18" s="1141"/>
      <c r="BJE18" s="1141"/>
      <c r="BJF18" s="1141"/>
      <c r="BJG18" s="1141"/>
      <c r="BJH18" s="1141"/>
      <c r="BJI18" s="1141"/>
      <c r="BJJ18" s="1141"/>
      <c r="BJK18" s="1141"/>
      <c r="BJL18" s="1141"/>
      <c r="BJM18" s="1141"/>
      <c r="BJN18" s="1141"/>
      <c r="BJO18" s="1141"/>
      <c r="BJP18" s="1141"/>
      <c r="BJQ18" s="1141"/>
      <c r="BJR18" s="1141"/>
      <c r="BJS18" s="1141"/>
      <c r="BJT18" s="1141"/>
      <c r="BJU18" s="1141"/>
      <c r="BJV18" s="1141"/>
      <c r="BJW18" s="1141"/>
      <c r="BJX18" s="1141"/>
      <c r="BJY18" s="1141"/>
      <c r="BJZ18" s="1141"/>
      <c r="BKA18" s="1141"/>
      <c r="BKB18" s="1141"/>
      <c r="BKC18" s="1141"/>
      <c r="BKD18" s="1141"/>
      <c r="BKE18" s="1141"/>
      <c r="BKF18" s="1141"/>
      <c r="BKG18" s="1141"/>
      <c r="BKH18" s="1141"/>
      <c r="BKI18" s="1141"/>
      <c r="BKJ18" s="1141"/>
      <c r="BKK18" s="1141"/>
      <c r="BKL18" s="1141"/>
      <c r="BKM18" s="1141"/>
      <c r="BKN18" s="1141"/>
      <c r="BKO18" s="1141"/>
      <c r="BKP18" s="1141"/>
      <c r="BKQ18" s="1141"/>
      <c r="BKR18" s="1141"/>
      <c r="BKS18" s="1141"/>
      <c r="BKT18" s="1141"/>
      <c r="BKU18" s="1141"/>
      <c r="BKV18" s="1141"/>
      <c r="BKW18" s="1141"/>
      <c r="BKX18" s="1141"/>
      <c r="BKY18" s="1141"/>
      <c r="BKZ18" s="1141"/>
      <c r="BLA18" s="1141"/>
      <c r="BLB18" s="1141"/>
      <c r="BLC18" s="1141"/>
      <c r="BLD18" s="1141"/>
      <c r="BLE18" s="1141"/>
      <c r="BLF18" s="1141"/>
      <c r="BLG18" s="1141"/>
      <c r="BLH18" s="1141"/>
      <c r="BLI18" s="1141"/>
      <c r="BLJ18" s="1141"/>
      <c r="BLK18" s="1141"/>
      <c r="BLL18" s="1141"/>
      <c r="BLM18" s="1141"/>
      <c r="BLN18" s="1141"/>
      <c r="BLO18" s="1141"/>
      <c r="BLP18" s="1141"/>
      <c r="BLQ18" s="1141"/>
      <c r="BLR18" s="1141"/>
      <c r="BLS18" s="1141"/>
      <c r="BLT18" s="1141"/>
      <c r="BLU18" s="1141"/>
      <c r="BLV18" s="1141"/>
      <c r="BLW18" s="1141"/>
      <c r="BLX18" s="1141"/>
      <c r="BLY18" s="1141"/>
      <c r="BLZ18" s="1141"/>
      <c r="BMA18" s="1141"/>
      <c r="BMB18" s="1141"/>
      <c r="BMC18" s="1141"/>
      <c r="BMD18" s="1141"/>
      <c r="BME18" s="1141"/>
      <c r="BMF18" s="1141"/>
      <c r="BMG18" s="1141"/>
      <c r="BMH18" s="1141"/>
      <c r="BMI18" s="1141"/>
      <c r="BMJ18" s="1141"/>
      <c r="BMK18" s="1141"/>
      <c r="BML18" s="1141"/>
      <c r="BMM18" s="1141"/>
      <c r="BMN18" s="1141"/>
      <c r="BMO18" s="1141"/>
      <c r="BMP18" s="1141"/>
      <c r="BMQ18" s="1141"/>
      <c r="BMR18" s="1141"/>
      <c r="BMS18" s="1141"/>
      <c r="BMT18" s="1141"/>
      <c r="BMU18" s="1141"/>
      <c r="BMV18" s="1141"/>
      <c r="BMW18" s="1141"/>
      <c r="BMX18" s="1141"/>
      <c r="BMY18" s="1141"/>
      <c r="BMZ18" s="1141"/>
      <c r="BNA18" s="1141"/>
      <c r="BNB18" s="1141"/>
      <c r="BNC18" s="1141"/>
      <c r="BND18" s="1141"/>
      <c r="BNE18" s="1141"/>
      <c r="BNF18" s="1141"/>
      <c r="BNG18" s="1141"/>
      <c r="BNH18" s="1141"/>
      <c r="BNI18" s="1141"/>
      <c r="BNJ18" s="1141"/>
      <c r="BNK18" s="1141"/>
      <c r="BNL18" s="1141"/>
      <c r="BNM18" s="1141"/>
      <c r="BNN18" s="1141"/>
      <c r="BNO18" s="1141"/>
      <c r="BNP18" s="1141"/>
      <c r="BNQ18" s="1141"/>
      <c r="BNR18" s="1141"/>
      <c r="BNS18" s="1141"/>
      <c r="BNT18" s="1141"/>
      <c r="BNU18" s="1141"/>
      <c r="BNV18" s="1141"/>
      <c r="BNW18" s="1141"/>
      <c r="BNX18" s="1141"/>
      <c r="BNY18" s="1141"/>
      <c r="BNZ18" s="1141"/>
      <c r="BOA18" s="1141"/>
      <c r="BOB18" s="1141"/>
      <c r="BOC18" s="1141"/>
      <c r="BOD18" s="1141"/>
      <c r="BOE18" s="1141"/>
      <c r="BOF18" s="1141"/>
      <c r="BOG18" s="1141"/>
      <c r="BOH18" s="1141"/>
      <c r="BOI18" s="1141"/>
      <c r="BOJ18" s="1141"/>
      <c r="BOK18" s="1141"/>
      <c r="BOL18" s="1141"/>
      <c r="BOM18" s="1141"/>
      <c r="BON18" s="1141"/>
      <c r="BOO18" s="1141"/>
      <c r="BOP18" s="1141"/>
      <c r="BOQ18" s="1141"/>
      <c r="BOR18" s="1141"/>
      <c r="BOS18" s="1141"/>
      <c r="BOT18" s="1141"/>
      <c r="BOU18" s="1141"/>
      <c r="BOV18" s="1141"/>
      <c r="BOW18" s="1141"/>
      <c r="BOX18" s="1141"/>
      <c r="BOY18" s="1141"/>
      <c r="BOZ18" s="1141"/>
      <c r="BPA18" s="1141"/>
      <c r="BPB18" s="1141"/>
      <c r="BPC18" s="1141"/>
      <c r="BPD18" s="1141"/>
      <c r="BPE18" s="1141"/>
      <c r="BPF18" s="1141"/>
      <c r="BPG18" s="1141"/>
      <c r="BPH18" s="1141"/>
      <c r="BPI18" s="1141"/>
      <c r="BPJ18" s="1141"/>
      <c r="BPK18" s="1141"/>
      <c r="BPL18" s="1141"/>
      <c r="BPM18" s="1141"/>
      <c r="BPN18" s="1141"/>
      <c r="BPO18" s="1141"/>
      <c r="BPP18" s="1141"/>
      <c r="BPQ18" s="1141"/>
      <c r="BPR18" s="1141"/>
      <c r="BPS18" s="1141"/>
      <c r="BPT18" s="1141"/>
      <c r="BPU18" s="1141"/>
      <c r="BPV18" s="1141"/>
      <c r="BPW18" s="1141"/>
      <c r="BPX18" s="1141"/>
      <c r="BPY18" s="1141"/>
      <c r="BPZ18" s="1141"/>
      <c r="BQA18" s="1141"/>
      <c r="BQB18" s="1141"/>
      <c r="BQC18" s="1141"/>
      <c r="BQD18" s="1141"/>
      <c r="BQE18" s="1141"/>
      <c r="BQF18" s="1141"/>
      <c r="BQG18" s="1141"/>
      <c r="BQH18" s="1141"/>
      <c r="BQI18" s="1141"/>
      <c r="BQJ18" s="1141"/>
      <c r="BQK18" s="1141"/>
      <c r="BQL18" s="1141"/>
      <c r="BQM18" s="1141"/>
      <c r="BQN18" s="1141"/>
      <c r="BQO18" s="1141"/>
      <c r="BQP18" s="1141"/>
      <c r="BQQ18" s="1141"/>
      <c r="BQR18" s="1141"/>
      <c r="BQS18" s="1141"/>
      <c r="BQT18" s="1141"/>
      <c r="BQU18" s="1141"/>
      <c r="BQV18" s="1141"/>
      <c r="BQW18" s="1141"/>
      <c r="BQX18" s="1141"/>
      <c r="BQY18" s="1141"/>
      <c r="BQZ18" s="1141"/>
      <c r="BRA18" s="1141"/>
      <c r="BRB18" s="1141"/>
      <c r="BRC18" s="1141"/>
      <c r="BRD18" s="1141"/>
      <c r="BRE18" s="1141"/>
      <c r="BRF18" s="1141"/>
      <c r="BRG18" s="1141"/>
      <c r="BRH18" s="1141"/>
      <c r="BRI18" s="1141"/>
      <c r="BRJ18" s="1141"/>
      <c r="BRK18" s="1141"/>
      <c r="BRL18" s="1141"/>
      <c r="BRM18" s="1141"/>
      <c r="BRN18" s="1141"/>
      <c r="BRO18" s="1141"/>
      <c r="BRP18" s="1141"/>
      <c r="BRQ18" s="1141"/>
      <c r="BRR18" s="1141"/>
      <c r="BRS18" s="1141"/>
      <c r="BRT18" s="1141"/>
      <c r="BRU18" s="1141"/>
      <c r="BRV18" s="1141"/>
      <c r="BRW18" s="1141"/>
      <c r="BRX18" s="1141"/>
      <c r="BRY18" s="1141"/>
      <c r="BRZ18" s="1141"/>
      <c r="BSA18" s="1141"/>
      <c r="BSB18" s="1141"/>
      <c r="BSC18" s="1141"/>
      <c r="BSD18" s="1141"/>
      <c r="BSE18" s="1141"/>
      <c r="BSF18" s="1141"/>
      <c r="BSG18" s="1141"/>
      <c r="BSH18" s="1141"/>
      <c r="BSI18" s="1141"/>
      <c r="BSJ18" s="1141"/>
      <c r="BSK18" s="1141"/>
      <c r="BSL18" s="1141"/>
      <c r="BSM18" s="1141"/>
      <c r="BSN18" s="1141"/>
      <c r="BSO18" s="1141"/>
      <c r="BSP18" s="1141"/>
      <c r="BSQ18" s="1141"/>
      <c r="BSR18" s="1141"/>
      <c r="BSS18" s="1141"/>
      <c r="BST18" s="1141"/>
      <c r="BSU18" s="1141"/>
      <c r="BSV18" s="1141"/>
      <c r="BSW18" s="1141"/>
      <c r="BSX18" s="1141"/>
      <c r="BSY18" s="1141"/>
      <c r="BSZ18" s="1141"/>
      <c r="BTA18" s="1141"/>
      <c r="BTB18" s="1141"/>
      <c r="BTC18" s="1141"/>
      <c r="BTD18" s="1141"/>
      <c r="BTE18" s="1141"/>
      <c r="BTF18" s="1141"/>
      <c r="BTG18" s="1141"/>
      <c r="BTH18" s="1141"/>
      <c r="BTI18" s="1141"/>
    </row>
    <row r="19" spans="1:1881" s="1144" customFormat="1" ht="55.5" customHeight="1" thickBot="1" x14ac:dyDescent="0.35">
      <c r="A19" s="1145">
        <v>338</v>
      </c>
      <c r="B19" s="593" t="s">
        <v>56</v>
      </c>
      <c r="C19" s="635" t="s">
        <v>129</v>
      </c>
      <c r="D19" s="29" t="s">
        <v>131</v>
      </c>
      <c r="E19" s="1138" t="e">
        <f>HLOOKUP($D$2,'2020 Data(H)'!$C$1:$CZ$426,104,FALSE)</f>
        <v>#N/A</v>
      </c>
      <c r="F19" s="1139">
        <v>0</v>
      </c>
      <c r="G19" s="730" t="str">
        <f>IF(F12&gt;F19,"Error: Please review accts 626 &gt; 338","")</f>
        <v/>
      </c>
      <c r="H19" s="17"/>
      <c r="I19" s="731"/>
      <c r="J19" s="1140"/>
      <c r="K19" s="1141"/>
      <c r="L19" s="704"/>
      <c r="M19" s="1141"/>
      <c r="N19" s="1142"/>
      <c r="O19" s="1141"/>
      <c r="P19" s="1141"/>
      <c r="Q19" s="1139">
        <v>1131889</v>
      </c>
      <c r="R19" s="1141"/>
      <c r="S19" s="1141"/>
      <c r="T19" s="1141"/>
      <c r="U19" s="1141"/>
      <c r="V19" s="1141"/>
      <c r="W19" s="1141"/>
      <c r="X19" s="1141"/>
      <c r="Y19" s="1141"/>
      <c r="Z19" s="1145"/>
      <c r="AA19" s="1145"/>
      <c r="AB19" s="1145"/>
      <c r="AC19" s="1145"/>
      <c r="AD19" s="1145"/>
      <c r="AE19" s="1145"/>
      <c r="AF19" s="1145"/>
      <c r="AG19" s="1145"/>
      <c r="AH19" s="1145"/>
      <c r="AI19" s="1145"/>
      <c r="AJ19" s="1145"/>
      <c r="AK19" s="1145"/>
      <c r="AL19" s="1145"/>
      <c r="AM19" s="1145"/>
      <c r="AN19" s="1145"/>
      <c r="AO19" s="1145"/>
      <c r="AP19" s="1145"/>
      <c r="AQ19" s="1145"/>
      <c r="AR19" s="1145"/>
      <c r="AS19" s="1141"/>
      <c r="AT19" s="1141"/>
      <c r="AU19" s="1141"/>
      <c r="AV19" s="1141"/>
      <c r="AW19" s="1141"/>
      <c r="AX19" s="1141"/>
      <c r="AY19" s="1141"/>
      <c r="AZ19" s="1141"/>
      <c r="BA19" s="1141"/>
      <c r="BB19" s="1141"/>
      <c r="BC19" s="1141"/>
      <c r="BD19" s="1141"/>
      <c r="BE19" s="1141"/>
      <c r="BF19" s="1141"/>
      <c r="BG19" s="1141"/>
      <c r="BH19" s="1141"/>
      <c r="BI19" s="1141"/>
      <c r="BJ19" s="1141"/>
      <c r="BK19" s="1141"/>
      <c r="BL19" s="1141"/>
      <c r="BM19" s="1141"/>
      <c r="BN19" s="1141"/>
      <c r="BO19" s="1141"/>
      <c r="BP19" s="1141"/>
      <c r="BQ19" s="1141"/>
      <c r="BR19" s="1141"/>
      <c r="BS19" s="1141"/>
      <c r="BT19" s="1141"/>
      <c r="BU19" s="1141"/>
      <c r="BV19" s="1141"/>
      <c r="BW19" s="1141"/>
      <c r="BX19" s="1141"/>
      <c r="BY19" s="1141"/>
      <c r="BZ19" s="1141"/>
      <c r="CA19" s="1141"/>
      <c r="CB19" s="1141"/>
      <c r="CC19" s="1141"/>
      <c r="CD19" s="1141"/>
      <c r="CE19" s="1141"/>
      <c r="CF19" s="1141"/>
      <c r="CG19" s="1141"/>
      <c r="CH19" s="1141"/>
      <c r="CI19" s="1141"/>
      <c r="CJ19" s="1141"/>
      <c r="CK19" s="1141"/>
      <c r="CL19" s="1141"/>
      <c r="CM19" s="1141"/>
      <c r="CN19" s="1141"/>
      <c r="CO19" s="1141"/>
      <c r="CP19" s="1141"/>
      <c r="CQ19" s="1141"/>
      <c r="CR19" s="1141"/>
      <c r="CS19" s="1141"/>
      <c r="CT19" s="1141"/>
      <c r="CU19" s="1141"/>
      <c r="CV19" s="1141"/>
      <c r="CW19" s="1141"/>
      <c r="CX19" s="1141"/>
      <c r="CY19" s="1141"/>
      <c r="CZ19" s="1141"/>
      <c r="DA19" s="1141"/>
      <c r="DB19" s="1141"/>
      <c r="DC19" s="1141"/>
      <c r="DD19" s="1141"/>
      <c r="DE19" s="1141"/>
      <c r="DF19" s="1141"/>
      <c r="DG19" s="1141"/>
      <c r="DH19" s="1141"/>
      <c r="DI19" s="1141"/>
      <c r="DJ19" s="1141"/>
      <c r="DK19" s="1141"/>
      <c r="DL19" s="1141"/>
      <c r="DM19" s="1141"/>
      <c r="DN19" s="1141"/>
      <c r="DO19" s="1141"/>
      <c r="DP19" s="1141"/>
      <c r="DQ19" s="1141"/>
      <c r="DR19" s="1141"/>
      <c r="DS19" s="1141"/>
      <c r="DT19" s="1141"/>
      <c r="DU19" s="1141"/>
      <c r="DV19" s="1141"/>
      <c r="DW19" s="1141"/>
      <c r="DX19" s="1141"/>
      <c r="DY19" s="1141"/>
      <c r="DZ19" s="1141"/>
      <c r="EA19" s="1141"/>
      <c r="EB19" s="1141"/>
      <c r="EC19" s="1141"/>
      <c r="ED19" s="1141"/>
      <c r="EE19" s="1141"/>
      <c r="EF19" s="1141"/>
      <c r="EG19" s="1141"/>
      <c r="EH19" s="1141"/>
      <c r="EI19" s="1141"/>
      <c r="EJ19" s="1141"/>
      <c r="EK19" s="1141"/>
      <c r="EL19" s="1141"/>
      <c r="EM19" s="1141"/>
      <c r="EN19" s="1141"/>
      <c r="EO19" s="1141"/>
      <c r="EP19" s="1141"/>
      <c r="EQ19" s="1141"/>
      <c r="ER19" s="1141"/>
      <c r="ES19" s="1141"/>
      <c r="ET19" s="1141"/>
      <c r="EU19" s="1141"/>
      <c r="EV19" s="1141"/>
      <c r="EW19" s="1141"/>
      <c r="EX19" s="1141"/>
      <c r="EY19" s="1141"/>
      <c r="EZ19" s="1141"/>
      <c r="FA19" s="1141"/>
      <c r="FB19" s="1141"/>
      <c r="FC19" s="1141"/>
      <c r="FD19" s="1141"/>
      <c r="FE19" s="1141"/>
      <c r="FF19" s="1141"/>
      <c r="FG19" s="1141"/>
      <c r="FH19" s="1141"/>
      <c r="FI19" s="1141"/>
      <c r="FJ19" s="1141"/>
      <c r="FK19" s="1141"/>
      <c r="FL19" s="1141"/>
      <c r="FM19" s="1141"/>
      <c r="FN19" s="1141"/>
      <c r="FO19" s="1141"/>
      <c r="FP19" s="1141"/>
      <c r="FQ19" s="1141"/>
      <c r="FR19" s="1141"/>
      <c r="FS19" s="1141"/>
      <c r="FT19" s="1141"/>
      <c r="FU19" s="1141"/>
      <c r="FV19" s="1141"/>
      <c r="FW19" s="1141"/>
      <c r="FX19" s="1141"/>
      <c r="FY19" s="1141"/>
      <c r="FZ19" s="1141"/>
      <c r="GA19" s="1141"/>
      <c r="GB19" s="1141"/>
      <c r="GC19" s="1141"/>
      <c r="GD19" s="1141"/>
      <c r="GE19" s="1141"/>
      <c r="GF19" s="1141"/>
      <c r="GG19" s="1141"/>
      <c r="GH19" s="1141"/>
      <c r="GI19" s="1141"/>
      <c r="GJ19" s="1141"/>
      <c r="GK19" s="1141"/>
      <c r="GL19" s="1141"/>
      <c r="GM19" s="1141"/>
      <c r="GN19" s="1141"/>
      <c r="GO19" s="1141"/>
      <c r="GP19" s="1141"/>
      <c r="GQ19" s="1141"/>
      <c r="GR19" s="1141"/>
      <c r="GS19" s="1141"/>
      <c r="GT19" s="1141"/>
      <c r="GU19" s="1141"/>
      <c r="GV19" s="1141"/>
      <c r="GW19" s="1141"/>
      <c r="GX19" s="1141"/>
      <c r="GY19" s="1141"/>
      <c r="GZ19" s="1141"/>
      <c r="HA19" s="1141"/>
      <c r="HB19" s="1141"/>
      <c r="HC19" s="1141"/>
      <c r="HD19" s="1141"/>
      <c r="HE19" s="1141"/>
      <c r="HF19" s="1141"/>
      <c r="HG19" s="1141"/>
      <c r="HH19" s="1141"/>
      <c r="HI19" s="1141"/>
      <c r="HJ19" s="1141"/>
      <c r="HK19" s="1141"/>
      <c r="HL19" s="1141"/>
      <c r="HM19" s="1141"/>
      <c r="HN19" s="1141"/>
      <c r="HO19" s="1141"/>
      <c r="HP19" s="1141"/>
      <c r="HQ19" s="1141"/>
      <c r="HR19" s="1141"/>
      <c r="HS19" s="1141"/>
      <c r="HT19" s="1141"/>
      <c r="HU19" s="1141"/>
      <c r="HV19" s="1141"/>
      <c r="HW19" s="1141"/>
      <c r="HX19" s="1141"/>
      <c r="HY19" s="1141"/>
      <c r="HZ19" s="1141"/>
      <c r="IA19" s="1141"/>
      <c r="IB19" s="1141"/>
      <c r="IC19" s="1141"/>
      <c r="ID19" s="1141"/>
      <c r="IE19" s="1141"/>
      <c r="IF19" s="1141"/>
      <c r="IG19" s="1141"/>
      <c r="IH19" s="1141"/>
      <c r="II19" s="1141"/>
      <c r="IJ19" s="1141"/>
      <c r="IK19" s="1141"/>
      <c r="IL19" s="1141"/>
      <c r="IM19" s="1141"/>
      <c r="IN19" s="1141"/>
      <c r="IO19" s="1141"/>
      <c r="IP19" s="1141"/>
      <c r="IQ19" s="1141"/>
      <c r="IR19" s="1141"/>
      <c r="IS19" s="1141"/>
      <c r="IT19" s="1141"/>
      <c r="IU19" s="1141"/>
      <c r="IV19" s="1141"/>
      <c r="IW19" s="1141"/>
      <c r="IX19" s="1141"/>
      <c r="IY19" s="1141"/>
      <c r="IZ19" s="1141"/>
      <c r="JA19" s="1141"/>
      <c r="JB19" s="1141"/>
      <c r="JC19" s="1141"/>
      <c r="JD19" s="1141"/>
      <c r="JE19" s="1141"/>
      <c r="JF19" s="1141"/>
      <c r="JG19" s="1141"/>
      <c r="JH19" s="1141"/>
      <c r="JI19" s="1141"/>
      <c r="JJ19" s="1141"/>
      <c r="JK19" s="1141"/>
      <c r="JL19" s="1141"/>
      <c r="JM19" s="1141"/>
      <c r="JN19" s="1141"/>
      <c r="JO19" s="1141"/>
      <c r="JP19" s="1141"/>
      <c r="JQ19" s="1141"/>
      <c r="JR19" s="1141"/>
      <c r="JS19" s="1141"/>
      <c r="JT19" s="1141"/>
      <c r="JU19" s="1141"/>
      <c r="JV19" s="1141"/>
      <c r="JW19" s="1141"/>
      <c r="JX19" s="1141"/>
      <c r="JY19" s="1141"/>
      <c r="JZ19" s="1141"/>
      <c r="KA19" s="1141"/>
      <c r="KB19" s="1141"/>
      <c r="KC19" s="1141"/>
      <c r="KD19" s="1141"/>
      <c r="KE19" s="1141"/>
      <c r="KF19" s="1141"/>
      <c r="KG19" s="1141"/>
      <c r="KH19" s="1141"/>
      <c r="KI19" s="1141"/>
      <c r="KJ19" s="1141"/>
      <c r="KK19" s="1141"/>
      <c r="KL19" s="1141"/>
      <c r="KM19" s="1141"/>
      <c r="KN19" s="1141"/>
      <c r="KO19" s="1141"/>
      <c r="KP19" s="1141"/>
      <c r="KQ19" s="1141"/>
      <c r="KR19" s="1141"/>
      <c r="KS19" s="1141"/>
      <c r="KT19" s="1141"/>
      <c r="KU19" s="1141"/>
      <c r="KV19" s="1141"/>
      <c r="KW19" s="1141"/>
      <c r="KX19" s="1141"/>
      <c r="KY19" s="1141"/>
      <c r="KZ19" s="1141"/>
      <c r="LA19" s="1141"/>
      <c r="LB19" s="1141"/>
      <c r="LC19" s="1141"/>
      <c r="LD19" s="1141"/>
      <c r="LE19" s="1141"/>
      <c r="LF19" s="1141"/>
      <c r="LG19" s="1141"/>
      <c r="LH19" s="1141"/>
      <c r="LI19" s="1141"/>
      <c r="LJ19" s="1141"/>
      <c r="LK19" s="1141"/>
      <c r="LL19" s="1141"/>
      <c r="LM19" s="1141"/>
      <c r="LN19" s="1141"/>
      <c r="LO19" s="1141"/>
      <c r="LP19" s="1141"/>
      <c r="LQ19" s="1141"/>
      <c r="LR19" s="1141"/>
      <c r="LS19" s="1141"/>
      <c r="LT19" s="1141"/>
      <c r="LU19" s="1141"/>
      <c r="LV19" s="1141"/>
      <c r="LW19" s="1141"/>
      <c r="LX19" s="1141"/>
      <c r="LY19" s="1141"/>
      <c r="LZ19" s="1141"/>
      <c r="MA19" s="1141"/>
      <c r="MB19" s="1141"/>
      <c r="MC19" s="1141"/>
      <c r="MD19" s="1141"/>
      <c r="ME19" s="1141"/>
      <c r="MF19" s="1141"/>
      <c r="MG19" s="1141"/>
      <c r="MH19" s="1141"/>
      <c r="MI19" s="1141"/>
      <c r="MJ19" s="1141"/>
      <c r="MK19" s="1141"/>
      <c r="ML19" s="1141"/>
      <c r="MM19" s="1141"/>
      <c r="MN19" s="1141"/>
      <c r="MO19" s="1141"/>
      <c r="MP19" s="1141"/>
      <c r="MQ19" s="1141"/>
      <c r="MR19" s="1141"/>
      <c r="MS19" s="1141"/>
      <c r="MT19" s="1141"/>
      <c r="MU19" s="1141"/>
      <c r="MV19" s="1141"/>
      <c r="MW19" s="1141"/>
      <c r="MX19" s="1141"/>
      <c r="MY19" s="1141"/>
      <c r="MZ19" s="1141"/>
      <c r="NA19" s="1141"/>
      <c r="NB19" s="1141"/>
      <c r="NC19" s="1141"/>
      <c r="ND19" s="1141"/>
      <c r="NE19" s="1141"/>
      <c r="NF19" s="1141"/>
      <c r="NG19" s="1141"/>
      <c r="NH19" s="1141"/>
      <c r="NI19" s="1141"/>
      <c r="NJ19" s="1141"/>
      <c r="NK19" s="1141"/>
      <c r="NL19" s="1141"/>
      <c r="NM19" s="1141"/>
      <c r="NN19" s="1141"/>
      <c r="NO19" s="1141"/>
      <c r="NP19" s="1141"/>
      <c r="NQ19" s="1141"/>
      <c r="NR19" s="1141"/>
      <c r="NS19" s="1141"/>
      <c r="NT19" s="1141"/>
      <c r="NU19" s="1141"/>
      <c r="NV19" s="1141"/>
      <c r="NW19" s="1141"/>
      <c r="NX19" s="1141"/>
      <c r="NY19" s="1141"/>
      <c r="NZ19" s="1141"/>
      <c r="OA19" s="1141"/>
      <c r="OB19" s="1141"/>
      <c r="OC19" s="1141"/>
      <c r="OD19" s="1141"/>
      <c r="OE19" s="1141"/>
      <c r="OF19" s="1141"/>
      <c r="OG19" s="1141"/>
      <c r="OH19" s="1141"/>
      <c r="OI19" s="1141"/>
      <c r="OJ19" s="1141"/>
      <c r="OK19" s="1141"/>
      <c r="OL19" s="1141"/>
      <c r="OM19" s="1141"/>
      <c r="ON19" s="1141"/>
      <c r="OO19" s="1141"/>
      <c r="OP19" s="1141"/>
      <c r="OQ19" s="1141"/>
      <c r="OR19" s="1141"/>
      <c r="OS19" s="1141"/>
      <c r="OT19" s="1141"/>
      <c r="OU19" s="1141"/>
      <c r="OV19" s="1141"/>
      <c r="OW19" s="1141"/>
      <c r="OX19" s="1141"/>
      <c r="OY19" s="1141"/>
      <c r="OZ19" s="1141"/>
      <c r="PA19" s="1141"/>
      <c r="PB19" s="1141"/>
      <c r="PC19" s="1141"/>
      <c r="PD19" s="1141"/>
      <c r="PE19" s="1141"/>
      <c r="PF19" s="1141"/>
      <c r="PG19" s="1141"/>
      <c r="PH19" s="1141"/>
      <c r="PI19" s="1141"/>
      <c r="PJ19" s="1141"/>
      <c r="PK19" s="1141"/>
      <c r="PL19" s="1141"/>
      <c r="PM19" s="1141"/>
      <c r="PN19" s="1141"/>
      <c r="PO19" s="1141"/>
      <c r="PP19" s="1141"/>
      <c r="PQ19" s="1141"/>
      <c r="PR19" s="1141"/>
      <c r="PS19" s="1141"/>
      <c r="PT19" s="1141"/>
      <c r="PU19" s="1141"/>
      <c r="PV19" s="1141"/>
      <c r="PW19" s="1141"/>
      <c r="PX19" s="1141"/>
      <c r="PY19" s="1141"/>
      <c r="PZ19" s="1141"/>
      <c r="QA19" s="1141"/>
      <c r="QB19" s="1141"/>
      <c r="QC19" s="1141"/>
      <c r="QD19" s="1141"/>
      <c r="QE19" s="1141"/>
      <c r="QF19" s="1141"/>
      <c r="QG19" s="1141"/>
      <c r="QH19" s="1141"/>
      <c r="QI19" s="1141"/>
      <c r="QJ19" s="1141"/>
      <c r="QK19" s="1141"/>
      <c r="QL19" s="1141"/>
      <c r="QM19" s="1141"/>
      <c r="QN19" s="1141"/>
      <c r="QO19" s="1141"/>
      <c r="QP19" s="1141"/>
      <c r="QQ19" s="1141"/>
      <c r="QR19" s="1141"/>
      <c r="QS19" s="1141"/>
      <c r="QT19" s="1141"/>
      <c r="QU19" s="1141"/>
      <c r="QV19" s="1141"/>
      <c r="QW19" s="1141"/>
      <c r="QX19" s="1141"/>
      <c r="QY19" s="1141"/>
      <c r="QZ19" s="1141"/>
      <c r="RA19" s="1141"/>
      <c r="RB19" s="1141"/>
      <c r="RC19" s="1141"/>
      <c r="RD19" s="1141"/>
      <c r="RE19" s="1141"/>
      <c r="RF19" s="1141"/>
      <c r="RG19" s="1141"/>
      <c r="RH19" s="1141"/>
      <c r="RI19" s="1141"/>
      <c r="RJ19" s="1141"/>
      <c r="RK19" s="1141"/>
      <c r="RL19" s="1141"/>
      <c r="RM19" s="1141"/>
      <c r="RN19" s="1141"/>
      <c r="RO19" s="1141"/>
      <c r="RP19" s="1141"/>
      <c r="RQ19" s="1141"/>
      <c r="RR19" s="1141"/>
      <c r="RS19" s="1141"/>
      <c r="RT19" s="1141"/>
      <c r="RU19" s="1141"/>
      <c r="RV19" s="1141"/>
      <c r="RW19" s="1141"/>
      <c r="RX19" s="1141"/>
      <c r="RY19" s="1141"/>
      <c r="RZ19" s="1141"/>
      <c r="SA19" s="1141"/>
      <c r="SB19" s="1141"/>
      <c r="SC19" s="1141"/>
      <c r="SD19" s="1141"/>
      <c r="SE19" s="1141"/>
      <c r="SF19" s="1141"/>
      <c r="SG19" s="1141"/>
      <c r="SH19" s="1141"/>
      <c r="SI19" s="1141"/>
      <c r="SJ19" s="1141"/>
      <c r="SK19" s="1141"/>
      <c r="SL19" s="1141"/>
      <c r="SM19" s="1141"/>
      <c r="SN19" s="1141"/>
      <c r="SO19" s="1141"/>
      <c r="SP19" s="1141"/>
      <c r="SQ19" s="1141"/>
      <c r="SR19" s="1141"/>
      <c r="SS19" s="1141"/>
      <c r="ST19" s="1141"/>
      <c r="SU19" s="1141"/>
      <c r="SV19" s="1141"/>
      <c r="SW19" s="1141"/>
      <c r="SX19" s="1141"/>
      <c r="SY19" s="1141"/>
      <c r="SZ19" s="1141"/>
      <c r="TA19" s="1141"/>
      <c r="TB19" s="1141"/>
      <c r="TC19" s="1141"/>
      <c r="TD19" s="1141"/>
      <c r="TE19" s="1141"/>
      <c r="TF19" s="1141"/>
      <c r="TG19" s="1141"/>
      <c r="TH19" s="1141"/>
      <c r="TI19" s="1141"/>
      <c r="TJ19" s="1141"/>
      <c r="TK19" s="1141"/>
      <c r="TL19" s="1141"/>
      <c r="TM19" s="1141"/>
      <c r="TN19" s="1141"/>
      <c r="TO19" s="1141"/>
      <c r="TP19" s="1141"/>
      <c r="TQ19" s="1141"/>
      <c r="TR19" s="1141"/>
      <c r="TS19" s="1141"/>
      <c r="TT19" s="1141"/>
      <c r="TU19" s="1141"/>
      <c r="TV19" s="1141"/>
      <c r="TW19" s="1141"/>
      <c r="TX19" s="1141"/>
      <c r="TY19" s="1141"/>
      <c r="TZ19" s="1141"/>
      <c r="UA19" s="1141"/>
      <c r="UB19" s="1141"/>
      <c r="UC19" s="1141"/>
      <c r="UD19" s="1141"/>
      <c r="UE19" s="1141"/>
      <c r="UF19" s="1141"/>
      <c r="UG19" s="1141"/>
      <c r="UH19" s="1141"/>
      <c r="UI19" s="1141"/>
      <c r="UJ19" s="1141"/>
      <c r="UK19" s="1141"/>
      <c r="UL19" s="1141"/>
      <c r="UM19" s="1141"/>
      <c r="UN19" s="1141"/>
      <c r="UO19" s="1141"/>
      <c r="UP19" s="1141"/>
      <c r="UQ19" s="1141"/>
      <c r="UR19" s="1141"/>
      <c r="US19" s="1141"/>
      <c r="UT19" s="1141"/>
      <c r="UU19" s="1141"/>
      <c r="UV19" s="1141"/>
      <c r="UW19" s="1141"/>
      <c r="UX19" s="1141"/>
      <c r="UY19" s="1141"/>
      <c r="UZ19" s="1141"/>
      <c r="VA19" s="1141"/>
      <c r="VB19" s="1141"/>
      <c r="VC19" s="1141"/>
      <c r="VD19" s="1141"/>
      <c r="VE19" s="1141"/>
      <c r="VF19" s="1141"/>
      <c r="VG19" s="1141"/>
      <c r="VH19" s="1141"/>
      <c r="VI19" s="1141"/>
      <c r="VJ19" s="1141"/>
      <c r="VK19" s="1141"/>
      <c r="VL19" s="1141"/>
      <c r="VM19" s="1141"/>
      <c r="VN19" s="1141"/>
      <c r="VO19" s="1141"/>
      <c r="VP19" s="1141"/>
      <c r="VQ19" s="1141"/>
      <c r="VR19" s="1141"/>
      <c r="VS19" s="1141"/>
      <c r="VT19" s="1141"/>
      <c r="VU19" s="1141"/>
      <c r="VV19" s="1141"/>
      <c r="VW19" s="1141"/>
      <c r="VX19" s="1141"/>
      <c r="VY19" s="1141"/>
      <c r="VZ19" s="1141"/>
      <c r="WA19" s="1141"/>
      <c r="WB19" s="1141"/>
      <c r="WC19" s="1141"/>
      <c r="WD19" s="1141"/>
      <c r="WE19" s="1141"/>
      <c r="WF19" s="1141"/>
      <c r="WG19" s="1141"/>
      <c r="WH19" s="1141"/>
      <c r="WI19" s="1141"/>
      <c r="WJ19" s="1141"/>
      <c r="WK19" s="1141"/>
      <c r="WL19" s="1141"/>
      <c r="WM19" s="1141"/>
      <c r="WN19" s="1141"/>
      <c r="WO19" s="1141"/>
      <c r="WP19" s="1141"/>
      <c r="WQ19" s="1141"/>
      <c r="WR19" s="1141"/>
      <c r="WS19" s="1141"/>
      <c r="WT19" s="1141"/>
      <c r="WU19" s="1141"/>
      <c r="WV19" s="1141"/>
      <c r="WW19" s="1141"/>
      <c r="WX19" s="1141"/>
      <c r="WY19" s="1141"/>
      <c r="WZ19" s="1141"/>
      <c r="XA19" s="1141"/>
      <c r="XB19" s="1141"/>
      <c r="XC19" s="1141"/>
      <c r="XD19" s="1141"/>
      <c r="XE19" s="1141"/>
      <c r="XF19" s="1141"/>
      <c r="XG19" s="1141"/>
      <c r="XH19" s="1141"/>
      <c r="XI19" s="1141"/>
      <c r="XJ19" s="1141"/>
      <c r="XK19" s="1141"/>
      <c r="XL19" s="1141"/>
      <c r="XM19" s="1141"/>
      <c r="XN19" s="1141"/>
      <c r="XO19" s="1141"/>
      <c r="XP19" s="1141"/>
      <c r="XQ19" s="1141"/>
      <c r="XR19" s="1141"/>
      <c r="XS19" s="1141"/>
      <c r="XT19" s="1141"/>
      <c r="XU19" s="1141"/>
      <c r="XV19" s="1141"/>
      <c r="XW19" s="1141"/>
      <c r="XX19" s="1141"/>
      <c r="XY19" s="1141"/>
      <c r="XZ19" s="1141"/>
      <c r="YA19" s="1141"/>
      <c r="YB19" s="1141"/>
      <c r="YC19" s="1141"/>
      <c r="YD19" s="1141"/>
      <c r="YE19" s="1141"/>
      <c r="YF19" s="1141"/>
      <c r="YG19" s="1141"/>
      <c r="YH19" s="1141"/>
      <c r="YI19" s="1141"/>
      <c r="YJ19" s="1141"/>
      <c r="YK19" s="1141"/>
      <c r="YL19" s="1141"/>
      <c r="YM19" s="1141"/>
      <c r="YN19" s="1141"/>
      <c r="YO19" s="1141"/>
      <c r="YP19" s="1141"/>
      <c r="YQ19" s="1141"/>
      <c r="YR19" s="1141"/>
      <c r="YS19" s="1141"/>
      <c r="YT19" s="1141"/>
      <c r="YU19" s="1141"/>
      <c r="YV19" s="1141"/>
      <c r="YW19" s="1141"/>
      <c r="YX19" s="1141"/>
      <c r="YY19" s="1141"/>
      <c r="YZ19" s="1141"/>
      <c r="ZA19" s="1141"/>
      <c r="ZB19" s="1141"/>
      <c r="ZC19" s="1141"/>
      <c r="ZD19" s="1141"/>
      <c r="ZE19" s="1141"/>
      <c r="ZF19" s="1141"/>
      <c r="ZG19" s="1141"/>
      <c r="ZH19" s="1141"/>
      <c r="ZI19" s="1141"/>
      <c r="ZJ19" s="1141"/>
      <c r="ZK19" s="1141"/>
      <c r="ZL19" s="1141"/>
      <c r="ZM19" s="1141"/>
      <c r="ZN19" s="1141"/>
      <c r="ZO19" s="1141"/>
      <c r="ZP19" s="1141"/>
      <c r="ZQ19" s="1141"/>
      <c r="ZR19" s="1141"/>
      <c r="ZS19" s="1141"/>
      <c r="ZT19" s="1141"/>
      <c r="ZU19" s="1141"/>
      <c r="ZV19" s="1141"/>
      <c r="ZW19" s="1141"/>
      <c r="ZX19" s="1141"/>
      <c r="ZY19" s="1141"/>
      <c r="ZZ19" s="1141"/>
      <c r="AAA19" s="1141"/>
      <c r="AAB19" s="1141"/>
      <c r="AAC19" s="1141"/>
      <c r="AAD19" s="1141"/>
      <c r="AAE19" s="1141"/>
      <c r="AAF19" s="1141"/>
      <c r="AAG19" s="1141"/>
      <c r="AAH19" s="1141"/>
      <c r="AAI19" s="1141"/>
      <c r="AAJ19" s="1141"/>
      <c r="AAK19" s="1141"/>
      <c r="AAL19" s="1141"/>
      <c r="AAM19" s="1141"/>
      <c r="AAN19" s="1141"/>
      <c r="AAO19" s="1141"/>
      <c r="AAP19" s="1141"/>
      <c r="AAQ19" s="1141"/>
      <c r="AAR19" s="1141"/>
      <c r="AAS19" s="1141"/>
      <c r="AAT19" s="1141"/>
      <c r="AAU19" s="1141"/>
      <c r="AAV19" s="1141"/>
      <c r="AAW19" s="1141"/>
      <c r="AAX19" s="1141"/>
      <c r="AAY19" s="1141"/>
      <c r="AAZ19" s="1141"/>
      <c r="ABA19" s="1141"/>
      <c r="ABB19" s="1141"/>
      <c r="ABC19" s="1141"/>
      <c r="ABD19" s="1141"/>
      <c r="ABE19" s="1141"/>
      <c r="ABF19" s="1141"/>
      <c r="ABG19" s="1141"/>
      <c r="ABH19" s="1141"/>
      <c r="ABI19" s="1141"/>
      <c r="ABJ19" s="1141"/>
      <c r="ABK19" s="1141"/>
      <c r="ABL19" s="1141"/>
      <c r="ABM19" s="1141"/>
      <c r="ABN19" s="1141"/>
      <c r="ABO19" s="1141"/>
      <c r="ABP19" s="1141"/>
      <c r="ABQ19" s="1141"/>
      <c r="ABR19" s="1141"/>
      <c r="ABS19" s="1141"/>
      <c r="ABT19" s="1141"/>
      <c r="ABU19" s="1141"/>
      <c r="ABV19" s="1141"/>
      <c r="ABW19" s="1141"/>
      <c r="ABX19" s="1141"/>
      <c r="ABY19" s="1141"/>
      <c r="ABZ19" s="1141"/>
      <c r="ACA19" s="1141"/>
      <c r="ACB19" s="1141"/>
      <c r="ACC19" s="1141"/>
      <c r="ACD19" s="1141"/>
      <c r="ACE19" s="1141"/>
      <c r="ACF19" s="1141"/>
      <c r="ACG19" s="1141"/>
      <c r="ACH19" s="1141"/>
      <c r="ACI19" s="1141"/>
      <c r="ACJ19" s="1141"/>
      <c r="ACK19" s="1141"/>
      <c r="ACL19" s="1141"/>
      <c r="ACM19" s="1141"/>
      <c r="ACN19" s="1141"/>
      <c r="ACO19" s="1141"/>
      <c r="ACP19" s="1141"/>
      <c r="ACQ19" s="1141"/>
      <c r="ACR19" s="1141"/>
      <c r="ACS19" s="1141"/>
      <c r="ACT19" s="1141"/>
      <c r="ACU19" s="1141"/>
      <c r="ACV19" s="1141"/>
      <c r="ACW19" s="1141"/>
      <c r="ACX19" s="1141"/>
      <c r="ACY19" s="1141"/>
      <c r="ACZ19" s="1141"/>
      <c r="ADA19" s="1141"/>
      <c r="ADB19" s="1141"/>
      <c r="ADC19" s="1141"/>
      <c r="ADD19" s="1141"/>
      <c r="ADE19" s="1141"/>
      <c r="ADF19" s="1141"/>
      <c r="ADG19" s="1141"/>
      <c r="ADH19" s="1141"/>
      <c r="ADI19" s="1141"/>
      <c r="ADJ19" s="1141"/>
      <c r="ADK19" s="1141"/>
      <c r="ADL19" s="1141"/>
      <c r="ADM19" s="1141"/>
      <c r="ADN19" s="1141"/>
      <c r="ADO19" s="1141"/>
      <c r="ADP19" s="1141"/>
      <c r="ADQ19" s="1141"/>
      <c r="ADR19" s="1141"/>
      <c r="ADS19" s="1141"/>
      <c r="ADT19" s="1141"/>
      <c r="ADU19" s="1141"/>
      <c r="ADV19" s="1141"/>
      <c r="ADW19" s="1141"/>
      <c r="ADX19" s="1141"/>
      <c r="ADY19" s="1141"/>
      <c r="ADZ19" s="1141"/>
      <c r="AEA19" s="1141"/>
      <c r="AEB19" s="1141"/>
      <c r="AEC19" s="1141"/>
      <c r="AED19" s="1141"/>
      <c r="AEE19" s="1141"/>
      <c r="AEF19" s="1141"/>
      <c r="AEG19" s="1141"/>
      <c r="AEH19" s="1141"/>
      <c r="AEI19" s="1141"/>
      <c r="AEJ19" s="1141"/>
      <c r="AEK19" s="1141"/>
      <c r="AEL19" s="1141"/>
      <c r="AEM19" s="1141"/>
      <c r="AEN19" s="1141"/>
      <c r="AEO19" s="1141"/>
      <c r="AEP19" s="1141"/>
      <c r="AEQ19" s="1141"/>
      <c r="AER19" s="1141"/>
      <c r="AES19" s="1141"/>
      <c r="AET19" s="1141"/>
      <c r="AEU19" s="1141"/>
      <c r="AEV19" s="1141"/>
      <c r="AEW19" s="1141"/>
      <c r="AEX19" s="1141"/>
      <c r="AEY19" s="1141"/>
      <c r="AEZ19" s="1141"/>
      <c r="AFA19" s="1141"/>
      <c r="AFB19" s="1141"/>
      <c r="AFC19" s="1141"/>
      <c r="AFD19" s="1141"/>
      <c r="AFE19" s="1141"/>
      <c r="AFF19" s="1141"/>
      <c r="AFG19" s="1141"/>
      <c r="AFH19" s="1141"/>
      <c r="AFI19" s="1141"/>
      <c r="AFJ19" s="1141"/>
      <c r="AFK19" s="1141"/>
      <c r="AFL19" s="1141"/>
      <c r="AFM19" s="1141"/>
      <c r="AFN19" s="1141"/>
      <c r="AFO19" s="1141"/>
      <c r="AFP19" s="1141"/>
      <c r="AFQ19" s="1141"/>
      <c r="AFR19" s="1141"/>
      <c r="AFS19" s="1141"/>
      <c r="AFT19" s="1141"/>
      <c r="AFU19" s="1141"/>
      <c r="AFV19" s="1141"/>
      <c r="AFW19" s="1141"/>
      <c r="AFX19" s="1141"/>
      <c r="AFY19" s="1141"/>
      <c r="AFZ19" s="1141"/>
      <c r="AGA19" s="1141"/>
      <c r="AGB19" s="1141"/>
      <c r="AGC19" s="1141"/>
      <c r="AGD19" s="1141"/>
      <c r="AGE19" s="1141"/>
      <c r="AGF19" s="1141"/>
      <c r="AGG19" s="1141"/>
      <c r="AGH19" s="1141"/>
      <c r="AGI19" s="1141"/>
      <c r="AGJ19" s="1141"/>
      <c r="AGK19" s="1141"/>
      <c r="AGL19" s="1141"/>
      <c r="AGM19" s="1141"/>
      <c r="AGN19" s="1141"/>
      <c r="AGO19" s="1141"/>
      <c r="AGP19" s="1141"/>
      <c r="AGQ19" s="1141"/>
      <c r="AGR19" s="1141"/>
      <c r="AGS19" s="1141"/>
      <c r="AGT19" s="1141"/>
      <c r="AGU19" s="1141"/>
      <c r="AGV19" s="1141"/>
      <c r="AGW19" s="1141"/>
      <c r="AGX19" s="1141"/>
      <c r="AGY19" s="1141"/>
      <c r="AGZ19" s="1141"/>
      <c r="AHA19" s="1141"/>
      <c r="AHB19" s="1141"/>
      <c r="AHC19" s="1141"/>
      <c r="AHD19" s="1141"/>
      <c r="AHE19" s="1141"/>
      <c r="AHF19" s="1141"/>
      <c r="AHG19" s="1141"/>
      <c r="AHH19" s="1141"/>
      <c r="AHI19" s="1141"/>
      <c r="AHJ19" s="1141"/>
      <c r="AHK19" s="1141"/>
      <c r="AHL19" s="1141"/>
      <c r="AHM19" s="1141"/>
      <c r="AHN19" s="1141"/>
      <c r="AHO19" s="1141"/>
      <c r="AHP19" s="1141"/>
      <c r="AHQ19" s="1141"/>
      <c r="AHR19" s="1141"/>
      <c r="AHS19" s="1141"/>
      <c r="AHT19" s="1141"/>
      <c r="AHU19" s="1141"/>
      <c r="AHV19" s="1141"/>
      <c r="AHW19" s="1141"/>
      <c r="AHX19" s="1141"/>
      <c r="AHY19" s="1141"/>
      <c r="AHZ19" s="1141"/>
      <c r="AIA19" s="1141"/>
      <c r="AIB19" s="1141"/>
      <c r="AIC19" s="1141"/>
      <c r="AID19" s="1141"/>
      <c r="AIE19" s="1141"/>
      <c r="AIF19" s="1141"/>
      <c r="AIG19" s="1141"/>
      <c r="AIH19" s="1141"/>
      <c r="AII19" s="1141"/>
      <c r="AIJ19" s="1141"/>
      <c r="AIK19" s="1141"/>
      <c r="AIL19" s="1141"/>
      <c r="AIM19" s="1141"/>
      <c r="AIN19" s="1141"/>
      <c r="AIO19" s="1141"/>
      <c r="AIP19" s="1141"/>
      <c r="AIQ19" s="1141"/>
      <c r="AIR19" s="1141"/>
      <c r="AIS19" s="1141"/>
      <c r="AIT19" s="1141"/>
      <c r="AIU19" s="1141"/>
      <c r="AIV19" s="1141"/>
      <c r="AIW19" s="1141"/>
      <c r="AIX19" s="1141"/>
      <c r="AIY19" s="1141"/>
      <c r="AIZ19" s="1141"/>
      <c r="AJA19" s="1141"/>
      <c r="AJB19" s="1141"/>
      <c r="AJC19" s="1141"/>
      <c r="AJD19" s="1141"/>
      <c r="AJE19" s="1141"/>
      <c r="AJF19" s="1141"/>
      <c r="AJG19" s="1141"/>
      <c r="AJH19" s="1141"/>
      <c r="AJI19" s="1141"/>
      <c r="AJJ19" s="1141"/>
      <c r="AJK19" s="1141"/>
      <c r="AJL19" s="1141"/>
      <c r="AJM19" s="1141"/>
      <c r="AJN19" s="1141"/>
      <c r="AJO19" s="1141"/>
      <c r="AJP19" s="1141"/>
      <c r="AJQ19" s="1141"/>
      <c r="AJR19" s="1141"/>
      <c r="AJS19" s="1141"/>
      <c r="AJT19" s="1141"/>
      <c r="AJU19" s="1141"/>
      <c r="AJV19" s="1141"/>
      <c r="AJW19" s="1141"/>
      <c r="AJX19" s="1141"/>
      <c r="AJY19" s="1141"/>
      <c r="AJZ19" s="1141"/>
      <c r="AKA19" s="1141"/>
      <c r="AKB19" s="1141"/>
      <c r="AKC19" s="1141"/>
      <c r="AKD19" s="1141"/>
      <c r="AKE19" s="1141"/>
      <c r="AKF19" s="1141"/>
      <c r="AKG19" s="1141"/>
      <c r="AKH19" s="1141"/>
      <c r="AKI19" s="1141"/>
      <c r="AKJ19" s="1141"/>
      <c r="AKK19" s="1141"/>
      <c r="AKL19" s="1141"/>
      <c r="AKM19" s="1141"/>
      <c r="AKN19" s="1141"/>
      <c r="AKO19" s="1141"/>
      <c r="AKP19" s="1141"/>
      <c r="AKQ19" s="1141"/>
      <c r="AKR19" s="1141"/>
      <c r="AKS19" s="1141"/>
      <c r="AKT19" s="1141"/>
      <c r="AKU19" s="1141"/>
      <c r="AKV19" s="1141"/>
      <c r="AKW19" s="1141"/>
      <c r="AKX19" s="1141"/>
      <c r="AKY19" s="1141"/>
      <c r="AKZ19" s="1141"/>
      <c r="ALA19" s="1141"/>
      <c r="ALB19" s="1141"/>
      <c r="ALC19" s="1141"/>
      <c r="ALD19" s="1141"/>
      <c r="ALE19" s="1141"/>
      <c r="ALF19" s="1141"/>
      <c r="ALG19" s="1141"/>
      <c r="ALH19" s="1141"/>
      <c r="ALI19" s="1141"/>
      <c r="ALJ19" s="1141"/>
      <c r="ALK19" s="1141"/>
      <c r="ALL19" s="1141"/>
      <c r="ALM19" s="1141"/>
      <c r="ALN19" s="1141"/>
      <c r="ALO19" s="1141"/>
      <c r="ALP19" s="1141"/>
      <c r="ALQ19" s="1141"/>
      <c r="ALR19" s="1141"/>
      <c r="ALS19" s="1141"/>
      <c r="ALT19" s="1141"/>
      <c r="ALU19" s="1141"/>
      <c r="ALV19" s="1141"/>
      <c r="ALW19" s="1141"/>
      <c r="ALX19" s="1141"/>
      <c r="ALY19" s="1141"/>
      <c r="ALZ19" s="1141"/>
      <c r="AMA19" s="1141"/>
      <c r="AMB19" s="1141"/>
      <c r="AMC19" s="1141"/>
      <c r="AMD19" s="1141"/>
      <c r="AME19" s="1141"/>
      <c r="AMF19" s="1141"/>
      <c r="AMG19" s="1141"/>
      <c r="AMH19" s="1141"/>
      <c r="AMI19" s="1141"/>
      <c r="AMJ19" s="1141"/>
      <c r="AMK19" s="1141"/>
      <c r="AML19" s="1141"/>
      <c r="AMM19" s="1141"/>
      <c r="AMN19" s="1141"/>
      <c r="AMO19" s="1141"/>
      <c r="AMP19" s="1141"/>
      <c r="AMQ19" s="1141"/>
      <c r="AMR19" s="1141"/>
      <c r="AMS19" s="1141"/>
      <c r="AMT19" s="1141"/>
      <c r="AMU19" s="1141"/>
      <c r="AMV19" s="1141"/>
      <c r="AMW19" s="1141"/>
      <c r="AMX19" s="1141"/>
      <c r="AMY19" s="1141"/>
      <c r="AMZ19" s="1141"/>
      <c r="ANA19" s="1141"/>
      <c r="ANB19" s="1141"/>
      <c r="ANC19" s="1141"/>
      <c r="AND19" s="1141"/>
      <c r="ANE19" s="1141"/>
      <c r="ANF19" s="1141"/>
      <c r="ANG19" s="1141"/>
      <c r="ANH19" s="1141"/>
      <c r="ANI19" s="1141"/>
      <c r="ANJ19" s="1141"/>
      <c r="ANK19" s="1141"/>
      <c r="ANL19" s="1141"/>
      <c r="ANM19" s="1141"/>
      <c r="ANN19" s="1141"/>
      <c r="ANO19" s="1141"/>
      <c r="ANP19" s="1141"/>
      <c r="ANQ19" s="1141"/>
      <c r="ANR19" s="1141"/>
      <c r="ANS19" s="1141"/>
      <c r="ANT19" s="1141"/>
      <c r="ANU19" s="1141"/>
      <c r="ANV19" s="1141"/>
      <c r="ANW19" s="1141"/>
      <c r="ANX19" s="1141"/>
      <c r="ANY19" s="1141"/>
      <c r="ANZ19" s="1141"/>
      <c r="AOA19" s="1141"/>
      <c r="AOB19" s="1141"/>
      <c r="AOC19" s="1141"/>
      <c r="AOD19" s="1141"/>
      <c r="AOE19" s="1141"/>
      <c r="AOF19" s="1141"/>
      <c r="AOG19" s="1141"/>
      <c r="AOH19" s="1141"/>
      <c r="AOI19" s="1141"/>
      <c r="AOJ19" s="1141"/>
      <c r="AOK19" s="1141"/>
      <c r="AOL19" s="1141"/>
      <c r="AOM19" s="1141"/>
      <c r="AON19" s="1141"/>
      <c r="AOO19" s="1141"/>
      <c r="AOP19" s="1141"/>
      <c r="AOQ19" s="1141"/>
      <c r="AOR19" s="1141"/>
      <c r="AOS19" s="1141"/>
      <c r="AOT19" s="1141"/>
      <c r="AOU19" s="1141"/>
      <c r="AOV19" s="1141"/>
      <c r="AOW19" s="1141"/>
      <c r="AOX19" s="1141"/>
      <c r="AOY19" s="1141"/>
      <c r="AOZ19" s="1141"/>
      <c r="APA19" s="1141"/>
      <c r="APB19" s="1141"/>
      <c r="APC19" s="1141"/>
      <c r="APD19" s="1141"/>
      <c r="APE19" s="1141"/>
      <c r="APF19" s="1141"/>
      <c r="APG19" s="1141"/>
      <c r="APH19" s="1141"/>
      <c r="API19" s="1141"/>
      <c r="APJ19" s="1141"/>
      <c r="APK19" s="1141"/>
      <c r="APL19" s="1141"/>
      <c r="APM19" s="1141"/>
      <c r="APN19" s="1141"/>
      <c r="APO19" s="1141"/>
      <c r="APP19" s="1141"/>
      <c r="APQ19" s="1141"/>
      <c r="APR19" s="1141"/>
      <c r="APS19" s="1141"/>
      <c r="APT19" s="1141"/>
      <c r="APU19" s="1141"/>
      <c r="APV19" s="1141"/>
      <c r="APW19" s="1141"/>
      <c r="APX19" s="1141"/>
      <c r="APY19" s="1141"/>
      <c r="APZ19" s="1141"/>
      <c r="AQA19" s="1141"/>
      <c r="AQB19" s="1141"/>
      <c r="AQC19" s="1141"/>
      <c r="AQD19" s="1141"/>
      <c r="AQE19" s="1141"/>
      <c r="AQF19" s="1141"/>
      <c r="AQG19" s="1141"/>
      <c r="AQH19" s="1141"/>
      <c r="AQI19" s="1141"/>
      <c r="AQJ19" s="1141"/>
      <c r="AQK19" s="1141"/>
      <c r="AQL19" s="1141"/>
      <c r="AQM19" s="1141"/>
      <c r="AQN19" s="1141"/>
      <c r="AQO19" s="1141"/>
      <c r="AQP19" s="1141"/>
      <c r="AQQ19" s="1141"/>
      <c r="AQR19" s="1141"/>
      <c r="AQS19" s="1141"/>
      <c r="AQT19" s="1141"/>
      <c r="AQU19" s="1141"/>
      <c r="AQV19" s="1141"/>
      <c r="AQW19" s="1141"/>
      <c r="AQX19" s="1141"/>
      <c r="AQY19" s="1141"/>
      <c r="AQZ19" s="1141"/>
      <c r="ARA19" s="1141"/>
      <c r="ARB19" s="1141"/>
      <c r="ARC19" s="1141"/>
      <c r="ARD19" s="1141"/>
      <c r="ARE19" s="1141"/>
      <c r="ARF19" s="1141"/>
      <c r="ARG19" s="1141"/>
      <c r="ARH19" s="1141"/>
      <c r="ARI19" s="1141"/>
      <c r="ARJ19" s="1141"/>
      <c r="ARK19" s="1141"/>
      <c r="ARL19" s="1141"/>
      <c r="ARM19" s="1141"/>
      <c r="ARN19" s="1141"/>
      <c r="ARO19" s="1141"/>
      <c r="ARP19" s="1141"/>
      <c r="ARQ19" s="1141"/>
      <c r="ARR19" s="1141"/>
      <c r="ARS19" s="1141"/>
      <c r="ART19" s="1141"/>
      <c r="ARU19" s="1141"/>
      <c r="ARV19" s="1141"/>
      <c r="ARW19" s="1141"/>
      <c r="ARX19" s="1141"/>
      <c r="ARY19" s="1141"/>
      <c r="ARZ19" s="1141"/>
      <c r="ASA19" s="1141"/>
      <c r="ASB19" s="1141"/>
      <c r="ASC19" s="1141"/>
      <c r="ASD19" s="1141"/>
      <c r="ASE19" s="1141"/>
      <c r="ASF19" s="1141"/>
      <c r="ASG19" s="1141"/>
      <c r="ASH19" s="1141"/>
      <c r="ASI19" s="1141"/>
      <c r="ASJ19" s="1141"/>
      <c r="ASK19" s="1141"/>
      <c r="ASL19" s="1141"/>
      <c r="ASM19" s="1141"/>
      <c r="ASN19" s="1141"/>
      <c r="ASO19" s="1141"/>
      <c r="ASP19" s="1141"/>
      <c r="ASQ19" s="1141"/>
      <c r="ASR19" s="1141"/>
      <c r="ASS19" s="1141"/>
      <c r="AST19" s="1141"/>
      <c r="ASU19" s="1141"/>
      <c r="ASV19" s="1141"/>
      <c r="ASW19" s="1141"/>
      <c r="ASX19" s="1141"/>
      <c r="ASY19" s="1141"/>
      <c r="ASZ19" s="1141"/>
      <c r="ATA19" s="1141"/>
      <c r="ATB19" s="1141"/>
      <c r="ATC19" s="1141"/>
      <c r="ATD19" s="1141"/>
      <c r="ATE19" s="1141"/>
      <c r="ATF19" s="1141"/>
      <c r="ATG19" s="1141"/>
      <c r="ATH19" s="1141"/>
      <c r="ATI19" s="1141"/>
      <c r="ATJ19" s="1141"/>
      <c r="ATK19" s="1141"/>
      <c r="ATL19" s="1141"/>
      <c r="ATM19" s="1141"/>
      <c r="ATN19" s="1141"/>
      <c r="ATO19" s="1141"/>
      <c r="ATP19" s="1141"/>
      <c r="ATQ19" s="1141"/>
      <c r="ATR19" s="1141"/>
      <c r="ATS19" s="1141"/>
      <c r="ATT19" s="1141"/>
      <c r="ATU19" s="1141"/>
      <c r="ATV19" s="1141"/>
      <c r="ATW19" s="1141"/>
      <c r="ATX19" s="1141"/>
      <c r="ATY19" s="1141"/>
      <c r="ATZ19" s="1141"/>
      <c r="AUA19" s="1141"/>
      <c r="AUB19" s="1141"/>
      <c r="AUC19" s="1141"/>
      <c r="AUD19" s="1141"/>
      <c r="AUE19" s="1141"/>
      <c r="AUF19" s="1141"/>
      <c r="AUG19" s="1141"/>
      <c r="AUH19" s="1141"/>
      <c r="AUI19" s="1141"/>
      <c r="AUJ19" s="1141"/>
      <c r="AUK19" s="1141"/>
      <c r="AUL19" s="1141"/>
      <c r="AUM19" s="1141"/>
      <c r="AUN19" s="1141"/>
      <c r="AUO19" s="1141"/>
      <c r="AUP19" s="1141"/>
      <c r="AUQ19" s="1141"/>
      <c r="AUR19" s="1141"/>
      <c r="AUS19" s="1141"/>
      <c r="AUT19" s="1141"/>
      <c r="AUU19" s="1141"/>
      <c r="AUV19" s="1141"/>
      <c r="AUW19" s="1141"/>
      <c r="AUX19" s="1141"/>
      <c r="AUY19" s="1141"/>
      <c r="AUZ19" s="1141"/>
      <c r="AVA19" s="1141"/>
      <c r="AVB19" s="1141"/>
      <c r="AVC19" s="1141"/>
      <c r="AVD19" s="1141"/>
      <c r="AVE19" s="1141"/>
      <c r="AVF19" s="1141"/>
      <c r="AVG19" s="1141"/>
      <c r="AVH19" s="1141"/>
      <c r="AVI19" s="1141"/>
      <c r="AVJ19" s="1141"/>
      <c r="AVK19" s="1141"/>
      <c r="AVL19" s="1141"/>
      <c r="AVM19" s="1141"/>
      <c r="AVN19" s="1141"/>
      <c r="AVO19" s="1141"/>
      <c r="AVP19" s="1141"/>
      <c r="AVQ19" s="1141"/>
      <c r="AVR19" s="1141"/>
      <c r="AVS19" s="1141"/>
      <c r="AVT19" s="1141"/>
      <c r="AVU19" s="1141"/>
      <c r="AVV19" s="1141"/>
      <c r="AVW19" s="1141"/>
      <c r="AVX19" s="1141"/>
      <c r="AVY19" s="1141"/>
      <c r="AVZ19" s="1141"/>
      <c r="AWA19" s="1141"/>
      <c r="AWB19" s="1141"/>
      <c r="AWC19" s="1141"/>
      <c r="AWD19" s="1141"/>
      <c r="AWE19" s="1141"/>
      <c r="AWF19" s="1141"/>
      <c r="AWG19" s="1141"/>
      <c r="AWH19" s="1141"/>
      <c r="AWI19" s="1141"/>
      <c r="AWJ19" s="1141"/>
      <c r="AWK19" s="1141"/>
      <c r="AWL19" s="1141"/>
      <c r="AWM19" s="1141"/>
      <c r="AWN19" s="1141"/>
      <c r="AWO19" s="1141"/>
      <c r="AWP19" s="1141"/>
      <c r="AWQ19" s="1141"/>
      <c r="AWR19" s="1141"/>
      <c r="AWS19" s="1141"/>
      <c r="AWT19" s="1141"/>
      <c r="AWU19" s="1141"/>
      <c r="AWV19" s="1141"/>
      <c r="AWW19" s="1141"/>
      <c r="AWX19" s="1141"/>
      <c r="AWY19" s="1141"/>
      <c r="AWZ19" s="1141"/>
      <c r="AXA19" s="1141"/>
      <c r="AXB19" s="1141"/>
      <c r="AXC19" s="1141"/>
      <c r="AXD19" s="1141"/>
      <c r="AXE19" s="1141"/>
      <c r="AXF19" s="1141"/>
      <c r="AXG19" s="1141"/>
      <c r="AXH19" s="1141"/>
      <c r="AXI19" s="1141"/>
      <c r="AXJ19" s="1141"/>
      <c r="AXK19" s="1141"/>
      <c r="AXL19" s="1141"/>
      <c r="AXM19" s="1141"/>
      <c r="AXN19" s="1141"/>
      <c r="AXO19" s="1141"/>
      <c r="AXP19" s="1141"/>
      <c r="AXQ19" s="1141"/>
      <c r="AXR19" s="1141"/>
      <c r="AXS19" s="1141"/>
      <c r="AXT19" s="1141"/>
      <c r="AXU19" s="1141"/>
      <c r="AXV19" s="1141"/>
      <c r="AXW19" s="1141"/>
      <c r="AXX19" s="1141"/>
      <c r="AXY19" s="1141"/>
      <c r="AXZ19" s="1141"/>
      <c r="AYA19" s="1141"/>
      <c r="AYB19" s="1141"/>
      <c r="AYC19" s="1141"/>
      <c r="AYD19" s="1141"/>
      <c r="AYE19" s="1141"/>
      <c r="AYF19" s="1141"/>
      <c r="AYG19" s="1141"/>
      <c r="AYH19" s="1141"/>
      <c r="AYI19" s="1141"/>
      <c r="AYJ19" s="1141"/>
      <c r="AYK19" s="1141"/>
      <c r="AYL19" s="1141"/>
      <c r="AYM19" s="1141"/>
      <c r="AYN19" s="1141"/>
      <c r="AYO19" s="1141"/>
      <c r="AYP19" s="1141"/>
      <c r="AYQ19" s="1141"/>
      <c r="AYR19" s="1141"/>
      <c r="AYS19" s="1141"/>
      <c r="AYT19" s="1141"/>
      <c r="AYU19" s="1141"/>
      <c r="AYV19" s="1141"/>
      <c r="AYW19" s="1141"/>
      <c r="AYX19" s="1141"/>
      <c r="AYY19" s="1141"/>
      <c r="AYZ19" s="1141"/>
      <c r="AZA19" s="1141"/>
      <c r="AZB19" s="1141"/>
      <c r="AZC19" s="1141"/>
      <c r="AZD19" s="1141"/>
      <c r="AZE19" s="1141"/>
      <c r="AZF19" s="1141"/>
      <c r="AZG19" s="1141"/>
      <c r="AZH19" s="1141"/>
      <c r="AZI19" s="1141"/>
      <c r="AZJ19" s="1141"/>
      <c r="AZK19" s="1141"/>
      <c r="AZL19" s="1141"/>
      <c r="AZM19" s="1141"/>
      <c r="AZN19" s="1141"/>
      <c r="AZO19" s="1141"/>
      <c r="AZP19" s="1141"/>
      <c r="AZQ19" s="1141"/>
      <c r="AZR19" s="1141"/>
      <c r="AZS19" s="1141"/>
      <c r="AZT19" s="1141"/>
      <c r="AZU19" s="1141"/>
      <c r="AZV19" s="1141"/>
      <c r="AZW19" s="1141"/>
      <c r="AZX19" s="1141"/>
      <c r="AZY19" s="1141"/>
      <c r="AZZ19" s="1141"/>
      <c r="BAA19" s="1141"/>
      <c r="BAB19" s="1141"/>
      <c r="BAC19" s="1141"/>
      <c r="BAD19" s="1141"/>
      <c r="BAE19" s="1141"/>
      <c r="BAF19" s="1141"/>
      <c r="BAG19" s="1141"/>
      <c r="BAH19" s="1141"/>
      <c r="BAI19" s="1141"/>
      <c r="BAJ19" s="1141"/>
      <c r="BAK19" s="1141"/>
      <c r="BAL19" s="1141"/>
      <c r="BAM19" s="1141"/>
      <c r="BAN19" s="1141"/>
      <c r="BAO19" s="1141"/>
      <c r="BAP19" s="1141"/>
      <c r="BAQ19" s="1141"/>
      <c r="BAR19" s="1141"/>
      <c r="BAS19" s="1141"/>
      <c r="BAT19" s="1141"/>
      <c r="BAU19" s="1141"/>
      <c r="BAV19" s="1141"/>
      <c r="BAW19" s="1141"/>
      <c r="BAX19" s="1141"/>
      <c r="BAY19" s="1141"/>
      <c r="BAZ19" s="1141"/>
      <c r="BBA19" s="1141"/>
      <c r="BBB19" s="1141"/>
      <c r="BBC19" s="1141"/>
      <c r="BBD19" s="1141"/>
      <c r="BBE19" s="1141"/>
      <c r="BBF19" s="1141"/>
      <c r="BBG19" s="1141"/>
      <c r="BBH19" s="1141"/>
      <c r="BBI19" s="1141"/>
      <c r="BBJ19" s="1141"/>
      <c r="BBK19" s="1141"/>
      <c r="BBL19" s="1141"/>
      <c r="BBM19" s="1141"/>
      <c r="BBN19" s="1141"/>
      <c r="BBO19" s="1141"/>
      <c r="BBP19" s="1141"/>
      <c r="BBQ19" s="1141"/>
      <c r="BBR19" s="1141"/>
      <c r="BBS19" s="1141"/>
      <c r="BBT19" s="1141"/>
      <c r="BBU19" s="1141"/>
      <c r="BBV19" s="1141"/>
      <c r="BBW19" s="1141"/>
      <c r="BBX19" s="1141"/>
      <c r="BBY19" s="1141"/>
      <c r="BBZ19" s="1141"/>
      <c r="BCA19" s="1141"/>
      <c r="BCB19" s="1141"/>
      <c r="BCC19" s="1141"/>
      <c r="BCD19" s="1141"/>
      <c r="BCE19" s="1141"/>
      <c r="BCF19" s="1141"/>
      <c r="BCG19" s="1141"/>
      <c r="BCH19" s="1141"/>
      <c r="BCI19" s="1141"/>
      <c r="BCJ19" s="1141"/>
      <c r="BCK19" s="1141"/>
      <c r="BCL19" s="1141"/>
      <c r="BCM19" s="1141"/>
      <c r="BCN19" s="1141"/>
      <c r="BCO19" s="1141"/>
      <c r="BCP19" s="1141"/>
      <c r="BCQ19" s="1141"/>
      <c r="BCR19" s="1141"/>
      <c r="BCS19" s="1141"/>
      <c r="BCT19" s="1141"/>
      <c r="BCU19" s="1141"/>
      <c r="BCV19" s="1141"/>
      <c r="BCW19" s="1141"/>
      <c r="BCX19" s="1141"/>
      <c r="BCY19" s="1141"/>
      <c r="BCZ19" s="1141"/>
      <c r="BDA19" s="1141"/>
      <c r="BDB19" s="1141"/>
      <c r="BDC19" s="1141"/>
      <c r="BDD19" s="1141"/>
      <c r="BDE19" s="1141"/>
      <c r="BDF19" s="1141"/>
      <c r="BDG19" s="1141"/>
      <c r="BDH19" s="1141"/>
      <c r="BDI19" s="1141"/>
      <c r="BDJ19" s="1141"/>
      <c r="BDK19" s="1141"/>
      <c r="BDL19" s="1141"/>
      <c r="BDM19" s="1141"/>
      <c r="BDN19" s="1141"/>
      <c r="BDO19" s="1141"/>
      <c r="BDP19" s="1141"/>
      <c r="BDQ19" s="1141"/>
      <c r="BDR19" s="1141"/>
      <c r="BDS19" s="1141"/>
      <c r="BDT19" s="1141"/>
      <c r="BDU19" s="1141"/>
      <c r="BDV19" s="1141"/>
      <c r="BDW19" s="1141"/>
      <c r="BDX19" s="1141"/>
      <c r="BDY19" s="1141"/>
      <c r="BDZ19" s="1141"/>
      <c r="BEA19" s="1141"/>
      <c r="BEB19" s="1141"/>
      <c r="BEC19" s="1141"/>
      <c r="BED19" s="1141"/>
      <c r="BEE19" s="1141"/>
      <c r="BEF19" s="1141"/>
      <c r="BEG19" s="1141"/>
      <c r="BEH19" s="1141"/>
      <c r="BEI19" s="1141"/>
      <c r="BEJ19" s="1141"/>
      <c r="BEK19" s="1141"/>
      <c r="BEL19" s="1141"/>
      <c r="BEM19" s="1141"/>
      <c r="BEN19" s="1141"/>
      <c r="BEO19" s="1141"/>
      <c r="BEP19" s="1141"/>
      <c r="BEQ19" s="1141"/>
      <c r="BER19" s="1141"/>
      <c r="BES19" s="1141"/>
      <c r="BET19" s="1141"/>
      <c r="BEU19" s="1141"/>
      <c r="BEV19" s="1141"/>
      <c r="BEW19" s="1141"/>
      <c r="BEX19" s="1141"/>
      <c r="BEY19" s="1141"/>
      <c r="BEZ19" s="1141"/>
      <c r="BFA19" s="1141"/>
      <c r="BFB19" s="1141"/>
      <c r="BFC19" s="1141"/>
      <c r="BFD19" s="1141"/>
      <c r="BFE19" s="1141"/>
      <c r="BFF19" s="1141"/>
      <c r="BFG19" s="1141"/>
      <c r="BFH19" s="1141"/>
      <c r="BFI19" s="1141"/>
      <c r="BFJ19" s="1141"/>
      <c r="BFK19" s="1141"/>
      <c r="BFL19" s="1141"/>
      <c r="BFM19" s="1141"/>
      <c r="BFN19" s="1141"/>
      <c r="BFO19" s="1141"/>
      <c r="BFP19" s="1141"/>
      <c r="BFQ19" s="1141"/>
      <c r="BFR19" s="1141"/>
      <c r="BFS19" s="1141"/>
      <c r="BFT19" s="1141"/>
      <c r="BFU19" s="1141"/>
      <c r="BFV19" s="1141"/>
      <c r="BFW19" s="1141"/>
      <c r="BFX19" s="1141"/>
      <c r="BFY19" s="1141"/>
      <c r="BFZ19" s="1141"/>
      <c r="BGA19" s="1141"/>
      <c r="BGB19" s="1141"/>
      <c r="BGC19" s="1141"/>
      <c r="BGD19" s="1141"/>
      <c r="BGE19" s="1141"/>
      <c r="BGF19" s="1141"/>
      <c r="BGG19" s="1141"/>
      <c r="BGH19" s="1141"/>
      <c r="BGI19" s="1141"/>
      <c r="BGJ19" s="1141"/>
      <c r="BGK19" s="1141"/>
      <c r="BGL19" s="1141"/>
      <c r="BGM19" s="1141"/>
      <c r="BGN19" s="1141"/>
      <c r="BGO19" s="1141"/>
      <c r="BGP19" s="1141"/>
      <c r="BGQ19" s="1141"/>
      <c r="BGR19" s="1141"/>
      <c r="BGS19" s="1141"/>
      <c r="BGT19" s="1141"/>
      <c r="BGU19" s="1141"/>
      <c r="BGV19" s="1141"/>
      <c r="BGW19" s="1141"/>
      <c r="BGX19" s="1141"/>
      <c r="BGY19" s="1141"/>
      <c r="BGZ19" s="1141"/>
      <c r="BHA19" s="1141"/>
      <c r="BHB19" s="1141"/>
      <c r="BHC19" s="1141"/>
      <c r="BHD19" s="1141"/>
      <c r="BHE19" s="1141"/>
      <c r="BHF19" s="1141"/>
      <c r="BHG19" s="1141"/>
      <c r="BHH19" s="1141"/>
      <c r="BHI19" s="1141"/>
      <c r="BHJ19" s="1141"/>
      <c r="BHK19" s="1141"/>
      <c r="BHL19" s="1141"/>
      <c r="BHM19" s="1141"/>
      <c r="BHN19" s="1141"/>
      <c r="BHO19" s="1141"/>
      <c r="BHP19" s="1141"/>
      <c r="BHQ19" s="1141"/>
      <c r="BHR19" s="1141"/>
      <c r="BHS19" s="1141"/>
      <c r="BHT19" s="1141"/>
      <c r="BHU19" s="1141"/>
      <c r="BHV19" s="1141"/>
      <c r="BHW19" s="1141"/>
      <c r="BHX19" s="1141"/>
      <c r="BHY19" s="1141"/>
      <c r="BHZ19" s="1141"/>
      <c r="BIA19" s="1141"/>
      <c r="BIB19" s="1141"/>
      <c r="BIC19" s="1141"/>
      <c r="BID19" s="1141"/>
      <c r="BIE19" s="1141"/>
      <c r="BIF19" s="1141"/>
      <c r="BIG19" s="1141"/>
      <c r="BIH19" s="1141"/>
      <c r="BII19" s="1141"/>
      <c r="BIJ19" s="1141"/>
      <c r="BIK19" s="1141"/>
      <c r="BIL19" s="1141"/>
      <c r="BIM19" s="1141"/>
      <c r="BIN19" s="1141"/>
      <c r="BIO19" s="1141"/>
      <c r="BIP19" s="1141"/>
      <c r="BIQ19" s="1141"/>
      <c r="BIR19" s="1141"/>
      <c r="BIS19" s="1141"/>
      <c r="BIT19" s="1141"/>
      <c r="BIU19" s="1141"/>
      <c r="BIV19" s="1141"/>
      <c r="BIW19" s="1141"/>
      <c r="BIX19" s="1141"/>
      <c r="BIY19" s="1141"/>
      <c r="BIZ19" s="1141"/>
      <c r="BJA19" s="1141"/>
      <c r="BJB19" s="1141"/>
      <c r="BJC19" s="1141"/>
      <c r="BJD19" s="1141"/>
      <c r="BJE19" s="1141"/>
      <c r="BJF19" s="1141"/>
      <c r="BJG19" s="1141"/>
      <c r="BJH19" s="1141"/>
      <c r="BJI19" s="1141"/>
      <c r="BJJ19" s="1141"/>
      <c r="BJK19" s="1141"/>
      <c r="BJL19" s="1141"/>
      <c r="BJM19" s="1141"/>
      <c r="BJN19" s="1141"/>
      <c r="BJO19" s="1141"/>
      <c r="BJP19" s="1141"/>
      <c r="BJQ19" s="1141"/>
      <c r="BJR19" s="1141"/>
      <c r="BJS19" s="1141"/>
      <c r="BJT19" s="1141"/>
      <c r="BJU19" s="1141"/>
      <c r="BJV19" s="1141"/>
      <c r="BJW19" s="1141"/>
      <c r="BJX19" s="1141"/>
      <c r="BJY19" s="1141"/>
      <c r="BJZ19" s="1141"/>
      <c r="BKA19" s="1141"/>
      <c r="BKB19" s="1141"/>
      <c r="BKC19" s="1141"/>
      <c r="BKD19" s="1141"/>
      <c r="BKE19" s="1141"/>
      <c r="BKF19" s="1141"/>
      <c r="BKG19" s="1141"/>
      <c r="BKH19" s="1141"/>
      <c r="BKI19" s="1141"/>
      <c r="BKJ19" s="1141"/>
      <c r="BKK19" s="1141"/>
      <c r="BKL19" s="1141"/>
      <c r="BKM19" s="1141"/>
      <c r="BKN19" s="1141"/>
      <c r="BKO19" s="1141"/>
      <c r="BKP19" s="1141"/>
      <c r="BKQ19" s="1141"/>
      <c r="BKR19" s="1141"/>
      <c r="BKS19" s="1141"/>
      <c r="BKT19" s="1141"/>
      <c r="BKU19" s="1141"/>
      <c r="BKV19" s="1141"/>
      <c r="BKW19" s="1141"/>
      <c r="BKX19" s="1141"/>
      <c r="BKY19" s="1141"/>
      <c r="BKZ19" s="1141"/>
      <c r="BLA19" s="1141"/>
      <c r="BLB19" s="1141"/>
      <c r="BLC19" s="1141"/>
      <c r="BLD19" s="1141"/>
      <c r="BLE19" s="1141"/>
      <c r="BLF19" s="1141"/>
      <c r="BLG19" s="1141"/>
      <c r="BLH19" s="1141"/>
      <c r="BLI19" s="1141"/>
      <c r="BLJ19" s="1141"/>
      <c r="BLK19" s="1141"/>
      <c r="BLL19" s="1141"/>
      <c r="BLM19" s="1141"/>
      <c r="BLN19" s="1141"/>
      <c r="BLO19" s="1141"/>
      <c r="BLP19" s="1141"/>
      <c r="BLQ19" s="1141"/>
      <c r="BLR19" s="1141"/>
      <c r="BLS19" s="1141"/>
      <c r="BLT19" s="1141"/>
      <c r="BLU19" s="1141"/>
      <c r="BLV19" s="1141"/>
      <c r="BLW19" s="1141"/>
      <c r="BLX19" s="1141"/>
      <c r="BLY19" s="1141"/>
      <c r="BLZ19" s="1141"/>
      <c r="BMA19" s="1141"/>
      <c r="BMB19" s="1141"/>
      <c r="BMC19" s="1141"/>
      <c r="BMD19" s="1141"/>
      <c r="BME19" s="1141"/>
      <c r="BMF19" s="1141"/>
      <c r="BMG19" s="1141"/>
      <c r="BMH19" s="1141"/>
      <c r="BMI19" s="1141"/>
      <c r="BMJ19" s="1141"/>
      <c r="BMK19" s="1141"/>
      <c r="BML19" s="1141"/>
      <c r="BMM19" s="1141"/>
      <c r="BMN19" s="1141"/>
      <c r="BMO19" s="1141"/>
      <c r="BMP19" s="1141"/>
      <c r="BMQ19" s="1141"/>
      <c r="BMR19" s="1141"/>
      <c r="BMS19" s="1141"/>
      <c r="BMT19" s="1141"/>
      <c r="BMU19" s="1141"/>
      <c r="BMV19" s="1141"/>
      <c r="BMW19" s="1141"/>
      <c r="BMX19" s="1141"/>
      <c r="BMY19" s="1141"/>
      <c r="BMZ19" s="1141"/>
      <c r="BNA19" s="1141"/>
      <c r="BNB19" s="1141"/>
      <c r="BNC19" s="1141"/>
      <c r="BND19" s="1141"/>
      <c r="BNE19" s="1141"/>
      <c r="BNF19" s="1141"/>
      <c r="BNG19" s="1141"/>
      <c r="BNH19" s="1141"/>
      <c r="BNI19" s="1141"/>
      <c r="BNJ19" s="1141"/>
      <c r="BNK19" s="1141"/>
      <c r="BNL19" s="1141"/>
      <c r="BNM19" s="1141"/>
      <c r="BNN19" s="1141"/>
      <c r="BNO19" s="1141"/>
      <c r="BNP19" s="1141"/>
      <c r="BNQ19" s="1141"/>
      <c r="BNR19" s="1141"/>
      <c r="BNS19" s="1141"/>
      <c r="BNT19" s="1141"/>
      <c r="BNU19" s="1141"/>
      <c r="BNV19" s="1141"/>
      <c r="BNW19" s="1141"/>
      <c r="BNX19" s="1141"/>
      <c r="BNY19" s="1141"/>
      <c r="BNZ19" s="1141"/>
      <c r="BOA19" s="1141"/>
      <c r="BOB19" s="1141"/>
      <c r="BOC19" s="1141"/>
      <c r="BOD19" s="1141"/>
      <c r="BOE19" s="1141"/>
      <c r="BOF19" s="1141"/>
      <c r="BOG19" s="1141"/>
      <c r="BOH19" s="1141"/>
      <c r="BOI19" s="1141"/>
      <c r="BOJ19" s="1141"/>
      <c r="BOK19" s="1141"/>
      <c r="BOL19" s="1141"/>
      <c r="BOM19" s="1141"/>
      <c r="BON19" s="1141"/>
      <c r="BOO19" s="1141"/>
      <c r="BOP19" s="1141"/>
      <c r="BOQ19" s="1141"/>
      <c r="BOR19" s="1141"/>
      <c r="BOS19" s="1141"/>
      <c r="BOT19" s="1141"/>
      <c r="BOU19" s="1141"/>
      <c r="BOV19" s="1141"/>
      <c r="BOW19" s="1141"/>
      <c r="BOX19" s="1141"/>
      <c r="BOY19" s="1141"/>
      <c r="BOZ19" s="1141"/>
      <c r="BPA19" s="1141"/>
      <c r="BPB19" s="1141"/>
      <c r="BPC19" s="1141"/>
      <c r="BPD19" s="1141"/>
      <c r="BPE19" s="1141"/>
      <c r="BPF19" s="1141"/>
      <c r="BPG19" s="1141"/>
      <c r="BPH19" s="1141"/>
      <c r="BPI19" s="1141"/>
      <c r="BPJ19" s="1141"/>
      <c r="BPK19" s="1141"/>
      <c r="BPL19" s="1141"/>
      <c r="BPM19" s="1141"/>
      <c r="BPN19" s="1141"/>
      <c r="BPO19" s="1141"/>
      <c r="BPP19" s="1141"/>
      <c r="BPQ19" s="1141"/>
      <c r="BPR19" s="1141"/>
      <c r="BPS19" s="1141"/>
      <c r="BPT19" s="1141"/>
      <c r="BPU19" s="1141"/>
      <c r="BPV19" s="1141"/>
      <c r="BPW19" s="1141"/>
      <c r="BPX19" s="1141"/>
      <c r="BPY19" s="1141"/>
      <c r="BPZ19" s="1141"/>
      <c r="BQA19" s="1141"/>
      <c r="BQB19" s="1141"/>
      <c r="BQC19" s="1141"/>
      <c r="BQD19" s="1141"/>
      <c r="BQE19" s="1141"/>
      <c r="BQF19" s="1141"/>
      <c r="BQG19" s="1141"/>
      <c r="BQH19" s="1141"/>
      <c r="BQI19" s="1141"/>
      <c r="BQJ19" s="1141"/>
      <c r="BQK19" s="1141"/>
      <c r="BQL19" s="1141"/>
      <c r="BQM19" s="1141"/>
      <c r="BQN19" s="1141"/>
      <c r="BQO19" s="1141"/>
      <c r="BQP19" s="1141"/>
      <c r="BQQ19" s="1141"/>
      <c r="BQR19" s="1141"/>
      <c r="BQS19" s="1141"/>
      <c r="BQT19" s="1141"/>
      <c r="BQU19" s="1141"/>
      <c r="BQV19" s="1141"/>
      <c r="BQW19" s="1141"/>
      <c r="BQX19" s="1141"/>
      <c r="BQY19" s="1141"/>
      <c r="BQZ19" s="1141"/>
      <c r="BRA19" s="1141"/>
      <c r="BRB19" s="1141"/>
      <c r="BRC19" s="1141"/>
      <c r="BRD19" s="1141"/>
      <c r="BRE19" s="1141"/>
      <c r="BRF19" s="1141"/>
      <c r="BRG19" s="1141"/>
      <c r="BRH19" s="1141"/>
      <c r="BRI19" s="1141"/>
      <c r="BRJ19" s="1141"/>
      <c r="BRK19" s="1141"/>
      <c r="BRL19" s="1141"/>
      <c r="BRM19" s="1141"/>
      <c r="BRN19" s="1141"/>
      <c r="BRO19" s="1141"/>
      <c r="BRP19" s="1141"/>
      <c r="BRQ19" s="1141"/>
      <c r="BRR19" s="1141"/>
      <c r="BRS19" s="1141"/>
      <c r="BRT19" s="1141"/>
      <c r="BRU19" s="1141"/>
      <c r="BRV19" s="1141"/>
      <c r="BRW19" s="1141"/>
      <c r="BRX19" s="1141"/>
      <c r="BRY19" s="1141"/>
      <c r="BRZ19" s="1141"/>
      <c r="BSA19" s="1141"/>
      <c r="BSB19" s="1141"/>
      <c r="BSC19" s="1141"/>
      <c r="BSD19" s="1141"/>
      <c r="BSE19" s="1141"/>
      <c r="BSF19" s="1141"/>
      <c r="BSG19" s="1141"/>
      <c r="BSH19" s="1141"/>
      <c r="BSI19" s="1141"/>
      <c r="BSJ19" s="1141"/>
      <c r="BSK19" s="1141"/>
      <c r="BSL19" s="1141"/>
      <c r="BSM19" s="1141"/>
      <c r="BSN19" s="1141"/>
      <c r="BSO19" s="1141"/>
      <c r="BSP19" s="1141"/>
      <c r="BSQ19" s="1141"/>
      <c r="BSR19" s="1141"/>
      <c r="BSS19" s="1141"/>
      <c r="BST19" s="1141"/>
      <c r="BSU19" s="1141"/>
      <c r="BSV19" s="1141"/>
      <c r="BSW19" s="1141"/>
      <c r="BSX19" s="1141"/>
      <c r="BSY19" s="1141"/>
      <c r="BSZ19" s="1141"/>
      <c r="BTA19" s="1141"/>
      <c r="BTB19" s="1141"/>
      <c r="BTC19" s="1141"/>
      <c r="BTD19" s="1141"/>
      <c r="BTE19" s="1141"/>
      <c r="BTF19" s="1141"/>
      <c r="BTG19" s="1141"/>
      <c r="BTH19" s="1141"/>
      <c r="BTI19" s="1141"/>
    </row>
    <row r="20" spans="1:1881" ht="89.25" customHeight="1" thickBot="1" x14ac:dyDescent="0.35">
      <c r="A20" s="108">
        <v>335</v>
      </c>
      <c r="B20" s="593" t="s">
        <v>56</v>
      </c>
      <c r="C20" s="635" t="s">
        <v>129</v>
      </c>
      <c r="D20" s="708" t="s">
        <v>1144</v>
      </c>
      <c r="E20" s="669" t="e">
        <f>HLOOKUP($D$2,'2020 Data(H)'!$C$1:$CZ$426,101,FALSE)</f>
        <v>#N/A</v>
      </c>
      <c r="F20" s="295">
        <v>0</v>
      </c>
      <c r="G20" s="730">
        <f>IF(F20&lt;0,"Error: Enter as positive.",)</f>
        <v>0</v>
      </c>
      <c r="H20" s="17"/>
      <c r="I20" s="373"/>
      <c r="J20" s="575"/>
      <c r="L20" s="704"/>
      <c r="Q20" s="295">
        <v>0</v>
      </c>
      <c r="Z20" s="108"/>
      <c r="AA20" s="108"/>
      <c r="AB20" s="108"/>
      <c r="AC20" s="108"/>
      <c r="AD20" s="108"/>
      <c r="AE20" s="108"/>
      <c r="AF20" s="108"/>
      <c r="AG20" s="108"/>
      <c r="AH20" s="108"/>
      <c r="AI20" s="108"/>
      <c r="AJ20" s="108"/>
      <c r="AK20" s="108"/>
      <c r="AL20" s="108"/>
      <c r="AM20" s="108"/>
      <c r="AN20" s="108"/>
      <c r="AO20" s="108"/>
      <c r="AP20" s="108"/>
      <c r="AQ20" s="108"/>
      <c r="AR20" s="108"/>
    </row>
    <row r="21" spans="1:1881" ht="48.75" customHeight="1" thickBot="1" x14ac:dyDescent="0.35">
      <c r="A21" s="108">
        <v>252</v>
      </c>
      <c r="B21" s="593" t="s">
        <v>56</v>
      </c>
      <c r="C21" s="635" t="s">
        <v>129</v>
      </c>
      <c r="D21" s="107" t="s">
        <v>132</v>
      </c>
      <c r="E21" s="669" t="e">
        <f>HLOOKUP($D$2,'2020 Data(H)'!$C$1:$CZ$426,78,FALSE)</f>
        <v>#N/A</v>
      </c>
      <c r="F21" s="295">
        <v>0</v>
      </c>
      <c r="G21" s="736"/>
      <c r="H21" s="17"/>
      <c r="I21" s="79"/>
      <c r="J21" s="575"/>
      <c r="L21" s="704"/>
      <c r="Q21" s="295">
        <v>1656465</v>
      </c>
      <c r="Z21" s="108"/>
      <c r="AA21" s="108"/>
      <c r="AB21" s="108"/>
      <c r="AC21" s="108"/>
      <c r="AD21" s="108"/>
      <c r="AE21" s="108"/>
      <c r="AF21" s="108"/>
      <c r="AG21" s="108"/>
      <c r="AH21" s="108"/>
      <c r="AI21" s="108"/>
      <c r="AJ21" s="108"/>
      <c r="AK21" s="108"/>
      <c r="AL21" s="108"/>
      <c r="AM21" s="108"/>
      <c r="AN21" s="108"/>
      <c r="AO21" s="108"/>
      <c r="AP21" s="108"/>
      <c r="AQ21" s="108"/>
      <c r="AR21" s="108"/>
    </row>
    <row r="22" spans="1:1881" ht="43.8" thickBot="1" x14ac:dyDescent="0.35">
      <c r="A22" s="108">
        <v>253</v>
      </c>
      <c r="B22" s="593" t="s">
        <v>56</v>
      </c>
      <c r="C22" s="635" t="s">
        <v>129</v>
      </c>
      <c r="D22" s="107" t="s">
        <v>133</v>
      </c>
      <c r="E22" s="669" t="e">
        <f>HLOOKUP($D$2,'2020 Data(H)'!$C$1:$CZ$426,79,FALSE)</f>
        <v>#N/A</v>
      </c>
      <c r="F22" s="295">
        <v>0</v>
      </c>
      <c r="G22" s="730"/>
      <c r="H22" s="17"/>
      <c r="I22" s="79"/>
      <c r="J22" s="575"/>
      <c r="L22" s="704"/>
      <c r="Q22" s="295">
        <v>172269</v>
      </c>
      <c r="Z22" s="108"/>
      <c r="AA22" s="108"/>
      <c r="AB22" s="108"/>
      <c r="AC22" s="108"/>
      <c r="AD22" s="108"/>
      <c r="AE22" s="108"/>
      <c r="AF22" s="108"/>
      <c r="AG22" s="108"/>
      <c r="AH22" s="108"/>
      <c r="AI22" s="108"/>
      <c r="AJ22" s="108"/>
      <c r="AK22" s="108"/>
      <c r="AL22" s="108"/>
      <c r="AM22" s="108"/>
      <c r="AN22" s="108"/>
      <c r="AO22" s="108"/>
      <c r="AP22" s="108"/>
      <c r="AQ22" s="108"/>
      <c r="AR22" s="108"/>
    </row>
    <row r="23" spans="1:1881" ht="73.5" customHeight="1" thickBot="1" x14ac:dyDescent="0.35">
      <c r="A23" s="108">
        <v>254</v>
      </c>
      <c r="B23" s="593" t="s">
        <v>56</v>
      </c>
      <c r="C23" s="635" t="s">
        <v>129</v>
      </c>
      <c r="D23" s="107" t="s">
        <v>1145</v>
      </c>
      <c r="E23" s="669" t="e">
        <f>HLOOKUP($D$2,'2020 Data(H)'!$C$1:$CZ$426,80,FALSE)</f>
        <v>#N/A</v>
      </c>
      <c r="F23" s="295">
        <v>0</v>
      </c>
      <c r="G23" s="730">
        <f>IF(H23=0,,"Error: Total assets and deferred outflows less total liabilities and deferred inflows do not equal total net position. Account numbers  385-338-252-253-254 = 0.  The amount the formula is off is located in the cell to the right")</f>
        <v>0</v>
      </c>
      <c r="H23" s="733">
        <f>F9-F19-F21-F22-F23</f>
        <v>0</v>
      </c>
      <c r="I23" s="79"/>
      <c r="J23" s="575"/>
      <c r="L23" s="704"/>
      <c r="Q23" s="295">
        <v>1605749</v>
      </c>
      <c r="Z23" s="108"/>
      <c r="AA23" s="108"/>
      <c r="AB23" s="108"/>
      <c r="AC23" s="108"/>
      <c r="AD23" s="108"/>
      <c r="AE23" s="108"/>
      <c r="AF23" s="108"/>
      <c r="AG23" s="108"/>
      <c r="AH23" s="108"/>
      <c r="AI23" s="108"/>
      <c r="AJ23" s="108"/>
      <c r="AK23" s="108"/>
      <c r="AL23" s="108"/>
      <c r="AM23" s="108"/>
      <c r="AN23" s="108"/>
      <c r="AO23" s="108"/>
      <c r="AP23" s="108"/>
      <c r="AQ23" s="108"/>
      <c r="AR23" s="108"/>
    </row>
    <row r="24" spans="1:1881" ht="21.75" customHeight="1" thickBot="1" x14ac:dyDescent="0.35">
      <c r="A24" s="108"/>
      <c r="B24" s="841" t="s">
        <v>134</v>
      </c>
      <c r="C24" s="842"/>
      <c r="D24" s="846"/>
      <c r="E24" s="847"/>
      <c r="F24" s="858"/>
      <c r="G24" s="859"/>
      <c r="H24" s="17"/>
      <c r="I24" s="79"/>
      <c r="L24" s="704"/>
      <c r="Z24" s="108"/>
      <c r="AA24" s="108"/>
      <c r="AB24" s="108"/>
      <c r="AC24" s="108"/>
      <c r="AD24" s="108"/>
      <c r="AE24" s="108"/>
      <c r="AF24" s="108"/>
      <c r="AG24" s="108"/>
      <c r="AH24" s="108"/>
      <c r="AI24" s="108"/>
      <c r="AJ24" s="108"/>
      <c r="AK24" s="108"/>
      <c r="AL24" s="108"/>
      <c r="AM24" s="108"/>
      <c r="AN24" s="108"/>
      <c r="AO24" s="108"/>
      <c r="AP24" s="108"/>
      <c r="AQ24" s="108"/>
      <c r="AR24" s="108"/>
    </row>
    <row r="25" spans="1:1881" ht="59.25" customHeight="1" thickBot="1" x14ac:dyDescent="0.35">
      <c r="A25" s="108">
        <v>502</v>
      </c>
      <c r="B25" s="593" t="s">
        <v>55</v>
      </c>
      <c r="C25" s="635" t="s">
        <v>136</v>
      </c>
      <c r="D25" s="708" t="s">
        <v>1146</v>
      </c>
      <c r="E25" s="669" t="e">
        <f>HLOOKUP($D$2,'2020 Data(H)'!$C$1:$CZ$426,152,FALSE)</f>
        <v>#N/A</v>
      </c>
      <c r="F25" s="295">
        <v>0</v>
      </c>
      <c r="G25" s="730">
        <f>IF(F25&lt;0,"Note: Number is normally positive.",)</f>
        <v>0</v>
      </c>
      <c r="H25" s="17"/>
      <c r="I25" s="79"/>
      <c r="L25" s="704"/>
      <c r="Z25" s="108"/>
      <c r="AA25" s="108"/>
      <c r="AB25" s="108"/>
      <c r="AC25" s="108"/>
      <c r="AD25" s="108"/>
      <c r="AE25" s="108"/>
      <c r="AF25" s="108"/>
      <c r="AG25" s="108"/>
      <c r="AH25" s="108"/>
      <c r="AI25" s="108"/>
      <c r="AJ25" s="108"/>
      <c r="AK25" s="108"/>
      <c r="AL25" s="108"/>
      <c r="AM25" s="108"/>
      <c r="AN25" s="108"/>
      <c r="AO25" s="108"/>
      <c r="AP25" s="108"/>
      <c r="AQ25" s="108"/>
      <c r="AR25" s="108"/>
    </row>
    <row r="26" spans="1:1881" ht="59.25" customHeight="1" thickBot="1" x14ac:dyDescent="0.35">
      <c r="A26" s="108">
        <v>503</v>
      </c>
      <c r="B26" s="593" t="s">
        <v>55</v>
      </c>
      <c r="C26" s="635" t="s">
        <v>136</v>
      </c>
      <c r="D26" s="107" t="s">
        <v>135</v>
      </c>
      <c r="E26" s="669" t="e">
        <f>HLOOKUP($D$2,'2020 Data(H)'!$C$1:$CZ$426,153,FALSE)</f>
        <v>#N/A</v>
      </c>
      <c r="F26" s="274">
        <v>0</v>
      </c>
      <c r="G26" s="730">
        <f>IF(F26&lt;0,"Note: Number is normally positive.",)</f>
        <v>0</v>
      </c>
      <c r="H26" s="17"/>
      <c r="I26" s="79"/>
      <c r="L26" s="704"/>
      <c r="Z26" s="108"/>
      <c r="AA26" s="108"/>
      <c r="AB26" s="108"/>
      <c r="AC26" s="108"/>
      <c r="AD26" s="108"/>
      <c r="AE26" s="108"/>
      <c r="AF26" s="108"/>
      <c r="AG26" s="108"/>
      <c r="AH26" s="108"/>
      <c r="AI26" s="108"/>
      <c r="AJ26" s="108"/>
      <c r="AK26" s="108"/>
      <c r="AL26" s="108"/>
      <c r="AM26" s="108"/>
      <c r="AN26" s="108"/>
      <c r="AO26" s="108"/>
      <c r="AP26" s="108"/>
      <c r="AQ26" s="108"/>
      <c r="AR26" s="108"/>
    </row>
    <row r="27" spans="1:1881" ht="27" customHeight="1" thickBot="1" x14ac:dyDescent="0.35">
      <c r="A27" s="108"/>
      <c r="B27" s="841" t="s">
        <v>137</v>
      </c>
      <c r="C27" s="842"/>
      <c r="D27" s="846"/>
      <c r="E27" s="847"/>
      <c r="F27" s="848"/>
      <c r="G27" s="849"/>
      <c r="H27" s="17"/>
      <c r="I27" s="79"/>
      <c r="L27" s="704"/>
      <c r="Z27" s="108"/>
      <c r="AA27" s="108"/>
      <c r="AB27" s="108"/>
      <c r="AC27" s="108"/>
      <c r="AD27" s="108"/>
      <c r="AE27" s="108"/>
      <c r="AF27" s="108"/>
      <c r="AG27" s="108"/>
      <c r="AH27" s="108"/>
      <c r="AI27" s="108"/>
      <c r="AJ27" s="108"/>
      <c r="AK27" s="108"/>
      <c r="AL27" s="108"/>
      <c r="AM27" s="108"/>
      <c r="AN27" s="108"/>
      <c r="AO27" s="108"/>
      <c r="AP27" s="108"/>
      <c r="AQ27" s="108"/>
      <c r="AR27" s="108"/>
    </row>
    <row r="28" spans="1:1881" ht="49.5" hidden="1" customHeight="1" thickBot="1" x14ac:dyDescent="0.35">
      <c r="A28" s="108">
        <v>344</v>
      </c>
      <c r="B28" s="593" t="s">
        <v>56</v>
      </c>
      <c r="C28" s="593" t="s">
        <v>144</v>
      </c>
      <c r="D28" s="107" t="s">
        <v>138</v>
      </c>
      <c r="E28" s="669" t="e">
        <f>HLOOKUP($D$2,'2020 Data(H)'!$C$1:$CZ$426,110,FALSE)</f>
        <v>#N/A</v>
      </c>
      <c r="F28" s="295">
        <v>0</v>
      </c>
      <c r="G28" s="730">
        <f t="shared" ref="G28:G35" si="0">IF(F28&lt;0,"Error: Enter as positive.",)</f>
        <v>0</v>
      </c>
      <c r="H28" s="17"/>
      <c r="I28" s="79"/>
      <c r="L28" s="704"/>
      <c r="Z28" s="108"/>
      <c r="AA28" s="108"/>
      <c r="AB28" s="108"/>
      <c r="AC28" s="108"/>
      <c r="AD28" s="108"/>
      <c r="AE28" s="108"/>
      <c r="AF28" s="108"/>
      <c r="AG28" s="108"/>
      <c r="AH28" s="108"/>
      <c r="AI28" s="108"/>
      <c r="AJ28" s="108"/>
      <c r="AK28" s="108"/>
      <c r="AL28" s="108"/>
      <c r="AM28" s="108"/>
      <c r="AN28" s="108"/>
      <c r="AO28" s="108"/>
      <c r="AP28" s="108"/>
      <c r="AQ28" s="108"/>
      <c r="AR28" s="108"/>
    </row>
    <row r="29" spans="1:1881" ht="49.5" customHeight="1" thickBot="1" x14ac:dyDescent="0.35">
      <c r="A29" s="108">
        <v>388</v>
      </c>
      <c r="B29" s="593" t="s">
        <v>60</v>
      </c>
      <c r="C29" s="593" t="s">
        <v>144</v>
      </c>
      <c r="D29" s="107" t="s">
        <v>139</v>
      </c>
      <c r="E29" s="669" t="e">
        <f>HLOOKUP($D$2,'2020 Data(H)'!$C$1:$CZ$426,147,FALSE)</f>
        <v>#N/A</v>
      </c>
      <c r="F29" s="295">
        <v>0</v>
      </c>
      <c r="G29" s="730">
        <f t="shared" si="0"/>
        <v>0</v>
      </c>
      <c r="H29" s="17"/>
      <c r="I29" s="79"/>
      <c r="J29" s="575"/>
      <c r="L29" s="704"/>
      <c r="Z29" s="108"/>
      <c r="AA29" s="108"/>
      <c r="AB29" s="108"/>
      <c r="AC29" s="108"/>
      <c r="AD29" s="108"/>
      <c r="AE29" s="108"/>
      <c r="AF29" s="108"/>
      <c r="AG29" s="108"/>
      <c r="AH29" s="108"/>
      <c r="AI29" s="108"/>
      <c r="AJ29" s="108"/>
      <c r="AK29" s="108"/>
      <c r="AL29" s="108"/>
      <c r="AM29" s="108"/>
      <c r="AN29" s="108"/>
      <c r="AO29" s="108"/>
      <c r="AP29" s="108"/>
      <c r="AQ29" s="108"/>
      <c r="AR29" s="108"/>
    </row>
    <row r="30" spans="1:1881" ht="51.75" customHeight="1" thickBot="1" x14ac:dyDescent="0.35">
      <c r="A30" s="108">
        <v>339</v>
      </c>
      <c r="B30" s="593" t="s">
        <v>56</v>
      </c>
      <c r="C30" s="593" t="s">
        <v>144</v>
      </c>
      <c r="D30" s="107" t="s">
        <v>140</v>
      </c>
      <c r="E30" s="669" t="e">
        <f>HLOOKUP($D$2,'2020 Data(H)'!$C$1:$CZ$426,105,FALSE)</f>
        <v>#N/A</v>
      </c>
      <c r="F30" s="295">
        <v>0</v>
      </c>
      <c r="G30" s="730">
        <f t="shared" si="0"/>
        <v>0</v>
      </c>
      <c r="H30" s="17"/>
      <c r="I30" s="79"/>
      <c r="J30" s="575"/>
      <c r="L30" s="704"/>
      <c r="Z30" s="108"/>
      <c r="AA30" s="108"/>
      <c r="AB30" s="108"/>
      <c r="AC30" s="108"/>
      <c r="AD30" s="108"/>
      <c r="AE30" s="108"/>
      <c r="AF30" s="108"/>
      <c r="AG30" s="108"/>
      <c r="AH30" s="108"/>
      <c r="AI30" s="108"/>
      <c r="AJ30" s="108"/>
      <c r="AK30" s="108"/>
      <c r="AL30" s="108"/>
      <c r="AM30" s="108"/>
      <c r="AN30" s="108"/>
      <c r="AO30" s="108"/>
      <c r="AP30" s="108"/>
      <c r="AQ30" s="108"/>
      <c r="AR30" s="108"/>
    </row>
    <row r="31" spans="1:1881" ht="50.25" customHeight="1" thickBot="1" x14ac:dyDescent="0.35">
      <c r="A31" s="108">
        <v>504</v>
      </c>
      <c r="B31" s="593" t="s">
        <v>56</v>
      </c>
      <c r="C31" s="593" t="s">
        <v>144</v>
      </c>
      <c r="D31" s="107" t="s">
        <v>141</v>
      </c>
      <c r="E31" s="669" t="e">
        <f>HLOOKUP($D$2,'2020 Data(H)'!$C$1:$CZ$426,154,FALSE)</f>
        <v>#N/A</v>
      </c>
      <c r="F31" s="295">
        <v>0</v>
      </c>
      <c r="G31" s="730">
        <f t="shared" si="0"/>
        <v>0</v>
      </c>
      <c r="H31" s="17"/>
      <c r="I31" s="79"/>
      <c r="J31" s="575"/>
      <c r="L31" s="704"/>
      <c r="Z31" s="108"/>
      <c r="AA31" s="108"/>
      <c r="AB31" s="108"/>
      <c r="AC31" s="108"/>
      <c r="AD31" s="108"/>
      <c r="AE31" s="108"/>
      <c r="AF31" s="108"/>
      <c r="AG31" s="108"/>
      <c r="AH31" s="108"/>
      <c r="AI31" s="108"/>
      <c r="AJ31" s="108"/>
      <c r="AK31" s="108"/>
      <c r="AL31" s="108"/>
      <c r="AM31" s="108"/>
      <c r="AN31" s="108"/>
      <c r="AO31" s="108"/>
      <c r="AP31" s="108"/>
      <c r="AQ31" s="108"/>
      <c r="AR31" s="108"/>
    </row>
    <row r="32" spans="1:1881" ht="60" customHeight="1" thickBot="1" x14ac:dyDescent="0.35">
      <c r="A32" s="108">
        <v>505</v>
      </c>
      <c r="B32" s="593" t="s">
        <v>56</v>
      </c>
      <c r="C32" s="593" t="s">
        <v>144</v>
      </c>
      <c r="D32" s="688" t="s">
        <v>142</v>
      </c>
      <c r="E32" s="669" t="e">
        <f>HLOOKUP($D$2,'2020 Data(H)'!$C$1:$CZ$426,155,FALSE)</f>
        <v>#N/A</v>
      </c>
      <c r="F32" s="295">
        <v>0</v>
      </c>
      <c r="G32" s="730">
        <f t="shared" si="0"/>
        <v>0</v>
      </c>
      <c r="H32" s="17"/>
      <c r="I32" s="79"/>
      <c r="J32" s="575"/>
      <c r="L32" s="704"/>
      <c r="Z32" s="108"/>
      <c r="AA32" s="108"/>
      <c r="AB32" s="108"/>
      <c r="AC32" s="108"/>
      <c r="AD32" s="108"/>
      <c r="AE32" s="108"/>
      <c r="AF32" s="108"/>
      <c r="AG32" s="108"/>
      <c r="AH32" s="108"/>
      <c r="AI32" s="108"/>
      <c r="AJ32" s="108"/>
      <c r="AK32" s="108"/>
      <c r="AL32" s="108"/>
      <c r="AM32" s="108"/>
      <c r="AN32" s="108"/>
      <c r="AO32" s="108"/>
      <c r="AP32" s="108"/>
      <c r="AQ32" s="108"/>
      <c r="AR32" s="108"/>
    </row>
    <row r="33" spans="1:44" ht="67.95" customHeight="1" thickBot="1" x14ac:dyDescent="0.35">
      <c r="A33" s="108">
        <v>341</v>
      </c>
      <c r="B33" s="593" t="s">
        <v>56</v>
      </c>
      <c r="C33" s="593" t="s">
        <v>144</v>
      </c>
      <c r="D33" s="708" t="s">
        <v>1147</v>
      </c>
      <c r="E33" s="669" t="e">
        <f>HLOOKUP($D$2,'2020 Data(H)'!$C$1:$CZ$426,107,FALSE)</f>
        <v>#N/A</v>
      </c>
      <c r="F33" s="295">
        <v>0</v>
      </c>
      <c r="G33" s="730">
        <f t="shared" si="0"/>
        <v>0</v>
      </c>
      <c r="H33" s="17"/>
      <c r="I33" s="79"/>
      <c r="J33" s="575"/>
      <c r="L33" s="704"/>
      <c r="Z33" s="108"/>
      <c r="AA33" s="108"/>
      <c r="AB33" s="108"/>
      <c r="AC33" s="108"/>
      <c r="AD33" s="108"/>
      <c r="AE33" s="108"/>
      <c r="AF33" s="108"/>
      <c r="AG33" s="108"/>
      <c r="AH33" s="108"/>
      <c r="AI33" s="108"/>
      <c r="AJ33" s="108"/>
      <c r="AK33" s="108"/>
      <c r="AL33" s="108"/>
      <c r="AM33" s="108"/>
      <c r="AN33" s="108"/>
      <c r="AO33" s="108"/>
      <c r="AP33" s="108"/>
      <c r="AQ33" s="108"/>
      <c r="AR33" s="108"/>
    </row>
    <row r="34" spans="1:44" ht="44.25" customHeight="1" thickBot="1" x14ac:dyDescent="0.35">
      <c r="A34" s="108">
        <v>386</v>
      </c>
      <c r="B34" s="593" t="s">
        <v>56</v>
      </c>
      <c r="C34" s="593" t="s">
        <v>144</v>
      </c>
      <c r="D34" s="107" t="s">
        <v>1148</v>
      </c>
      <c r="E34" s="669" t="e">
        <f>HLOOKUP($D$2,'2020 Data(H)'!$C$1:$CZ$426,145,FALSE)</f>
        <v>#N/A</v>
      </c>
      <c r="F34" s="295">
        <v>0</v>
      </c>
      <c r="G34" s="730">
        <f t="shared" si="0"/>
        <v>0</v>
      </c>
      <c r="H34" s="17"/>
      <c r="I34" s="79"/>
      <c r="L34" s="704"/>
      <c r="Z34" s="108"/>
      <c r="AA34" s="108"/>
      <c r="AB34" s="108"/>
      <c r="AC34" s="108"/>
      <c r="AD34" s="108"/>
      <c r="AE34" s="108"/>
      <c r="AF34" s="108"/>
      <c r="AG34" s="108"/>
      <c r="AH34" s="108"/>
      <c r="AI34" s="108"/>
      <c r="AJ34" s="108"/>
      <c r="AK34" s="108"/>
      <c r="AL34" s="108"/>
      <c r="AM34" s="108"/>
      <c r="AN34" s="108"/>
      <c r="AO34" s="108"/>
      <c r="AP34" s="108"/>
      <c r="AQ34" s="108"/>
      <c r="AR34" s="108"/>
    </row>
    <row r="35" spans="1:44" ht="48.75" customHeight="1" thickBot="1" x14ac:dyDescent="0.35">
      <c r="A35" s="108">
        <v>387</v>
      </c>
      <c r="B35" s="593" t="s">
        <v>60</v>
      </c>
      <c r="C35" s="593" t="s">
        <v>144</v>
      </c>
      <c r="D35" s="107" t="s">
        <v>1149</v>
      </c>
      <c r="E35" s="669" t="e">
        <f>HLOOKUP($D$2,'2020 Data(H)'!$C$1:$CZ$426,146,FALSE)</f>
        <v>#N/A</v>
      </c>
      <c r="F35" s="295">
        <v>0</v>
      </c>
      <c r="G35" s="730">
        <f t="shared" si="0"/>
        <v>0</v>
      </c>
      <c r="H35" s="17"/>
      <c r="I35" s="79"/>
      <c r="L35" s="704"/>
      <c r="Z35" s="108"/>
      <c r="AA35" s="108"/>
      <c r="AB35" s="108"/>
      <c r="AC35" s="108"/>
      <c r="AD35" s="108"/>
      <c r="AE35" s="108"/>
      <c r="AF35" s="108"/>
      <c r="AG35" s="108"/>
      <c r="AH35" s="108"/>
      <c r="AI35" s="108"/>
      <c r="AJ35" s="108"/>
      <c r="AK35" s="108"/>
      <c r="AL35" s="108"/>
      <c r="AM35" s="108"/>
      <c r="AN35" s="108"/>
      <c r="AO35" s="108"/>
      <c r="AP35" s="108"/>
      <c r="AQ35" s="108"/>
      <c r="AR35" s="108"/>
    </row>
    <row r="36" spans="1:44" ht="92.25" customHeight="1" thickBot="1" x14ac:dyDescent="0.35">
      <c r="A36" s="108">
        <v>389</v>
      </c>
      <c r="B36" s="593" t="s">
        <v>60</v>
      </c>
      <c r="C36" s="593" t="s">
        <v>144</v>
      </c>
      <c r="D36" s="708" t="s">
        <v>1150</v>
      </c>
      <c r="E36" s="669" t="e">
        <f>HLOOKUP($D$2,'2020 Data(H)'!$C$1:$CZ$426,148,FALSE)</f>
        <v>#N/A</v>
      </c>
      <c r="F36" s="295">
        <v>0</v>
      </c>
      <c r="G36" s="730"/>
      <c r="H36" s="17"/>
      <c r="I36" s="79"/>
      <c r="J36" s="575"/>
      <c r="L36" s="704"/>
      <c r="Z36" s="108"/>
      <c r="AA36" s="108"/>
      <c r="AB36" s="108"/>
      <c r="AC36" s="108"/>
      <c r="AD36" s="108"/>
      <c r="AE36" s="108"/>
      <c r="AF36" s="108"/>
      <c r="AG36" s="108"/>
      <c r="AH36" s="108"/>
      <c r="AI36" s="108"/>
      <c r="AJ36" s="108"/>
      <c r="AK36" s="108"/>
      <c r="AL36" s="108"/>
      <c r="AM36" s="108"/>
      <c r="AN36" s="108"/>
      <c r="AO36" s="108"/>
      <c r="AP36" s="108"/>
      <c r="AQ36" s="108"/>
      <c r="AR36" s="108"/>
    </row>
    <row r="37" spans="1:44" ht="84.75" customHeight="1" thickBot="1" x14ac:dyDescent="0.35">
      <c r="A37" s="108">
        <v>255</v>
      </c>
      <c r="B37" s="593" t="s">
        <v>56</v>
      </c>
      <c r="C37" s="593" t="s">
        <v>144</v>
      </c>
      <c r="D37" s="708" t="s">
        <v>1151</v>
      </c>
      <c r="E37" s="669" t="e">
        <f>HLOOKUP($D$2,'2020 Data(H)'!$C$1:$CZ$426,81,FALSE)</f>
        <v>#N/A</v>
      </c>
      <c r="F37" s="295">
        <v>0</v>
      </c>
      <c r="G37" s="730">
        <f>IF(H37=0,,"Error: Total revenues less total expenses do not equal total change in net position. Account numbers 339+504+505+341+386-387+389-388-255 = 0  The amount the formula is off is located in the cell to the right")</f>
        <v>0</v>
      </c>
      <c r="H37" s="733">
        <f>F30+F31+F32+F33+F34-F35+F36-F29-F37</f>
        <v>0</v>
      </c>
      <c r="I37" s="79"/>
      <c r="J37" s="575"/>
      <c r="L37" s="704"/>
      <c r="Z37" s="108"/>
      <c r="AA37" s="108"/>
      <c r="AB37" s="108"/>
      <c r="AC37" s="108"/>
      <c r="AD37" s="108"/>
      <c r="AE37" s="108"/>
      <c r="AF37" s="108"/>
      <c r="AG37" s="108"/>
      <c r="AH37" s="108"/>
      <c r="AI37" s="108"/>
      <c r="AJ37" s="108"/>
      <c r="AK37" s="108"/>
      <c r="AL37" s="108"/>
      <c r="AM37" s="108"/>
      <c r="AN37" s="108"/>
      <c r="AO37" s="108"/>
      <c r="AP37" s="108"/>
      <c r="AQ37" s="108"/>
      <c r="AR37" s="108"/>
    </row>
    <row r="38" spans="1:44" ht="138" customHeight="1" thickBot="1" x14ac:dyDescent="0.35">
      <c r="A38" s="108">
        <v>376</v>
      </c>
      <c r="B38" s="593" t="s">
        <v>56</v>
      </c>
      <c r="C38" s="593" t="s">
        <v>144</v>
      </c>
      <c r="D38" s="708" t="s">
        <v>1152</v>
      </c>
      <c r="E38" s="669" t="e">
        <f>HLOOKUP($D$2,'2020 Data(H)'!$C$1:$CZ$426,135,FALSE)</f>
        <v>#N/A</v>
      </c>
      <c r="F38" s="293">
        <v>0</v>
      </c>
      <c r="G38" s="911" t="e">
        <f>IF(H38=0,,"Error: Beginning Balance does not agree with our records.  Account numbers  252+253+254-255-376-(Prior Year 252+253+254)=0  The amount the formula is off is located in the cell to the right")</f>
        <v>#N/A</v>
      </c>
      <c r="H38" s="737" t="e">
        <f>F21+F22+F23-F37-F38-(E21+E22+E23)</f>
        <v>#N/A</v>
      </c>
      <c r="I38" s="1266" t="s">
        <v>1556</v>
      </c>
      <c r="J38" s="575"/>
      <c r="L38" s="704"/>
      <c r="Z38" s="108"/>
      <c r="AA38" s="108"/>
      <c r="AB38" s="108"/>
      <c r="AC38" s="108"/>
      <c r="AD38" s="108"/>
      <c r="AE38" s="108"/>
      <c r="AF38" s="108"/>
      <c r="AG38" s="108"/>
      <c r="AH38" s="108"/>
      <c r="AI38" s="108"/>
      <c r="AJ38" s="108"/>
      <c r="AK38" s="108"/>
      <c r="AL38" s="108"/>
      <c r="AM38" s="108"/>
      <c r="AN38" s="108"/>
      <c r="AO38" s="108"/>
      <c r="AP38" s="108"/>
      <c r="AQ38" s="108"/>
      <c r="AR38" s="108"/>
    </row>
    <row r="39" spans="1:44" s="18" customFormat="1" ht="141.75" hidden="1" customHeight="1" thickBot="1" x14ac:dyDescent="0.35">
      <c r="A39" s="108">
        <v>597</v>
      </c>
      <c r="B39" s="635" t="s">
        <v>362</v>
      </c>
      <c r="C39" s="635" t="s">
        <v>397</v>
      </c>
      <c r="D39" s="812" t="s">
        <v>1153</v>
      </c>
      <c r="E39" s="669" t="e">
        <f>HLOOKUP($D$2,'2020 Data(H)'!$C$1:$CZ$426,256,FALSE)</f>
        <v>#N/A</v>
      </c>
      <c r="F39" s="293">
        <v>0</v>
      </c>
      <c r="G39" s="730">
        <f>IF(F39&lt;0,"Note: Number is normally positive.",)</f>
        <v>0</v>
      </c>
      <c r="H39" s="731"/>
      <c r="I39" s="732"/>
      <c r="J39" s="575"/>
      <c r="L39" s="704"/>
      <c r="N39" s="296"/>
      <c r="Z39" s="108"/>
      <c r="AA39" s="108"/>
      <c r="AB39" s="108"/>
      <c r="AC39" s="108"/>
      <c r="AD39" s="108"/>
      <c r="AE39" s="108"/>
      <c r="AF39" s="108"/>
      <c r="AG39" s="108"/>
      <c r="AH39" s="108"/>
      <c r="AI39" s="108"/>
      <c r="AJ39" s="108"/>
      <c r="AK39" s="108"/>
      <c r="AL39" s="108"/>
      <c r="AM39" s="108"/>
      <c r="AN39" s="108"/>
      <c r="AO39" s="108"/>
      <c r="AP39" s="108"/>
      <c r="AQ39" s="108"/>
      <c r="AR39" s="108"/>
    </row>
    <row r="40" spans="1:44" ht="25.5" customHeight="1" thickBot="1" x14ac:dyDescent="0.35">
      <c r="A40" s="108"/>
      <c r="B40" s="841" t="s">
        <v>361</v>
      </c>
      <c r="C40" s="842"/>
      <c r="D40" s="846"/>
      <c r="E40" s="847"/>
      <c r="F40" s="848"/>
      <c r="G40" s="849"/>
      <c r="H40" s="17"/>
      <c r="I40" s="79"/>
      <c r="L40" s="704"/>
      <c r="Z40" s="108"/>
      <c r="AA40" s="108"/>
      <c r="AB40" s="108"/>
      <c r="AC40" s="108"/>
      <c r="AD40" s="108"/>
      <c r="AE40" s="108"/>
      <c r="AF40" s="108"/>
      <c r="AG40" s="108"/>
      <c r="AH40" s="108"/>
      <c r="AI40" s="108"/>
      <c r="AJ40" s="108"/>
      <c r="AK40" s="108"/>
      <c r="AL40" s="108"/>
      <c r="AM40" s="108"/>
      <c r="AN40" s="108"/>
      <c r="AO40" s="108"/>
      <c r="AP40" s="108"/>
      <c r="AQ40" s="108"/>
      <c r="AR40" s="108"/>
    </row>
    <row r="41" spans="1:44" s="18" customFormat="1" ht="86.25" customHeight="1" thickBot="1" x14ac:dyDescent="0.35">
      <c r="A41" s="108">
        <v>592</v>
      </c>
      <c r="B41" s="635" t="s">
        <v>59</v>
      </c>
      <c r="C41" s="635" t="s">
        <v>363</v>
      </c>
      <c r="D41" s="708" t="s">
        <v>1154</v>
      </c>
      <c r="E41" s="669" t="e">
        <f>HLOOKUP($D$2,'2020 Data(H)'!$C$1:$CZ$426,253,FALSE)</f>
        <v>#N/A</v>
      </c>
      <c r="F41" s="738">
        <v>0</v>
      </c>
      <c r="G41" s="730"/>
      <c r="H41" s="731"/>
      <c r="J41" s="575"/>
      <c r="L41" s="704"/>
      <c r="N41" s="296"/>
      <c r="Z41" s="108"/>
      <c r="AA41" s="108"/>
      <c r="AB41" s="108"/>
      <c r="AC41" s="108"/>
      <c r="AD41" s="108"/>
      <c r="AE41" s="108"/>
      <c r="AF41" s="108"/>
      <c r="AG41" s="108"/>
      <c r="AH41" s="108"/>
      <c r="AI41" s="108"/>
      <c r="AJ41" s="108"/>
      <c r="AK41" s="108"/>
      <c r="AL41" s="108"/>
      <c r="AM41" s="108"/>
      <c r="AN41" s="108"/>
      <c r="AO41" s="108"/>
      <c r="AP41" s="108"/>
      <c r="AQ41" s="108"/>
      <c r="AR41" s="108"/>
    </row>
    <row r="42" spans="1:44" s="18" customFormat="1" ht="71.25" customHeight="1" thickBot="1" x14ac:dyDescent="0.35">
      <c r="A42" s="108">
        <v>591</v>
      </c>
      <c r="B42" s="635" t="s">
        <v>59</v>
      </c>
      <c r="C42" s="635" t="s">
        <v>363</v>
      </c>
      <c r="D42" s="107" t="s">
        <v>364</v>
      </c>
      <c r="E42" s="669" t="e">
        <f>HLOOKUP($D$2,'2020 Data(H)'!$C$1:$CZ$426,252,FALSE)</f>
        <v>#N/A</v>
      </c>
      <c r="F42" s="738">
        <v>0</v>
      </c>
      <c r="G42" s="730">
        <f>IF(F42&lt;0,"Error: Enter as positive.",)</f>
        <v>0</v>
      </c>
      <c r="H42" s="731"/>
      <c r="J42" s="575"/>
      <c r="L42" s="704"/>
      <c r="N42" s="296"/>
      <c r="Z42" s="108"/>
      <c r="AA42" s="108"/>
      <c r="AB42" s="108"/>
      <c r="AC42" s="108"/>
      <c r="AD42" s="108"/>
      <c r="AE42" s="108"/>
      <c r="AF42" s="108"/>
      <c r="AG42" s="108"/>
      <c r="AH42" s="108"/>
      <c r="AI42" s="108"/>
      <c r="AJ42" s="108"/>
      <c r="AK42" s="108"/>
      <c r="AL42" s="108"/>
      <c r="AM42" s="108"/>
      <c r="AN42" s="108"/>
      <c r="AO42" s="108"/>
      <c r="AP42" s="108"/>
      <c r="AQ42" s="108"/>
      <c r="AR42" s="108"/>
    </row>
    <row r="43" spans="1:44" s="18" customFormat="1" ht="71.25" hidden="1" customHeight="1" thickBot="1" x14ac:dyDescent="0.35">
      <c r="A43" s="108">
        <v>593</v>
      </c>
      <c r="B43" s="635" t="s">
        <v>59</v>
      </c>
      <c r="C43" s="813" t="s">
        <v>363</v>
      </c>
      <c r="D43" s="107" t="s">
        <v>1097</v>
      </c>
      <c r="E43" s="669" t="s">
        <v>1256</v>
      </c>
      <c r="F43" s="738">
        <v>0</v>
      </c>
      <c r="G43" s="730"/>
      <c r="H43" s="731"/>
      <c r="J43" s="575"/>
      <c r="L43" s="704"/>
      <c r="N43" s="296"/>
      <c r="Z43" s="108"/>
      <c r="AA43" s="108"/>
      <c r="AB43" s="108"/>
      <c r="AC43" s="108"/>
      <c r="AD43" s="108"/>
      <c r="AE43" s="108"/>
      <c r="AF43" s="108"/>
      <c r="AG43" s="108"/>
      <c r="AH43" s="108"/>
      <c r="AI43" s="108"/>
      <c r="AJ43" s="108"/>
      <c r="AK43" s="108"/>
      <c r="AL43" s="108"/>
      <c r="AM43" s="108"/>
      <c r="AN43" s="108"/>
      <c r="AO43" s="108"/>
      <c r="AP43" s="108"/>
      <c r="AQ43" s="108"/>
      <c r="AR43" s="108"/>
    </row>
    <row r="44" spans="1:44" s="18" customFormat="1" ht="71.25" hidden="1" customHeight="1" thickBot="1" x14ac:dyDescent="0.35">
      <c r="A44" s="108">
        <v>594</v>
      </c>
      <c r="B44" s="635" t="s">
        <v>59</v>
      </c>
      <c r="C44" s="813" t="s">
        <v>363</v>
      </c>
      <c r="D44" s="107" t="s">
        <v>1098</v>
      </c>
      <c r="E44" s="669" t="s">
        <v>1256</v>
      </c>
      <c r="F44" s="738">
        <v>0</v>
      </c>
      <c r="G44" s="730"/>
      <c r="H44" s="731"/>
      <c r="J44" s="575"/>
      <c r="L44" s="704"/>
      <c r="N44" s="296"/>
      <c r="Z44" s="108"/>
      <c r="AA44" s="108"/>
      <c r="AB44" s="108"/>
      <c r="AC44" s="108"/>
      <c r="AD44" s="108"/>
      <c r="AE44" s="108"/>
      <c r="AF44" s="108"/>
      <c r="AG44" s="108"/>
      <c r="AH44" s="108"/>
      <c r="AI44" s="108"/>
      <c r="AJ44" s="108"/>
      <c r="AK44" s="108"/>
      <c r="AL44" s="108"/>
      <c r="AM44" s="108"/>
      <c r="AN44" s="108"/>
      <c r="AO44" s="108"/>
      <c r="AP44" s="108"/>
      <c r="AQ44" s="108"/>
      <c r="AR44" s="108"/>
    </row>
    <row r="45" spans="1:44" s="18" customFormat="1" ht="27" hidden="1" customHeight="1" thickBot="1" x14ac:dyDescent="0.35">
      <c r="A45" s="108"/>
      <c r="B45" s="841" t="s">
        <v>1260</v>
      </c>
      <c r="C45" s="897"/>
      <c r="D45" s="898"/>
      <c r="E45" s="874"/>
      <c r="F45" s="848"/>
      <c r="G45" s="859"/>
      <c r="H45" s="731"/>
      <c r="J45" s="575"/>
      <c r="L45" s="704"/>
      <c r="N45" s="296"/>
      <c r="Z45" s="108"/>
      <c r="AA45" s="108"/>
      <c r="AB45" s="108"/>
      <c r="AC45" s="108"/>
      <c r="AD45" s="108"/>
      <c r="AE45" s="108"/>
      <c r="AF45" s="108"/>
      <c r="AG45" s="108"/>
      <c r="AH45" s="108"/>
      <c r="AI45" s="108"/>
      <c r="AJ45" s="108"/>
      <c r="AK45" s="108"/>
      <c r="AL45" s="108"/>
      <c r="AM45" s="108"/>
      <c r="AN45" s="108"/>
      <c r="AO45" s="108"/>
      <c r="AP45" s="108"/>
      <c r="AQ45" s="108"/>
      <c r="AR45" s="108"/>
    </row>
    <row r="46" spans="1:44" s="18" customFormat="1" ht="71.25" hidden="1" customHeight="1" thickBot="1" x14ac:dyDescent="0.35">
      <c r="A46" s="108">
        <v>558</v>
      </c>
      <c r="B46" s="635" t="s">
        <v>59</v>
      </c>
      <c r="C46" s="813" t="s">
        <v>1099</v>
      </c>
      <c r="D46" s="107" t="s">
        <v>1104</v>
      </c>
      <c r="E46" s="669" t="e">
        <f>HLOOKUP($D$2,'2020 Data(H)'!$C$1:$CZ$426,208,FALSE)</f>
        <v>#N/A</v>
      </c>
      <c r="F46" s="738">
        <v>0</v>
      </c>
      <c r="G46" s="730"/>
      <c r="H46" s="731"/>
      <c r="J46" s="575"/>
      <c r="L46" s="704"/>
      <c r="N46" s="296"/>
      <c r="Z46" s="108"/>
      <c r="AA46" s="108"/>
      <c r="AB46" s="108"/>
      <c r="AC46" s="108"/>
      <c r="AD46" s="108"/>
      <c r="AE46" s="108"/>
      <c r="AF46" s="108"/>
      <c r="AG46" s="108"/>
      <c r="AH46" s="108"/>
      <c r="AI46" s="108"/>
      <c r="AJ46" s="108"/>
      <c r="AK46" s="108"/>
      <c r="AL46" s="108"/>
      <c r="AM46" s="108"/>
      <c r="AN46" s="108"/>
      <c r="AO46" s="108"/>
      <c r="AP46" s="108"/>
      <c r="AQ46" s="108"/>
      <c r="AR46" s="108"/>
    </row>
    <row r="47" spans="1:44" s="18" customFormat="1" ht="71.25" hidden="1" customHeight="1" thickBot="1" x14ac:dyDescent="0.35">
      <c r="A47" s="108">
        <v>559</v>
      </c>
      <c r="B47" s="635" t="s">
        <v>59</v>
      </c>
      <c r="C47" s="813" t="s">
        <v>1099</v>
      </c>
      <c r="D47" s="107" t="s">
        <v>146</v>
      </c>
      <c r="E47" s="669" t="e">
        <f>HLOOKUP($D$2,'2020 Data(H)'!$C$1:$CZ$426,209,FALSE)</f>
        <v>#N/A</v>
      </c>
      <c r="F47" s="738">
        <v>0</v>
      </c>
      <c r="G47" s="730"/>
      <c r="H47" s="731"/>
      <c r="J47" s="575"/>
      <c r="L47" s="704"/>
      <c r="N47" s="296"/>
      <c r="Z47" s="108"/>
      <c r="AA47" s="108"/>
      <c r="AB47" s="108"/>
      <c r="AC47" s="108"/>
      <c r="AD47" s="108"/>
      <c r="AE47" s="108"/>
      <c r="AF47" s="108"/>
      <c r="AG47" s="108"/>
      <c r="AH47" s="108"/>
      <c r="AI47" s="108"/>
      <c r="AJ47" s="108"/>
      <c r="AK47" s="108"/>
      <c r="AL47" s="108"/>
      <c r="AM47" s="108"/>
      <c r="AN47" s="108"/>
      <c r="AO47" s="108"/>
      <c r="AP47" s="108"/>
      <c r="AQ47" s="108"/>
      <c r="AR47" s="108"/>
    </row>
    <row r="48" spans="1:44" s="18" customFormat="1" ht="108" hidden="1" customHeight="1" thickBot="1" x14ac:dyDescent="0.35">
      <c r="A48" s="108">
        <v>560</v>
      </c>
      <c r="B48" s="635" t="s">
        <v>59</v>
      </c>
      <c r="C48" s="813" t="s">
        <v>1099</v>
      </c>
      <c r="D48" s="708" t="s">
        <v>1101</v>
      </c>
      <c r="E48" s="669" t="e">
        <f>HLOOKUP($D$2,'2020 Data(H)'!$C$1:$CZ$426,210,FALSE)</f>
        <v>#N/A</v>
      </c>
      <c r="F48" s="738">
        <v>0</v>
      </c>
      <c r="G48" s="730"/>
      <c r="H48" s="731"/>
      <c r="J48" s="575"/>
      <c r="L48" s="704"/>
      <c r="N48" s="296"/>
      <c r="Z48" s="108"/>
      <c r="AA48" s="108"/>
      <c r="AB48" s="108"/>
      <c r="AC48" s="108"/>
      <c r="AD48" s="108"/>
      <c r="AE48" s="108"/>
      <c r="AF48" s="108"/>
      <c r="AG48" s="108"/>
      <c r="AH48" s="108"/>
      <c r="AI48" s="108"/>
      <c r="AJ48" s="108"/>
      <c r="AK48" s="108"/>
      <c r="AL48" s="108"/>
      <c r="AM48" s="108"/>
      <c r="AN48" s="108"/>
      <c r="AO48" s="108"/>
      <c r="AP48" s="108"/>
      <c r="AQ48" s="108"/>
      <c r="AR48" s="108"/>
    </row>
    <row r="49" spans="1:44" s="18" customFormat="1" ht="71.25" hidden="1" customHeight="1" thickBot="1" x14ac:dyDescent="0.35">
      <c r="A49" s="108">
        <v>561</v>
      </c>
      <c r="B49" s="635" t="s">
        <v>59</v>
      </c>
      <c r="C49" s="813" t="s">
        <v>1099</v>
      </c>
      <c r="D49" s="708" t="s">
        <v>1102</v>
      </c>
      <c r="E49" s="669" t="e">
        <f>HLOOKUP($D$2,'2020 Data(H)'!$C$1:$CZ$426,211,FALSE)</f>
        <v>#N/A</v>
      </c>
      <c r="F49" s="738">
        <v>0</v>
      </c>
      <c r="G49" s="730"/>
      <c r="H49" s="731"/>
      <c r="J49" s="575"/>
      <c r="L49" s="704"/>
      <c r="N49" s="296"/>
      <c r="Z49" s="108"/>
      <c r="AA49" s="108"/>
      <c r="AB49" s="108"/>
      <c r="AC49" s="108"/>
      <c r="AD49" s="108"/>
      <c r="AE49" s="108"/>
      <c r="AF49" s="108"/>
      <c r="AG49" s="108"/>
      <c r="AH49" s="108"/>
      <c r="AI49" s="108"/>
      <c r="AJ49" s="108"/>
      <c r="AK49" s="108"/>
      <c r="AL49" s="108"/>
      <c r="AM49" s="108"/>
      <c r="AN49" s="108"/>
      <c r="AO49" s="108"/>
      <c r="AP49" s="108"/>
      <c r="AQ49" s="108"/>
      <c r="AR49" s="108"/>
    </row>
    <row r="50" spans="1:44" s="18" customFormat="1" ht="122.25" hidden="1" customHeight="1" thickBot="1" x14ac:dyDescent="0.35">
      <c r="A50" s="108">
        <v>563</v>
      </c>
      <c r="B50" s="635" t="s">
        <v>59</v>
      </c>
      <c r="C50" s="813" t="s">
        <v>1099</v>
      </c>
      <c r="D50" s="708" t="s">
        <v>1100</v>
      </c>
      <c r="E50" s="669" t="e">
        <f>HLOOKUP($D$2,'2020 Data(H)'!$C$1:$CZ$426,213,FALSE)</f>
        <v>#N/A</v>
      </c>
      <c r="F50" s="738">
        <v>0</v>
      </c>
      <c r="G50" s="730"/>
      <c r="H50" s="731"/>
      <c r="J50" s="575"/>
      <c r="L50" s="704"/>
      <c r="N50" s="296"/>
      <c r="Z50" s="108"/>
      <c r="AA50" s="108"/>
      <c r="AB50" s="108"/>
      <c r="AC50" s="108"/>
      <c r="AD50" s="108"/>
      <c r="AE50" s="108"/>
      <c r="AF50" s="108"/>
      <c r="AG50" s="108"/>
      <c r="AH50" s="108"/>
      <c r="AI50" s="108"/>
      <c r="AJ50" s="108"/>
      <c r="AK50" s="108"/>
      <c r="AL50" s="108"/>
      <c r="AM50" s="108"/>
      <c r="AN50" s="108"/>
      <c r="AO50" s="108"/>
      <c r="AP50" s="108"/>
      <c r="AQ50" s="108"/>
      <c r="AR50" s="108"/>
    </row>
    <row r="51" spans="1:44" s="18" customFormat="1" ht="96.75" hidden="1" customHeight="1" thickBot="1" x14ac:dyDescent="0.35">
      <c r="A51" s="108">
        <v>564</v>
      </c>
      <c r="B51" s="635" t="s">
        <v>59</v>
      </c>
      <c r="C51" s="813" t="s">
        <v>1106</v>
      </c>
      <c r="D51" s="708" t="s">
        <v>1103</v>
      </c>
      <c r="E51" s="669" t="e">
        <f>HLOOKUP($D$2,'2020 Data(H)'!$C$1:$CZ$426,214,FALSE)</f>
        <v>#N/A</v>
      </c>
      <c r="F51" s="738">
        <v>0</v>
      </c>
      <c r="G51" s="730"/>
      <c r="H51" s="731"/>
      <c r="J51" s="575"/>
      <c r="L51" s="704"/>
      <c r="N51" s="296"/>
      <c r="Z51" s="108"/>
      <c r="AA51" s="108"/>
      <c r="AB51" s="108"/>
      <c r="AC51" s="108"/>
      <c r="AD51" s="108"/>
      <c r="AE51" s="108"/>
      <c r="AF51" s="108"/>
      <c r="AG51" s="108"/>
      <c r="AH51" s="108"/>
      <c r="AI51" s="108"/>
      <c r="AJ51" s="108"/>
      <c r="AK51" s="108"/>
      <c r="AL51" s="108"/>
      <c r="AM51" s="108"/>
      <c r="AN51" s="108"/>
      <c r="AO51" s="108"/>
      <c r="AP51" s="108"/>
      <c r="AQ51" s="108"/>
      <c r="AR51" s="108"/>
    </row>
    <row r="52" spans="1:44" s="18" customFormat="1" ht="93.75" hidden="1" customHeight="1" thickBot="1" x14ac:dyDescent="0.35">
      <c r="A52" s="108">
        <v>568</v>
      </c>
      <c r="B52" s="635" t="s">
        <v>59</v>
      </c>
      <c r="C52" s="813" t="s">
        <v>1106</v>
      </c>
      <c r="D52" s="708" t="s">
        <v>1105</v>
      </c>
      <c r="E52" s="669" t="e">
        <f>HLOOKUP($D$2,'2020 Data(H)'!$C$1:$CZ$426,218,FALSE)</f>
        <v>#N/A</v>
      </c>
      <c r="F52" s="738">
        <v>0</v>
      </c>
      <c r="G52" s="730"/>
      <c r="H52" s="731"/>
      <c r="J52" s="575"/>
      <c r="L52" s="704"/>
      <c r="N52" s="296"/>
      <c r="Z52" s="108"/>
      <c r="AA52" s="108"/>
      <c r="AB52" s="108"/>
      <c r="AC52" s="108"/>
      <c r="AD52" s="108"/>
      <c r="AE52" s="108"/>
      <c r="AF52" s="108"/>
      <c r="AG52" s="108"/>
      <c r="AH52" s="108"/>
      <c r="AI52" s="108"/>
      <c r="AJ52" s="108"/>
      <c r="AK52" s="108"/>
      <c r="AL52" s="108"/>
      <c r="AM52" s="108"/>
      <c r="AN52" s="108"/>
      <c r="AO52" s="108"/>
      <c r="AP52" s="108"/>
      <c r="AQ52" s="108"/>
      <c r="AR52" s="108"/>
    </row>
    <row r="53" spans="1:44" s="18" customFormat="1" ht="100.5" hidden="1" customHeight="1" thickBot="1" x14ac:dyDescent="0.35">
      <c r="A53" s="108">
        <v>565</v>
      </c>
      <c r="B53" s="635" t="s">
        <v>59</v>
      </c>
      <c r="C53" s="813" t="s">
        <v>1106</v>
      </c>
      <c r="D53" s="708" t="s">
        <v>321</v>
      </c>
      <c r="E53" s="669" t="e">
        <f>HLOOKUP($D$2,'2020 Data(H)'!$C$1:$CZ$426,215,FALSE)</f>
        <v>#N/A</v>
      </c>
      <c r="F53" s="738">
        <v>0</v>
      </c>
      <c r="G53" s="730"/>
      <c r="H53" s="731"/>
      <c r="J53" s="575"/>
      <c r="L53" s="704"/>
      <c r="N53" s="296"/>
      <c r="Z53" s="108"/>
      <c r="AA53" s="108"/>
      <c r="AB53" s="108"/>
      <c r="AC53" s="108"/>
      <c r="AD53" s="108"/>
      <c r="AE53" s="108"/>
      <c r="AF53" s="108"/>
      <c r="AG53" s="108"/>
      <c r="AH53" s="108"/>
      <c r="AI53" s="108"/>
      <c r="AJ53" s="108"/>
      <c r="AK53" s="108"/>
      <c r="AL53" s="108"/>
      <c r="AM53" s="108"/>
      <c r="AN53" s="108"/>
      <c r="AO53" s="108"/>
      <c r="AP53" s="108"/>
      <c r="AQ53" s="108"/>
      <c r="AR53" s="108"/>
    </row>
    <row r="54" spans="1:44" s="18" customFormat="1" ht="98.25" hidden="1" customHeight="1" thickBot="1" x14ac:dyDescent="0.35">
      <c r="A54" s="108">
        <v>566</v>
      </c>
      <c r="B54" s="635" t="s">
        <v>59</v>
      </c>
      <c r="C54" s="813" t="s">
        <v>1106</v>
      </c>
      <c r="D54" s="708" t="s">
        <v>323</v>
      </c>
      <c r="E54" s="669" t="e">
        <f>HLOOKUP($D$2,'2020 Data(H)'!$C$1:$CZ$426,216,FALSE)</f>
        <v>#N/A</v>
      </c>
      <c r="F54" s="738">
        <v>0</v>
      </c>
      <c r="G54" s="730"/>
      <c r="H54" s="731"/>
      <c r="J54" s="575"/>
      <c r="L54" s="704"/>
      <c r="N54" s="296"/>
      <c r="Z54" s="108"/>
      <c r="AA54" s="108"/>
      <c r="AB54" s="108"/>
      <c r="AC54" s="108"/>
      <c r="AD54" s="108"/>
      <c r="AE54" s="108"/>
      <c r="AF54" s="108"/>
      <c r="AG54" s="108"/>
      <c r="AH54" s="108"/>
      <c r="AI54" s="108"/>
      <c r="AJ54" s="108"/>
      <c r="AK54" s="108"/>
      <c r="AL54" s="108"/>
      <c r="AM54" s="108"/>
      <c r="AN54" s="108"/>
      <c r="AO54" s="108"/>
      <c r="AP54" s="108"/>
      <c r="AQ54" s="108"/>
      <c r="AR54" s="108"/>
    </row>
    <row r="55" spans="1:44" s="18" customFormat="1" ht="111" hidden="1" customHeight="1" thickBot="1" x14ac:dyDescent="0.35">
      <c r="A55" s="108">
        <v>567</v>
      </c>
      <c r="B55" s="635" t="s">
        <v>59</v>
      </c>
      <c r="C55" s="813" t="s">
        <v>1106</v>
      </c>
      <c r="D55" s="708" t="s">
        <v>1098</v>
      </c>
      <c r="E55" s="669" t="e">
        <f>HLOOKUP($D$2,'2020 Data(H)'!$C$1:$CZ$426,217,FALSE)</f>
        <v>#N/A</v>
      </c>
      <c r="F55" s="738">
        <v>0</v>
      </c>
      <c r="G55" s="730"/>
      <c r="H55" s="731"/>
      <c r="J55" s="575"/>
      <c r="L55" s="704"/>
      <c r="N55" s="296"/>
      <c r="Z55" s="108"/>
      <c r="AA55" s="108"/>
      <c r="AB55" s="108"/>
      <c r="AC55" s="108"/>
      <c r="AD55" s="108"/>
      <c r="AE55" s="108"/>
      <c r="AF55" s="108"/>
      <c r="AG55" s="108"/>
      <c r="AH55" s="108"/>
      <c r="AI55" s="108"/>
      <c r="AJ55" s="108"/>
      <c r="AK55" s="108"/>
      <c r="AL55" s="108"/>
      <c r="AM55" s="108"/>
      <c r="AN55" s="108"/>
      <c r="AO55" s="108"/>
      <c r="AP55" s="108"/>
      <c r="AQ55" s="108"/>
      <c r="AR55" s="108"/>
    </row>
    <row r="56" spans="1:44" s="18" customFormat="1" ht="71.25" hidden="1" customHeight="1" thickBot="1" x14ac:dyDescent="0.35">
      <c r="A56" s="108">
        <v>562</v>
      </c>
      <c r="B56" s="635" t="s">
        <v>59</v>
      </c>
      <c r="C56" s="813" t="s">
        <v>13</v>
      </c>
      <c r="D56" s="124" t="s">
        <v>1107</v>
      </c>
      <c r="E56" s="669" t="e">
        <f>HLOOKUP($D$2,'2020 Data(H)'!$C$1:$CZ$426,212,FALSE)</f>
        <v>#N/A</v>
      </c>
      <c r="F56" s="738">
        <v>0</v>
      </c>
      <c r="G56" s="730"/>
      <c r="H56" s="731"/>
      <c r="J56" s="575"/>
      <c r="L56" s="704"/>
      <c r="N56" s="296"/>
      <c r="Z56" s="108"/>
      <c r="AA56" s="108"/>
      <c r="AB56" s="108"/>
      <c r="AC56" s="108"/>
      <c r="AD56" s="108"/>
      <c r="AE56" s="108"/>
      <c r="AF56" s="108"/>
      <c r="AG56" s="108"/>
      <c r="AH56" s="108"/>
      <c r="AI56" s="108"/>
      <c r="AJ56" s="108"/>
      <c r="AK56" s="108"/>
      <c r="AL56" s="108"/>
      <c r="AM56" s="108"/>
      <c r="AN56" s="108"/>
      <c r="AO56" s="108"/>
      <c r="AP56" s="108"/>
      <c r="AQ56" s="108"/>
      <c r="AR56" s="108"/>
    </row>
    <row r="57" spans="1:44" s="18" customFormat="1" ht="71.25" hidden="1" customHeight="1" thickBot="1" x14ac:dyDescent="0.35">
      <c r="A57" s="108">
        <v>569</v>
      </c>
      <c r="B57" s="635" t="s">
        <v>59</v>
      </c>
      <c r="C57" s="813" t="s">
        <v>13</v>
      </c>
      <c r="D57" s="708" t="s">
        <v>1108</v>
      </c>
      <c r="E57" s="669" t="e">
        <f>HLOOKUP($D$2,'2020 Data(H)'!$C$1:$CZ$426,219,FALSE)</f>
        <v>#N/A</v>
      </c>
      <c r="F57" s="738">
        <v>0</v>
      </c>
      <c r="G57" s="730"/>
      <c r="H57" s="731"/>
      <c r="J57" s="575"/>
      <c r="L57" s="704"/>
      <c r="N57" s="296"/>
      <c r="Z57" s="108"/>
      <c r="AA57" s="108"/>
      <c r="AB57" s="108"/>
      <c r="AC57" s="108"/>
      <c r="AD57" s="108"/>
      <c r="AE57" s="108"/>
      <c r="AF57" s="108"/>
      <c r="AG57" s="108"/>
      <c r="AH57" s="108"/>
      <c r="AI57" s="108"/>
      <c r="AJ57" s="108"/>
      <c r="AK57" s="108"/>
      <c r="AL57" s="108"/>
      <c r="AM57" s="108"/>
      <c r="AN57" s="108"/>
      <c r="AO57" s="108"/>
      <c r="AP57" s="108"/>
      <c r="AQ57" s="108"/>
      <c r="AR57" s="108"/>
    </row>
    <row r="58" spans="1:44" ht="27" customHeight="1" thickBot="1" x14ac:dyDescent="0.35">
      <c r="A58" s="108"/>
      <c r="B58" s="841" t="s">
        <v>145</v>
      </c>
      <c r="C58" s="842"/>
      <c r="D58" s="850"/>
      <c r="E58" s="847"/>
      <c r="F58" s="851"/>
      <c r="G58" s="852"/>
      <c r="H58" s="17"/>
      <c r="I58" s="79"/>
      <c r="L58" s="704"/>
      <c r="Z58" s="108"/>
      <c r="AA58" s="108"/>
      <c r="AB58" s="108"/>
      <c r="AC58" s="108"/>
      <c r="AD58" s="108"/>
      <c r="AE58" s="108"/>
      <c r="AF58" s="108"/>
      <c r="AG58" s="108"/>
      <c r="AH58" s="108"/>
      <c r="AI58" s="108"/>
      <c r="AJ58" s="108"/>
      <c r="AK58" s="108"/>
      <c r="AL58" s="108"/>
      <c r="AM58" s="108"/>
      <c r="AN58" s="108"/>
      <c r="AO58" s="108"/>
      <c r="AP58" s="108"/>
      <c r="AQ58" s="108"/>
      <c r="AR58" s="108"/>
    </row>
    <row r="59" spans="1:44" s="18" customFormat="1" ht="55.5" customHeight="1" thickBot="1" x14ac:dyDescent="0.35">
      <c r="A59" s="108">
        <v>506</v>
      </c>
      <c r="B59" s="814" t="s">
        <v>55</v>
      </c>
      <c r="C59" s="814" t="s">
        <v>149</v>
      </c>
      <c r="D59" s="107" t="s">
        <v>1155</v>
      </c>
      <c r="E59" s="927" t="e">
        <f>HLOOKUP($D$2,'2020 Data(H)'!$C$1:$CZ$426,156,FALSE)</f>
        <v>#N/A</v>
      </c>
      <c r="F59" s="295">
        <v>0</v>
      </c>
      <c r="G59" s="730">
        <f>IF(F59&lt;0,"Note: Number is normally positive.",)</f>
        <v>0</v>
      </c>
      <c r="H59" s="731"/>
      <c r="I59" s="79"/>
      <c r="J59" s="575"/>
      <c r="L59" s="704"/>
      <c r="N59" s="296"/>
      <c r="Z59" s="108"/>
      <c r="AA59" s="108"/>
      <c r="AB59" s="108"/>
      <c r="AC59" s="108"/>
      <c r="AD59" s="108"/>
      <c r="AE59" s="108"/>
      <c r="AF59" s="108"/>
      <c r="AG59" s="108"/>
      <c r="AH59" s="108"/>
      <c r="AI59" s="108"/>
      <c r="AJ59" s="108"/>
      <c r="AK59" s="108"/>
      <c r="AL59" s="108"/>
      <c r="AM59" s="108"/>
      <c r="AN59" s="108"/>
      <c r="AO59" s="108"/>
      <c r="AP59" s="108"/>
      <c r="AQ59" s="108"/>
      <c r="AR59" s="108"/>
    </row>
    <row r="60" spans="1:44" s="18" customFormat="1" ht="45.75" customHeight="1" thickBot="1" x14ac:dyDescent="0.35">
      <c r="A60" s="108">
        <v>536</v>
      </c>
      <c r="B60" s="814" t="s">
        <v>55</v>
      </c>
      <c r="C60" s="814" t="s">
        <v>149</v>
      </c>
      <c r="D60" s="107" t="s">
        <v>146</v>
      </c>
      <c r="E60" s="669" t="e">
        <f>HLOOKUP($D$2,'2020 Data(H)'!$C$1:$CZ$426,186,FALSE)</f>
        <v>#N/A</v>
      </c>
      <c r="F60" s="295">
        <v>0</v>
      </c>
      <c r="G60" s="730">
        <f>IF(F60&lt;0,"Note: Number is normally positive.",)</f>
        <v>0</v>
      </c>
      <c r="H60" s="731"/>
      <c r="I60" s="732"/>
      <c r="J60" s="575"/>
      <c r="L60" s="704"/>
      <c r="N60" s="296"/>
      <c r="Z60" s="108"/>
      <c r="AA60" s="108"/>
      <c r="AB60" s="108"/>
      <c r="AC60" s="108"/>
      <c r="AD60" s="108"/>
      <c r="AE60" s="108"/>
      <c r="AF60" s="108"/>
      <c r="AG60" s="108"/>
      <c r="AH60" s="108"/>
      <c r="AI60" s="108"/>
      <c r="AJ60" s="108"/>
      <c r="AK60" s="108"/>
      <c r="AL60" s="108"/>
      <c r="AM60" s="108"/>
      <c r="AN60" s="108"/>
      <c r="AO60" s="108"/>
      <c r="AP60" s="108"/>
      <c r="AQ60" s="108"/>
      <c r="AR60" s="108"/>
    </row>
    <row r="61" spans="1:44" s="18" customFormat="1" ht="51.75" customHeight="1" thickBot="1" x14ac:dyDescent="0.35">
      <c r="A61" s="108">
        <v>586</v>
      </c>
      <c r="B61" s="814" t="s">
        <v>59</v>
      </c>
      <c r="C61" s="814" t="s">
        <v>149</v>
      </c>
      <c r="D61" s="680" t="s">
        <v>347</v>
      </c>
      <c r="E61" s="669" t="e">
        <f>HLOOKUP($D$2,'2020 Data(H)'!$C$1:$CZ$426,236,FALSE)</f>
        <v>#N/A</v>
      </c>
      <c r="F61" s="295">
        <v>0</v>
      </c>
      <c r="G61" s="730">
        <f>IF(F61&lt;0,"Note: Number is normally positive.",)</f>
        <v>0</v>
      </c>
      <c r="H61" s="731"/>
      <c r="I61" s="732"/>
      <c r="L61" s="704"/>
      <c r="N61" s="296"/>
      <c r="Z61" s="108"/>
      <c r="AA61" s="108"/>
      <c r="AB61" s="108"/>
      <c r="AC61" s="108"/>
      <c r="AD61" s="108"/>
      <c r="AE61" s="108"/>
      <c r="AF61" s="108"/>
      <c r="AG61" s="108"/>
      <c r="AH61" s="108"/>
      <c r="AI61" s="108"/>
      <c r="AJ61" s="108"/>
      <c r="AK61" s="108"/>
      <c r="AL61" s="108"/>
      <c r="AM61" s="108"/>
      <c r="AN61" s="108"/>
      <c r="AO61" s="108"/>
      <c r="AP61" s="108"/>
      <c r="AQ61" s="108"/>
      <c r="AR61" s="108"/>
    </row>
    <row r="62" spans="1:44" ht="37.5" customHeight="1" thickBot="1" x14ac:dyDescent="0.35">
      <c r="A62" s="108">
        <v>379</v>
      </c>
      <c r="B62" s="814" t="s">
        <v>60</v>
      </c>
      <c r="C62" s="814" t="s">
        <v>149</v>
      </c>
      <c r="D62" s="107" t="s">
        <v>130</v>
      </c>
      <c r="E62" s="669" t="e">
        <f>HLOOKUP($D$2,'2020 Data(H)'!$C$1:$CZ$426,138,FALSE)</f>
        <v>#N/A</v>
      </c>
      <c r="F62" s="295">
        <v>0</v>
      </c>
      <c r="G62" s="730">
        <f>IF((F59+F60)&gt;F62,"Error: Please review account numbers (506+536)&gt;379",)</f>
        <v>0</v>
      </c>
      <c r="H62" s="17"/>
      <c r="I62" s="79"/>
      <c r="J62" s="575"/>
      <c r="L62" s="704"/>
      <c r="Z62" s="108"/>
      <c r="AA62" s="108"/>
      <c r="AB62" s="108"/>
      <c r="AC62" s="108"/>
      <c r="AD62" s="108"/>
      <c r="AE62" s="108"/>
      <c r="AF62" s="108"/>
      <c r="AG62" s="108"/>
      <c r="AH62" s="108"/>
      <c r="AI62" s="108"/>
      <c r="AJ62" s="108"/>
      <c r="AK62" s="108"/>
      <c r="AL62" s="108"/>
      <c r="AM62" s="108"/>
      <c r="AN62" s="108"/>
      <c r="AO62" s="108"/>
      <c r="AP62" s="108"/>
      <c r="AQ62" s="108"/>
      <c r="AR62" s="108"/>
    </row>
    <row r="63" spans="1:44" ht="93" hidden="1" customHeight="1" thickBot="1" x14ac:dyDescent="0.35">
      <c r="A63" s="108">
        <v>368</v>
      </c>
      <c r="B63" s="814" t="s">
        <v>69</v>
      </c>
      <c r="C63" s="814" t="s">
        <v>149</v>
      </c>
      <c r="D63" s="708" t="s">
        <v>1156</v>
      </c>
      <c r="E63" s="669" t="e">
        <f>HLOOKUP($D$2,'2020 Data(H)'!$C$1:$CZ$426,129,FALSE)</f>
        <v>#N/A</v>
      </c>
      <c r="F63" s="295">
        <v>0</v>
      </c>
      <c r="G63" s="730">
        <f t="shared" ref="G63:G69" si="1">IF(F63&lt;0,"Error: Enter as positive.",)</f>
        <v>0</v>
      </c>
      <c r="H63" s="17"/>
      <c r="I63" s="731"/>
      <c r="J63" s="575"/>
      <c r="L63" s="704"/>
      <c r="Z63" s="108"/>
      <c r="AA63" s="108"/>
      <c r="AB63" s="108"/>
      <c r="AC63" s="108"/>
      <c r="AD63" s="108"/>
      <c r="AE63" s="108"/>
      <c r="AF63" s="108"/>
      <c r="AG63" s="108"/>
      <c r="AH63" s="108"/>
      <c r="AI63" s="108"/>
      <c r="AJ63" s="108"/>
      <c r="AK63" s="108"/>
      <c r="AL63" s="108"/>
      <c r="AM63" s="108"/>
      <c r="AN63" s="108"/>
      <c r="AO63" s="108"/>
      <c r="AP63" s="108"/>
      <c r="AQ63" s="108"/>
      <c r="AR63" s="108"/>
    </row>
    <row r="64" spans="1:44" ht="99.75" customHeight="1" thickBot="1" x14ac:dyDescent="0.35">
      <c r="A64" s="108">
        <v>4</v>
      </c>
      <c r="B64" s="814" t="s">
        <v>55</v>
      </c>
      <c r="C64" s="814" t="s">
        <v>149</v>
      </c>
      <c r="D64" s="306" t="s">
        <v>1157</v>
      </c>
      <c r="E64" s="669" t="e">
        <f>HLOOKUP($D$2,'2020 Data(H)'!$C$1:$CZ$426,3,FALSE)</f>
        <v>#N/A</v>
      </c>
      <c r="F64" s="295">
        <v>0</v>
      </c>
      <c r="G64" s="730">
        <f t="shared" si="1"/>
        <v>0</v>
      </c>
      <c r="H64" s="17"/>
      <c r="I64" s="79"/>
      <c r="J64" s="575"/>
      <c r="L64" s="704"/>
      <c r="Z64" s="108"/>
      <c r="AA64" s="108"/>
      <c r="AB64" s="108"/>
      <c r="AC64" s="108"/>
      <c r="AD64" s="108"/>
      <c r="AE64" s="108"/>
      <c r="AF64" s="108"/>
      <c r="AG64" s="108"/>
      <c r="AH64" s="108"/>
      <c r="AI64" s="108"/>
      <c r="AJ64" s="108"/>
      <c r="AK64" s="108"/>
      <c r="AL64" s="108"/>
      <c r="AM64" s="108"/>
      <c r="AN64" s="108"/>
      <c r="AO64" s="108"/>
      <c r="AP64" s="108"/>
      <c r="AQ64" s="108"/>
      <c r="AR64" s="108"/>
    </row>
    <row r="65" spans="1:44" ht="132" customHeight="1" thickBot="1" x14ac:dyDescent="0.35">
      <c r="A65" s="108">
        <v>5</v>
      </c>
      <c r="B65" s="814" t="s">
        <v>55</v>
      </c>
      <c r="C65" s="814" t="s">
        <v>149</v>
      </c>
      <c r="D65" s="335" t="s">
        <v>1158</v>
      </c>
      <c r="E65" s="669" t="e">
        <f>HLOOKUP($D$2,'2020 Data(H)'!$C$1:$CZ$426,4,FALSE)</f>
        <v>#N/A</v>
      </c>
      <c r="F65" s="295">
        <v>0</v>
      </c>
      <c r="G65" s="730">
        <f t="shared" si="1"/>
        <v>0</v>
      </c>
      <c r="H65" s="17"/>
      <c r="I65" s="79"/>
      <c r="J65" s="575"/>
      <c r="L65" s="704"/>
      <c r="Z65" s="108"/>
      <c r="AA65" s="108"/>
      <c r="AB65" s="108"/>
      <c r="AC65" s="108"/>
      <c r="AD65" s="108"/>
      <c r="AE65" s="108"/>
      <c r="AF65" s="108"/>
      <c r="AG65" s="108"/>
      <c r="AH65" s="108"/>
      <c r="AI65" s="108"/>
      <c r="AJ65" s="108"/>
      <c r="AK65" s="108"/>
      <c r="AL65" s="108"/>
      <c r="AM65" s="108"/>
      <c r="AN65" s="108"/>
      <c r="AO65" s="108"/>
      <c r="AP65" s="108"/>
      <c r="AQ65" s="108"/>
      <c r="AR65" s="108"/>
    </row>
    <row r="66" spans="1:44" ht="93.75" customHeight="1" thickBot="1" x14ac:dyDescent="0.35">
      <c r="A66" s="108">
        <v>380</v>
      </c>
      <c r="B66" s="814" t="s">
        <v>60</v>
      </c>
      <c r="C66" s="814" t="s">
        <v>149</v>
      </c>
      <c r="D66" s="335" t="s">
        <v>1159</v>
      </c>
      <c r="E66" s="669" t="e">
        <f>HLOOKUP($D$2,'2020 Data(H)'!$C$1:$CZ$426,139,FALSE)</f>
        <v>#N/A</v>
      </c>
      <c r="F66" s="295">
        <v>0</v>
      </c>
      <c r="G66" s="730">
        <f t="shared" si="1"/>
        <v>0</v>
      </c>
      <c r="H66" s="17"/>
      <c r="I66" s="79"/>
      <c r="J66" s="575"/>
      <c r="L66" s="704"/>
      <c r="Z66" s="108"/>
      <c r="AA66" s="108"/>
      <c r="AB66" s="108"/>
      <c r="AC66" s="108"/>
      <c r="AD66" s="108"/>
      <c r="AE66" s="108"/>
      <c r="AF66" s="108"/>
      <c r="AG66" s="108"/>
      <c r="AH66" s="108"/>
      <c r="AI66" s="108"/>
      <c r="AJ66" s="108"/>
      <c r="AK66" s="108"/>
      <c r="AL66" s="108"/>
      <c r="AM66" s="108"/>
      <c r="AN66" s="108"/>
      <c r="AO66" s="108"/>
      <c r="AP66" s="108"/>
      <c r="AQ66" s="108"/>
      <c r="AR66" s="108"/>
    </row>
    <row r="67" spans="1:44" ht="48.75" customHeight="1" thickBot="1" x14ac:dyDescent="0.35">
      <c r="A67" s="108">
        <v>391</v>
      </c>
      <c r="B67" s="814" t="s">
        <v>69</v>
      </c>
      <c r="C67" s="814" t="s">
        <v>149</v>
      </c>
      <c r="D67" s="107" t="s">
        <v>147</v>
      </c>
      <c r="E67" s="669" t="e">
        <f>HLOOKUP($D$2,'2020 Data(H)'!$C$1:$CZ$426,149,FALSE)</f>
        <v>#N/A</v>
      </c>
      <c r="F67" s="295">
        <v>0</v>
      </c>
      <c r="G67" s="730">
        <f t="shared" si="1"/>
        <v>0</v>
      </c>
      <c r="H67" s="17"/>
      <c r="I67" s="79"/>
      <c r="J67" s="575"/>
      <c r="L67" s="704"/>
      <c r="Z67" s="108"/>
      <c r="AA67" s="108"/>
      <c r="AB67" s="108"/>
      <c r="AC67" s="108"/>
      <c r="AD67" s="108"/>
      <c r="AE67" s="108"/>
      <c r="AF67" s="108"/>
      <c r="AG67" s="108"/>
      <c r="AH67" s="108"/>
      <c r="AI67" s="108"/>
      <c r="AJ67" s="108"/>
      <c r="AK67" s="108"/>
      <c r="AL67" s="108"/>
      <c r="AM67" s="108"/>
      <c r="AN67" s="108"/>
      <c r="AO67" s="108"/>
      <c r="AP67" s="108"/>
      <c r="AQ67" s="108"/>
      <c r="AR67" s="108"/>
    </row>
    <row r="68" spans="1:44" ht="51.75" customHeight="1" thickBot="1" x14ac:dyDescent="0.35">
      <c r="A68" s="108">
        <v>7</v>
      </c>
      <c r="B68" s="814" t="s">
        <v>69</v>
      </c>
      <c r="C68" s="814" t="s">
        <v>149</v>
      </c>
      <c r="D68" s="107" t="s">
        <v>148</v>
      </c>
      <c r="E68" s="669" t="e">
        <f>HLOOKUP($D$2,'2020 Data(H)'!$C$1:$CZ$426,6,FALSE)</f>
        <v>#N/A</v>
      </c>
      <c r="F68" s="295">
        <v>0</v>
      </c>
      <c r="G68" s="730">
        <f t="shared" si="1"/>
        <v>0</v>
      </c>
      <c r="H68" s="17"/>
      <c r="I68" s="79"/>
      <c r="J68" s="575"/>
      <c r="L68" s="704"/>
      <c r="Z68" s="108"/>
      <c r="AA68" s="108"/>
      <c r="AB68" s="108"/>
      <c r="AC68" s="108"/>
      <c r="AD68" s="108"/>
      <c r="AE68" s="108"/>
      <c r="AF68" s="108"/>
      <c r="AG68" s="108"/>
      <c r="AH68" s="108"/>
      <c r="AI68" s="108"/>
      <c r="AJ68" s="108"/>
      <c r="AK68" s="108"/>
      <c r="AL68" s="108"/>
      <c r="AM68" s="108"/>
      <c r="AN68" s="108"/>
      <c r="AO68" s="108"/>
      <c r="AP68" s="108"/>
      <c r="AQ68" s="108"/>
      <c r="AR68" s="108"/>
    </row>
    <row r="69" spans="1:44" ht="78.75" hidden="1" customHeight="1" thickBot="1" x14ac:dyDescent="0.35">
      <c r="A69" s="108">
        <v>11</v>
      </c>
      <c r="B69" s="814" t="s">
        <v>69</v>
      </c>
      <c r="C69" s="814" t="s">
        <v>149</v>
      </c>
      <c r="D69" s="708" t="s">
        <v>1160</v>
      </c>
      <c r="E69" s="669" t="e">
        <f>HLOOKUP($D$2,'2020 Data(H)'!$C$1:$CZ$426,8,FALSE)</f>
        <v>#N/A</v>
      </c>
      <c r="F69" s="295">
        <v>0</v>
      </c>
      <c r="G69" s="730">
        <f t="shared" si="1"/>
        <v>0</v>
      </c>
      <c r="H69" s="17"/>
      <c r="I69" s="79"/>
      <c r="J69" s="575"/>
      <c r="L69" s="704"/>
      <c r="Z69" s="108"/>
      <c r="AA69" s="108"/>
      <c r="AB69" s="108"/>
      <c r="AC69" s="108"/>
      <c r="AD69" s="108"/>
      <c r="AE69" s="108"/>
      <c r="AF69" s="108"/>
      <c r="AG69" s="108"/>
      <c r="AH69" s="108"/>
      <c r="AI69" s="108"/>
      <c r="AJ69" s="108"/>
      <c r="AK69" s="108"/>
      <c r="AL69" s="108"/>
      <c r="AM69" s="108"/>
      <c r="AN69" s="108"/>
      <c r="AO69" s="108"/>
      <c r="AP69" s="108"/>
      <c r="AQ69" s="108"/>
      <c r="AR69" s="108"/>
    </row>
    <row r="70" spans="1:44" ht="78.75" customHeight="1" thickBot="1" x14ac:dyDescent="0.35">
      <c r="A70" s="307">
        <v>645</v>
      </c>
      <c r="B70" s="811" t="s">
        <v>440</v>
      </c>
      <c r="C70" s="811" t="s">
        <v>149</v>
      </c>
      <c r="D70" s="703" t="s">
        <v>473</v>
      </c>
      <c r="E70" s="669" t="e">
        <f>HLOOKUP($D$2,'2020 Data(H)'!$C$1:$CZ$426,304,FALSE)</f>
        <v>#N/A</v>
      </c>
      <c r="F70" s="295">
        <v>0</v>
      </c>
      <c r="G70" s="730">
        <f>IF(F70&lt;0,"Note: Number is normally positive.",)</f>
        <v>0</v>
      </c>
      <c r="H70" s="731"/>
      <c r="I70" s="732"/>
      <c r="J70" s="575"/>
      <c r="L70" s="704"/>
      <c r="Z70" s="307"/>
      <c r="AA70" s="307"/>
      <c r="AB70" s="307"/>
      <c r="AC70" s="307"/>
      <c r="AD70" s="307"/>
      <c r="AE70" s="307"/>
      <c r="AF70" s="307"/>
      <c r="AG70" s="307"/>
      <c r="AH70" s="307"/>
      <c r="AI70" s="307"/>
      <c r="AJ70" s="307"/>
      <c r="AK70" s="307"/>
      <c r="AL70" s="307"/>
      <c r="AM70" s="307"/>
      <c r="AN70" s="307"/>
      <c r="AO70" s="307"/>
      <c r="AP70" s="307"/>
      <c r="AQ70" s="307"/>
      <c r="AR70" s="307"/>
    </row>
    <row r="71" spans="1:44" ht="78.75" customHeight="1" thickBot="1" x14ac:dyDescent="0.35">
      <c r="A71" s="307">
        <v>646</v>
      </c>
      <c r="B71" s="811" t="s">
        <v>440</v>
      </c>
      <c r="C71" s="811" t="s">
        <v>149</v>
      </c>
      <c r="D71" s="306" t="s">
        <v>441</v>
      </c>
      <c r="E71" s="669" t="e">
        <f>HLOOKUP($D$2,'2020 Data(H)'!$C$1:$CZ$426,305,FALSE)</f>
        <v>#N/A</v>
      </c>
      <c r="F71" s="295">
        <v>0</v>
      </c>
      <c r="G71" s="730">
        <f>IF(F71&lt;0,"Note: Number is normally positive.",)</f>
        <v>0</v>
      </c>
      <c r="H71" s="731"/>
      <c r="I71" s="732"/>
      <c r="J71" s="575"/>
      <c r="L71" s="704"/>
      <c r="Z71" s="307"/>
      <c r="AA71" s="307"/>
      <c r="AB71" s="307"/>
      <c r="AC71" s="307"/>
      <c r="AD71" s="307"/>
      <c r="AE71" s="307"/>
      <c r="AF71" s="307"/>
      <c r="AG71" s="307"/>
      <c r="AH71" s="307"/>
      <c r="AI71" s="307"/>
      <c r="AJ71" s="307"/>
      <c r="AK71" s="307"/>
      <c r="AL71" s="307"/>
      <c r="AM71" s="307"/>
      <c r="AN71" s="307"/>
      <c r="AO71" s="307"/>
      <c r="AP71" s="307"/>
      <c r="AQ71" s="307"/>
      <c r="AR71" s="307"/>
    </row>
    <row r="72" spans="1:44" ht="57.75" customHeight="1" thickBot="1" x14ac:dyDescent="0.35">
      <c r="A72" s="108">
        <v>9</v>
      </c>
      <c r="B72" s="814" t="s">
        <v>60</v>
      </c>
      <c r="C72" s="814" t="s">
        <v>149</v>
      </c>
      <c r="D72" s="708" t="s">
        <v>1161</v>
      </c>
      <c r="E72" s="669" t="e">
        <f>HLOOKUP($D$2,'2020 Data(H)'!$C$1:$CZ$426,7,FALSE)</f>
        <v>#N/A</v>
      </c>
      <c r="F72" s="295">
        <v>0</v>
      </c>
      <c r="G72" s="730">
        <f>IF(F62-F64-F65-F66-F72=0,,"Error: Total assets less total liabilities do not equal total fund balance. Account numbers 379-4-5-380-9= 0  The amount of the formula is in the cell to the right")</f>
        <v>0</v>
      </c>
      <c r="H72" s="733">
        <f>F62-F64-F65-F66-F72</f>
        <v>0</v>
      </c>
      <c r="I72" s="79"/>
      <c r="J72" s="575"/>
      <c r="L72" s="704"/>
      <c r="Z72" s="108"/>
      <c r="AA72" s="108"/>
      <c r="AB72" s="108"/>
      <c r="AC72" s="108"/>
      <c r="AD72" s="108"/>
      <c r="AE72" s="108"/>
      <c r="AF72" s="108"/>
      <c r="AG72" s="108"/>
      <c r="AH72" s="108"/>
      <c r="AI72" s="108"/>
      <c r="AJ72" s="108"/>
      <c r="AK72" s="108"/>
      <c r="AL72" s="108"/>
      <c r="AM72" s="108"/>
      <c r="AN72" s="108"/>
      <c r="AO72" s="108"/>
      <c r="AP72" s="108"/>
      <c r="AQ72" s="108"/>
      <c r="AR72" s="108"/>
    </row>
    <row r="73" spans="1:44" s="18" customFormat="1" ht="63.75" hidden="1" customHeight="1" thickBot="1" x14ac:dyDescent="0.35">
      <c r="A73" s="108">
        <v>540</v>
      </c>
      <c r="B73" s="635" t="s">
        <v>59</v>
      </c>
      <c r="C73" s="635" t="s">
        <v>1162</v>
      </c>
      <c r="D73" s="107" t="s">
        <v>474</v>
      </c>
      <c r="E73" s="669" t="e">
        <f>HLOOKUP($D$2,'2020 Data(H)'!$C$1:$CZ$426,190,FALSE)</f>
        <v>#N/A</v>
      </c>
      <c r="F73" s="295">
        <v>0</v>
      </c>
      <c r="G73" s="730"/>
      <c r="H73" s="731"/>
      <c r="I73" s="732"/>
      <c r="J73" s="575"/>
      <c r="L73" s="704"/>
      <c r="N73" s="296"/>
      <c r="Z73" s="108"/>
      <c r="AA73" s="108"/>
      <c r="AB73" s="108"/>
      <c r="AC73" s="108"/>
      <c r="AD73" s="108"/>
      <c r="AE73" s="108"/>
      <c r="AF73" s="108"/>
      <c r="AG73" s="108"/>
      <c r="AH73" s="108"/>
      <c r="AI73" s="108"/>
      <c r="AJ73" s="108"/>
      <c r="AK73" s="108"/>
      <c r="AL73" s="108"/>
      <c r="AM73" s="108"/>
      <c r="AN73" s="108"/>
      <c r="AO73" s="108"/>
      <c r="AP73" s="108"/>
      <c r="AQ73" s="108"/>
      <c r="AR73" s="108"/>
    </row>
    <row r="74" spans="1:44" ht="30" customHeight="1" thickBot="1" x14ac:dyDescent="0.35">
      <c r="A74" s="108"/>
      <c r="B74" s="841" t="s">
        <v>151</v>
      </c>
      <c r="C74" s="842"/>
      <c r="D74" s="846"/>
      <c r="E74" s="847"/>
      <c r="F74" s="848"/>
      <c r="G74" s="849"/>
      <c r="H74" s="17"/>
      <c r="I74" s="79"/>
      <c r="L74" s="704"/>
      <c r="Z74" s="108"/>
      <c r="AA74" s="108"/>
      <c r="AB74" s="108"/>
      <c r="AC74" s="108"/>
      <c r="AD74" s="108"/>
      <c r="AE74" s="108"/>
      <c r="AF74" s="108"/>
      <c r="AG74" s="108"/>
      <c r="AH74" s="108"/>
      <c r="AI74" s="108"/>
      <c r="AJ74" s="108"/>
      <c r="AK74" s="108"/>
      <c r="AL74" s="108"/>
      <c r="AM74" s="108"/>
      <c r="AN74" s="108"/>
      <c r="AO74" s="108"/>
      <c r="AP74" s="108"/>
      <c r="AQ74" s="108"/>
      <c r="AR74" s="108"/>
    </row>
    <row r="75" spans="1:44" ht="82.5" hidden="1" customHeight="1" thickBot="1" x14ac:dyDescent="0.35">
      <c r="A75" s="108">
        <v>984</v>
      </c>
      <c r="B75" s="714" t="s">
        <v>762</v>
      </c>
      <c r="C75" s="714" t="s">
        <v>1162</v>
      </c>
      <c r="D75" s="739" t="s">
        <v>1257</v>
      </c>
      <c r="E75" s="669" t="s">
        <v>763</v>
      </c>
      <c r="F75" s="295">
        <v>0</v>
      </c>
      <c r="G75" s="730"/>
      <c r="H75" s="17"/>
      <c r="I75" s="79"/>
      <c r="J75" s="575"/>
      <c r="L75" s="704"/>
      <c r="Z75" s="108"/>
      <c r="AA75" s="108"/>
      <c r="AB75" s="108"/>
      <c r="AC75" s="108"/>
      <c r="AD75" s="108"/>
      <c r="AE75" s="108"/>
      <c r="AF75" s="108"/>
      <c r="AG75" s="108"/>
      <c r="AH75" s="108"/>
      <c r="AI75" s="108"/>
      <c r="AJ75" s="108"/>
      <c r="AK75" s="108"/>
      <c r="AL75" s="108"/>
      <c r="AM75" s="108"/>
      <c r="AN75" s="108"/>
      <c r="AO75" s="108"/>
      <c r="AP75" s="108"/>
      <c r="AQ75" s="108"/>
      <c r="AR75" s="108"/>
    </row>
    <row r="76" spans="1:44" ht="69" hidden="1" customHeight="1" thickBot="1" x14ac:dyDescent="0.35">
      <c r="A76" s="108">
        <v>985</v>
      </c>
      <c r="B76" s="714" t="s">
        <v>762</v>
      </c>
      <c r="C76" s="714" t="s">
        <v>1162</v>
      </c>
      <c r="D76" s="739" t="s">
        <v>1258</v>
      </c>
      <c r="E76" s="669" t="s">
        <v>763</v>
      </c>
      <c r="F76" s="295">
        <v>0</v>
      </c>
      <c r="G76" s="730"/>
      <c r="H76" s="17"/>
      <c r="I76" s="79"/>
      <c r="J76" s="575"/>
      <c r="L76" s="704"/>
      <c r="Z76" s="108"/>
      <c r="AA76" s="108"/>
      <c r="AB76" s="108"/>
      <c r="AC76" s="108"/>
      <c r="AD76" s="108"/>
      <c r="AE76" s="108"/>
      <c r="AF76" s="108"/>
      <c r="AG76" s="108"/>
      <c r="AH76" s="108"/>
      <c r="AI76" s="108"/>
      <c r="AJ76" s="108"/>
      <c r="AK76" s="108"/>
      <c r="AL76" s="108"/>
      <c r="AM76" s="108"/>
      <c r="AN76" s="108"/>
      <c r="AO76" s="108"/>
      <c r="AP76" s="108"/>
      <c r="AQ76" s="108"/>
      <c r="AR76" s="108"/>
    </row>
    <row r="77" spans="1:44" ht="52.5" hidden="1" customHeight="1" thickBot="1" x14ac:dyDescent="0.35">
      <c r="A77" s="108">
        <v>369</v>
      </c>
      <c r="B77" s="593" t="s">
        <v>56</v>
      </c>
      <c r="C77" s="593" t="s">
        <v>152</v>
      </c>
      <c r="D77" s="708" t="s">
        <v>1163</v>
      </c>
      <c r="E77" s="669" t="e">
        <f>HLOOKUP($D$2,'2020 Data(H)'!$C$1:$CZ$426,130,FALSE)</f>
        <v>#N/A</v>
      </c>
      <c r="F77" s="295">
        <v>0</v>
      </c>
      <c r="G77" s="730"/>
      <c r="H77" s="17"/>
      <c r="I77" s="79"/>
      <c r="J77" s="575"/>
      <c r="L77" s="704"/>
      <c r="Z77" s="108"/>
      <c r="AA77" s="108"/>
      <c r="AB77" s="108"/>
      <c r="AC77" s="108"/>
      <c r="AD77" s="108"/>
      <c r="AE77" s="108"/>
      <c r="AF77" s="108"/>
      <c r="AG77" s="108"/>
      <c r="AH77" s="108"/>
      <c r="AI77" s="108"/>
      <c r="AJ77" s="108"/>
      <c r="AK77" s="108"/>
      <c r="AL77" s="108"/>
      <c r="AM77" s="108"/>
      <c r="AN77" s="108"/>
      <c r="AO77" s="108"/>
      <c r="AP77" s="108"/>
      <c r="AQ77" s="108"/>
      <c r="AR77" s="108"/>
    </row>
    <row r="78" spans="1:44" ht="57.75" customHeight="1" thickBot="1" x14ac:dyDescent="0.35">
      <c r="A78" s="108">
        <v>16</v>
      </c>
      <c r="B78" s="593" t="s">
        <v>66</v>
      </c>
      <c r="C78" s="593" t="s">
        <v>152</v>
      </c>
      <c r="D78" s="107" t="s">
        <v>150</v>
      </c>
      <c r="E78" s="669" t="e">
        <f>HLOOKUP($D$2,'2020 Data(H)'!$C$1:$CZ$426,12,FALSE)</f>
        <v>#N/A</v>
      </c>
      <c r="F78" s="295">
        <v>0</v>
      </c>
      <c r="G78" s="730"/>
      <c r="H78" s="17"/>
      <c r="I78" s="79"/>
      <c r="J78" s="575"/>
      <c r="L78" s="704"/>
      <c r="Z78" s="108"/>
      <c r="AA78" s="108"/>
      <c r="AB78" s="108"/>
      <c r="AC78" s="108"/>
      <c r="AD78" s="108"/>
      <c r="AE78" s="108"/>
      <c r="AF78" s="108"/>
      <c r="AG78" s="108"/>
      <c r="AH78" s="108"/>
      <c r="AI78" s="108"/>
      <c r="AJ78" s="108"/>
      <c r="AK78" s="108"/>
      <c r="AL78" s="108"/>
      <c r="AM78" s="108"/>
      <c r="AN78" s="108"/>
      <c r="AO78" s="108"/>
      <c r="AP78" s="108"/>
      <c r="AQ78" s="108"/>
      <c r="AR78" s="108"/>
    </row>
    <row r="79" spans="1:44" ht="65.25" hidden="1" customHeight="1" thickBot="1" x14ac:dyDescent="0.35">
      <c r="A79" s="108">
        <v>370</v>
      </c>
      <c r="B79" s="593" t="s">
        <v>56</v>
      </c>
      <c r="C79" s="593" t="s">
        <v>152</v>
      </c>
      <c r="D79" s="708" t="s">
        <v>1164</v>
      </c>
      <c r="E79" s="669" t="e">
        <f>HLOOKUP($D$2,'2020 Data(H)'!$C$1:$CZ$426,131,FALSE)</f>
        <v>#N/A</v>
      </c>
      <c r="F79" s="295">
        <v>0</v>
      </c>
      <c r="G79" s="730">
        <f>IF(F79&lt;0,"Error: Enter as positive.",)</f>
        <v>0</v>
      </c>
      <c r="H79" s="17"/>
      <c r="I79" s="79"/>
      <c r="J79" s="575"/>
      <c r="L79" s="704"/>
      <c r="Z79" s="108"/>
      <c r="AA79" s="108"/>
      <c r="AB79" s="108"/>
      <c r="AC79" s="108"/>
      <c r="AD79" s="108"/>
      <c r="AE79" s="108"/>
      <c r="AF79" s="108"/>
      <c r="AG79" s="108"/>
      <c r="AH79" s="108"/>
      <c r="AI79" s="108"/>
      <c r="AJ79" s="108"/>
      <c r="AK79" s="108"/>
      <c r="AL79" s="108"/>
      <c r="AM79" s="108"/>
      <c r="AN79" s="108"/>
      <c r="AO79" s="108"/>
      <c r="AP79" s="108"/>
      <c r="AQ79" s="108"/>
      <c r="AR79" s="108"/>
    </row>
    <row r="80" spans="1:44" ht="69.75" customHeight="1" thickBot="1" x14ac:dyDescent="0.35">
      <c r="A80" s="108">
        <v>532</v>
      </c>
      <c r="B80" s="593" t="s">
        <v>55</v>
      </c>
      <c r="C80" s="593" t="s">
        <v>152</v>
      </c>
      <c r="D80" s="693" t="s">
        <v>1165</v>
      </c>
      <c r="E80" s="669" t="e">
        <f>HLOOKUP($D$2,'2020 Data(H)'!$C$1:$CZ$426,182,FALSE)</f>
        <v>#N/A</v>
      </c>
      <c r="F80" s="295">
        <v>0</v>
      </c>
      <c r="G80" s="730">
        <f>IF(F80&lt;0,"Error: Enter as positive.",)</f>
        <v>0</v>
      </c>
      <c r="H80" s="17"/>
      <c r="I80" s="79"/>
      <c r="J80" s="575"/>
      <c r="L80" s="704"/>
      <c r="Z80" s="108"/>
      <c r="AA80" s="108"/>
      <c r="AB80" s="108"/>
      <c r="AC80" s="108"/>
      <c r="AD80" s="108"/>
      <c r="AE80" s="108"/>
      <c r="AF80" s="108"/>
      <c r="AG80" s="108"/>
      <c r="AH80" s="108"/>
      <c r="AI80" s="108"/>
      <c r="AJ80" s="108"/>
      <c r="AK80" s="108"/>
      <c r="AL80" s="108"/>
      <c r="AM80" s="108"/>
      <c r="AN80" s="108"/>
      <c r="AO80" s="108"/>
      <c r="AP80" s="108"/>
      <c r="AQ80" s="108"/>
      <c r="AR80" s="108"/>
    </row>
    <row r="81" spans="1:44" ht="54" customHeight="1" thickBot="1" x14ac:dyDescent="0.35">
      <c r="A81" s="108">
        <v>17</v>
      </c>
      <c r="B81" s="593" t="s">
        <v>60</v>
      </c>
      <c r="C81" s="593" t="s">
        <v>152</v>
      </c>
      <c r="D81" s="107" t="s">
        <v>1166</v>
      </c>
      <c r="E81" s="669" t="e">
        <f>HLOOKUP($D$2,'2020 Data(H)'!$C$1:$CZ$426,13,FALSE)</f>
        <v>#N/A</v>
      </c>
      <c r="F81" s="295">
        <v>0</v>
      </c>
      <c r="G81" s="730"/>
      <c r="H81" s="17"/>
      <c r="I81" s="79"/>
      <c r="L81" s="704"/>
      <c r="Z81" s="108"/>
      <c r="AA81" s="108"/>
      <c r="AB81" s="108"/>
      <c r="AC81" s="108"/>
      <c r="AD81" s="108"/>
      <c r="AE81" s="108"/>
      <c r="AF81" s="108"/>
      <c r="AG81" s="108"/>
      <c r="AH81" s="108"/>
      <c r="AI81" s="108"/>
      <c r="AJ81" s="108"/>
      <c r="AK81" s="108"/>
      <c r="AL81" s="108"/>
      <c r="AM81" s="108"/>
      <c r="AN81" s="108"/>
      <c r="AO81" s="108"/>
      <c r="AP81" s="108"/>
      <c r="AQ81" s="108"/>
      <c r="AR81" s="108"/>
    </row>
    <row r="82" spans="1:44" ht="58.5" customHeight="1" thickBot="1" x14ac:dyDescent="0.35">
      <c r="A82" s="108">
        <v>20</v>
      </c>
      <c r="B82" s="593" t="s">
        <v>55</v>
      </c>
      <c r="C82" s="593" t="s">
        <v>152</v>
      </c>
      <c r="D82" s="107" t="s">
        <v>1167</v>
      </c>
      <c r="E82" s="669" t="e">
        <f>HLOOKUP($D$2,'2020 Data(H)'!$C$1:$CZ$426,15,FALSE)</f>
        <v>#N/A</v>
      </c>
      <c r="F82" s="295">
        <v>0</v>
      </c>
      <c r="G82" s="730">
        <f>IF(F82&lt;0,"Error: Enter as positive.",)</f>
        <v>0</v>
      </c>
      <c r="H82" s="17"/>
      <c r="I82" s="79"/>
      <c r="L82" s="704"/>
      <c r="Z82" s="108"/>
      <c r="AA82" s="108"/>
      <c r="AB82" s="108"/>
      <c r="AC82" s="108"/>
      <c r="AD82" s="108"/>
      <c r="AE82" s="108"/>
      <c r="AF82" s="108"/>
      <c r="AG82" s="108"/>
      <c r="AH82" s="108"/>
      <c r="AI82" s="108"/>
      <c r="AJ82" s="108"/>
      <c r="AK82" s="108"/>
      <c r="AL82" s="108"/>
      <c r="AM82" s="108"/>
      <c r="AN82" s="108"/>
      <c r="AO82" s="108"/>
      <c r="AP82" s="108"/>
      <c r="AQ82" s="108"/>
      <c r="AR82" s="108"/>
    </row>
    <row r="83" spans="1:44" ht="54" customHeight="1" thickBot="1" x14ac:dyDescent="0.35">
      <c r="A83" s="108">
        <v>533</v>
      </c>
      <c r="B83" s="593" t="s">
        <v>55</v>
      </c>
      <c r="C83" s="593" t="s">
        <v>152</v>
      </c>
      <c r="D83" s="693" t="s">
        <v>1168</v>
      </c>
      <c r="E83" s="669" t="e">
        <f>HLOOKUP($D$2,'2020 Data(H)'!$C$1:$CZ$426,183,FALSE)</f>
        <v>#N/A</v>
      </c>
      <c r="F83" s="295">
        <v>0</v>
      </c>
      <c r="G83" s="740"/>
      <c r="H83" s="17"/>
      <c r="I83" s="79"/>
      <c r="L83" s="704"/>
      <c r="Z83" s="108"/>
      <c r="AA83" s="108"/>
      <c r="AB83" s="108"/>
      <c r="AC83" s="108"/>
      <c r="AD83" s="108"/>
      <c r="AE83" s="108"/>
      <c r="AF83" s="108"/>
      <c r="AG83" s="108"/>
      <c r="AH83" s="108"/>
      <c r="AI83" s="108"/>
      <c r="AJ83" s="108"/>
      <c r="AK83" s="108"/>
      <c r="AL83" s="108"/>
      <c r="AM83" s="108"/>
      <c r="AN83" s="108"/>
      <c r="AO83" s="108"/>
      <c r="AP83" s="108"/>
      <c r="AQ83" s="108"/>
      <c r="AR83" s="108"/>
    </row>
    <row r="84" spans="1:44" s="18" customFormat="1" ht="62.25" hidden="1" customHeight="1" thickBot="1" x14ac:dyDescent="0.35">
      <c r="A84" s="108">
        <v>508</v>
      </c>
      <c r="B84" s="593" t="s">
        <v>55</v>
      </c>
      <c r="C84" s="593" t="s">
        <v>152</v>
      </c>
      <c r="D84" s="107" t="s">
        <v>323</v>
      </c>
      <c r="E84" s="669" t="e">
        <f>HLOOKUP($D$2,'2020 Data(H)'!$C$1:$CZ$426,158,FALSE)</f>
        <v>#N/A</v>
      </c>
      <c r="F84" s="295">
        <v>0</v>
      </c>
      <c r="G84" s="730"/>
      <c r="H84" s="731"/>
      <c r="I84" s="732"/>
      <c r="L84" s="704"/>
      <c r="N84" s="296"/>
      <c r="Z84" s="108"/>
      <c r="AA84" s="108"/>
      <c r="AB84" s="108"/>
      <c r="AC84" s="108"/>
      <c r="AD84" s="108"/>
      <c r="AE84" s="108"/>
      <c r="AF84" s="108"/>
      <c r="AG84" s="108"/>
      <c r="AH84" s="108"/>
      <c r="AI84" s="108"/>
      <c r="AJ84" s="108"/>
      <c r="AK84" s="108"/>
      <c r="AL84" s="108"/>
      <c r="AM84" s="108"/>
      <c r="AN84" s="108"/>
      <c r="AO84" s="108"/>
      <c r="AP84" s="108"/>
      <c r="AQ84" s="108"/>
      <c r="AR84" s="108"/>
    </row>
    <row r="85" spans="1:44" s="18" customFormat="1" ht="81.75" hidden="1" customHeight="1" thickBot="1" x14ac:dyDescent="0.35">
      <c r="A85" s="108">
        <v>509</v>
      </c>
      <c r="B85" s="593" t="s">
        <v>55</v>
      </c>
      <c r="C85" s="593" t="s">
        <v>152</v>
      </c>
      <c r="D85" s="107" t="s">
        <v>321</v>
      </c>
      <c r="E85" s="669" t="e">
        <f>HLOOKUP($D$2,'2020 Data(H)'!$C$1:$CZ$426,159,FALSE)</f>
        <v>#N/A</v>
      </c>
      <c r="F85" s="295">
        <v>0</v>
      </c>
      <c r="G85" s="730">
        <f>IF(F85&lt;0,"Error: Enter as positive.",)</f>
        <v>0</v>
      </c>
      <c r="H85" s="731"/>
      <c r="I85" s="732"/>
      <c r="L85" s="704"/>
      <c r="N85" s="296"/>
      <c r="Z85" s="108"/>
      <c r="AA85" s="108"/>
      <c r="AB85" s="108"/>
      <c r="AC85" s="108"/>
      <c r="AD85" s="108"/>
      <c r="AE85" s="108"/>
      <c r="AF85" s="108"/>
      <c r="AG85" s="108"/>
      <c r="AH85" s="108"/>
      <c r="AI85" s="108"/>
      <c r="AJ85" s="108"/>
      <c r="AK85" s="108"/>
      <c r="AL85" s="108"/>
      <c r="AM85" s="108"/>
      <c r="AN85" s="108"/>
      <c r="AO85" s="108"/>
      <c r="AP85" s="108"/>
      <c r="AQ85" s="108"/>
      <c r="AR85" s="108"/>
    </row>
    <row r="86" spans="1:44" ht="69" hidden="1" customHeight="1" thickBot="1" x14ac:dyDescent="0.35">
      <c r="A86" s="108">
        <v>22</v>
      </c>
      <c r="B86" s="593" t="s">
        <v>60</v>
      </c>
      <c r="C86" s="593" t="s">
        <v>152</v>
      </c>
      <c r="D86" s="107" t="s">
        <v>322</v>
      </c>
      <c r="E86" s="669" t="e">
        <f>HLOOKUP($D$2,'2020 Data(H)'!$C$1:$CZ$426,17,FALSE)</f>
        <v>#N/A</v>
      </c>
      <c r="F86" s="295">
        <v>0</v>
      </c>
      <c r="G86" s="740"/>
      <c r="H86" s="17"/>
      <c r="I86" s="79"/>
      <c r="J86" s="575"/>
      <c r="L86" s="704"/>
      <c r="Z86" s="108"/>
      <c r="AA86" s="108"/>
      <c r="AB86" s="108"/>
      <c r="AC86" s="108"/>
      <c r="AD86" s="108"/>
      <c r="AE86" s="108"/>
      <c r="AF86" s="108"/>
      <c r="AG86" s="108"/>
      <c r="AH86" s="108"/>
      <c r="AI86" s="108"/>
      <c r="AJ86" s="108"/>
      <c r="AK86" s="108"/>
      <c r="AL86" s="108"/>
      <c r="AM86" s="108"/>
      <c r="AN86" s="108"/>
      <c r="AO86" s="108"/>
      <c r="AP86" s="108"/>
      <c r="AQ86" s="108"/>
      <c r="AR86" s="108"/>
    </row>
    <row r="87" spans="1:44" ht="72" customHeight="1" thickBot="1" x14ac:dyDescent="0.35">
      <c r="A87" s="108">
        <v>23</v>
      </c>
      <c r="B87" s="593" t="s">
        <v>60</v>
      </c>
      <c r="C87" s="593" t="s">
        <v>152</v>
      </c>
      <c r="D87" s="708" t="s">
        <v>1169</v>
      </c>
      <c r="E87" s="669" t="e">
        <f>HLOOKUP($D$2,'2020 Data(H)'!$C$1:$CZ$426,18,FALSE)</f>
        <v>#N/A</v>
      </c>
      <c r="F87" s="295">
        <v>0</v>
      </c>
      <c r="G87" s="730">
        <f>IF(H87=0,,"Error: Total revenues less total expenditures do not equal total change in fund balance.  Account numbers 16-532+17-20+533+22+508-509-23=0  The amount of the formula is located in the cell to the right")</f>
        <v>0</v>
      </c>
      <c r="H87" s="733">
        <f>+F78-F80+F81-F82+F83+F86+F84-F85-F87</f>
        <v>0</v>
      </c>
      <c r="I87" s="79"/>
      <c r="J87" s="575"/>
      <c r="L87" s="704"/>
      <c r="Z87" s="108"/>
      <c r="AA87" s="108"/>
      <c r="AB87" s="108"/>
      <c r="AC87" s="108"/>
      <c r="AD87" s="108"/>
      <c r="AE87" s="108"/>
      <c r="AF87" s="108"/>
      <c r="AG87" s="108"/>
      <c r="AH87" s="108"/>
      <c r="AI87" s="108"/>
      <c r="AJ87" s="108"/>
      <c r="AK87" s="108"/>
      <c r="AL87" s="108"/>
      <c r="AM87" s="108"/>
      <c r="AN87" s="108"/>
      <c r="AO87" s="108"/>
      <c r="AP87" s="108"/>
      <c r="AQ87" s="108"/>
      <c r="AR87" s="108"/>
    </row>
    <row r="88" spans="1:44" ht="194.25" hidden="1" customHeight="1" thickBot="1" x14ac:dyDescent="0.35">
      <c r="A88" s="108">
        <v>590</v>
      </c>
      <c r="B88" s="593" t="s">
        <v>359</v>
      </c>
      <c r="C88" s="593"/>
      <c r="D88" s="708" t="s">
        <v>1279</v>
      </c>
      <c r="E88" s="907"/>
      <c r="F88" s="295"/>
      <c r="G88" s="295"/>
      <c r="H88" s="733"/>
      <c r="I88" s="79"/>
      <c r="K88" s="741"/>
      <c r="L88" s="704"/>
      <c r="Z88" s="108"/>
      <c r="AA88" s="108"/>
      <c r="AB88" s="108"/>
      <c r="AC88" s="108"/>
      <c r="AD88" s="108"/>
      <c r="AE88" s="108"/>
      <c r="AF88" s="108"/>
      <c r="AG88" s="108"/>
      <c r="AH88" s="108"/>
      <c r="AI88" s="108"/>
      <c r="AJ88" s="108"/>
      <c r="AK88" s="108"/>
      <c r="AL88" s="108"/>
      <c r="AM88" s="108"/>
      <c r="AN88" s="108"/>
      <c r="AO88" s="108"/>
      <c r="AP88" s="108"/>
      <c r="AQ88" s="108"/>
      <c r="AR88" s="108"/>
    </row>
    <row r="89" spans="1:44" ht="115.5" customHeight="1" thickBot="1" x14ac:dyDescent="0.35">
      <c r="A89" s="108">
        <v>507</v>
      </c>
      <c r="B89" s="593" t="s">
        <v>60</v>
      </c>
      <c r="C89" s="593" t="s">
        <v>152</v>
      </c>
      <c r="D89" s="708" t="s">
        <v>1170</v>
      </c>
      <c r="E89" s="669" t="e">
        <f>HLOOKUP($D$2,'2020 Data(H)'!$C$1:$CZ$426,157,FALSE)</f>
        <v>#N/A</v>
      </c>
      <c r="F89" s="295">
        <v>0</v>
      </c>
      <c r="G89" s="730" t="e">
        <f>IF(F72-F87-F89=E72,,"Error: Beginning Balance does not agree with our records.  (Acct# 9-23-507)= Prior Years Acct # 9 The amount of the formula is in the cell to the right")</f>
        <v>#N/A</v>
      </c>
      <c r="H89" s="733" t="e">
        <f>+F72-F87-F89-E72</f>
        <v>#N/A</v>
      </c>
      <c r="I89" s="1266" t="s">
        <v>1556</v>
      </c>
      <c r="L89" s="704"/>
      <c r="Z89" s="108"/>
      <c r="AA89" s="108"/>
      <c r="AB89" s="108"/>
      <c r="AC89" s="108"/>
      <c r="AD89" s="108"/>
      <c r="AE89" s="108"/>
      <c r="AF89" s="108"/>
      <c r="AG89" s="108"/>
      <c r="AH89" s="108"/>
      <c r="AI89" s="108"/>
      <c r="AJ89" s="108"/>
      <c r="AK89" s="108"/>
      <c r="AL89" s="108"/>
      <c r="AM89" s="108"/>
      <c r="AN89" s="108"/>
      <c r="AO89" s="108"/>
      <c r="AP89" s="108"/>
      <c r="AQ89" s="108"/>
      <c r="AR89" s="108"/>
    </row>
    <row r="90" spans="1:44" ht="169.5" hidden="1" customHeight="1" thickBot="1" x14ac:dyDescent="0.35">
      <c r="A90" s="108">
        <v>147</v>
      </c>
      <c r="B90" s="815" t="s">
        <v>981</v>
      </c>
      <c r="C90" s="815" t="s">
        <v>982</v>
      </c>
      <c r="D90" s="708" t="s">
        <v>983</v>
      </c>
      <c r="E90" s="669" t="e">
        <f>HLOOKUP($D$2,'2020 Data(H)'!$C$1:$CZ$426,67,FALSE)</f>
        <v>#N/A</v>
      </c>
      <c r="F90" s="295">
        <v>0</v>
      </c>
      <c r="G90" s="730"/>
      <c r="H90" s="733"/>
      <c r="I90" s="79"/>
      <c r="L90" s="704"/>
      <c r="Z90" s="108"/>
      <c r="AA90" s="108"/>
      <c r="AB90" s="108"/>
      <c r="AC90" s="108"/>
      <c r="AD90" s="108"/>
      <c r="AE90" s="108"/>
      <c r="AF90" s="108"/>
      <c r="AG90" s="108"/>
      <c r="AH90" s="108"/>
      <c r="AI90" s="108"/>
      <c r="AJ90" s="108"/>
      <c r="AK90" s="108"/>
      <c r="AL90" s="108"/>
      <c r="AM90" s="108"/>
      <c r="AN90" s="108"/>
      <c r="AO90" s="108"/>
      <c r="AP90" s="108"/>
      <c r="AQ90" s="108"/>
      <c r="AR90" s="108"/>
    </row>
    <row r="91" spans="1:44" ht="115.5" hidden="1" customHeight="1" thickBot="1" x14ac:dyDescent="0.35">
      <c r="A91" s="108">
        <v>585</v>
      </c>
      <c r="B91" s="815" t="s">
        <v>981</v>
      </c>
      <c r="C91" s="815" t="s">
        <v>982</v>
      </c>
      <c r="D91" s="708" t="s">
        <v>984</v>
      </c>
      <c r="E91" s="669" t="e">
        <f>HLOOKUP($D$2,'2020 Data(H)'!$C$1:$CZ$426,235,FALSE)</f>
        <v>#N/A</v>
      </c>
      <c r="F91" s="295">
        <v>0</v>
      </c>
      <c r="G91" s="730"/>
      <c r="H91" s="733"/>
      <c r="I91" s="79"/>
      <c r="L91" s="704"/>
      <c r="Z91" s="108"/>
      <c r="AA91" s="108"/>
      <c r="AB91" s="108"/>
      <c r="AC91" s="108"/>
      <c r="AD91" s="108"/>
      <c r="AE91" s="108"/>
      <c r="AF91" s="108"/>
      <c r="AG91" s="108"/>
      <c r="AH91" s="108"/>
      <c r="AI91" s="108"/>
      <c r="AJ91" s="108"/>
      <c r="AK91" s="108"/>
      <c r="AL91" s="108"/>
      <c r="AM91" s="108"/>
      <c r="AN91" s="108"/>
      <c r="AO91" s="108"/>
      <c r="AP91" s="108"/>
      <c r="AQ91" s="108"/>
      <c r="AR91" s="108"/>
    </row>
    <row r="92" spans="1:44" ht="115.5" customHeight="1" thickBot="1" x14ac:dyDescent="0.35">
      <c r="A92" s="108">
        <v>546</v>
      </c>
      <c r="B92" s="815" t="s">
        <v>981</v>
      </c>
      <c r="C92" s="815" t="s">
        <v>982</v>
      </c>
      <c r="D92" s="708" t="s">
        <v>985</v>
      </c>
      <c r="E92" s="669" t="e">
        <f>HLOOKUP($D$2,'2020 Data(H)'!$C$1:$CZ$426,196,FALSE)</f>
        <v>#N/A</v>
      </c>
      <c r="F92" s="295">
        <v>0</v>
      </c>
      <c r="G92" s="730"/>
      <c r="H92" s="733"/>
      <c r="I92" s="79"/>
      <c r="L92" s="704"/>
      <c r="Z92" s="108"/>
      <c r="AA92" s="108"/>
      <c r="AB92" s="108"/>
      <c r="AC92" s="108"/>
      <c r="AD92" s="108"/>
      <c r="AE92" s="108"/>
      <c r="AF92" s="108"/>
      <c r="AG92" s="108"/>
      <c r="AH92" s="108"/>
      <c r="AI92" s="108"/>
      <c r="AJ92" s="108"/>
      <c r="AK92" s="108"/>
      <c r="AL92" s="108"/>
      <c r="AM92" s="108"/>
      <c r="AN92" s="108"/>
      <c r="AO92" s="108"/>
      <c r="AP92" s="108"/>
      <c r="AQ92" s="108"/>
      <c r="AR92" s="108"/>
    </row>
    <row r="93" spans="1:44" ht="115.5" hidden="1" customHeight="1" thickBot="1" x14ac:dyDescent="0.35">
      <c r="A93" s="108">
        <v>589</v>
      </c>
      <c r="B93" s="815" t="s">
        <v>981</v>
      </c>
      <c r="C93" s="815" t="s">
        <v>982</v>
      </c>
      <c r="D93" s="708" t="s">
        <v>986</v>
      </c>
      <c r="E93" s="669" t="e">
        <f>HLOOKUP($D$2,'2020 Data(H)'!$C$1:$CZ$426,359,FALSE)</f>
        <v>#N/A</v>
      </c>
      <c r="F93" s="295">
        <v>0</v>
      </c>
      <c r="G93" s="730"/>
      <c r="H93" s="733"/>
      <c r="I93" s="79"/>
      <c r="L93" s="704"/>
      <c r="Z93" s="108"/>
      <c r="AA93" s="108"/>
      <c r="AB93" s="108"/>
      <c r="AC93" s="108"/>
      <c r="AD93" s="108"/>
      <c r="AE93" s="108"/>
      <c r="AF93" s="108"/>
      <c r="AG93" s="108"/>
      <c r="AH93" s="108"/>
      <c r="AI93" s="108"/>
      <c r="AJ93" s="108"/>
      <c r="AK93" s="108"/>
      <c r="AL93" s="108"/>
      <c r="AM93" s="108"/>
      <c r="AN93" s="108"/>
      <c r="AO93" s="108"/>
      <c r="AP93" s="108"/>
      <c r="AQ93" s="108"/>
      <c r="AR93" s="108"/>
    </row>
    <row r="94" spans="1:44" ht="143.25" customHeight="1" thickBot="1" x14ac:dyDescent="0.35">
      <c r="A94" s="559">
        <v>149</v>
      </c>
      <c r="B94" s="593" t="s">
        <v>981</v>
      </c>
      <c r="C94" s="593" t="s">
        <v>982</v>
      </c>
      <c r="D94" s="708" t="s">
        <v>1063</v>
      </c>
      <c r="E94" s="669" t="e">
        <f>HLOOKUP($D$2,'2020 Data(H)'!$C$1:$CZ$426,69,FALSE)</f>
        <v>#N/A</v>
      </c>
      <c r="F94" s="295">
        <v>0</v>
      </c>
      <c r="G94" s="730"/>
      <c r="H94" s="733"/>
      <c r="I94" s="79"/>
      <c r="L94" s="704"/>
      <c r="Z94" s="559"/>
      <c r="AA94" s="559"/>
      <c r="AB94" s="559"/>
      <c r="AC94" s="559"/>
      <c r="AD94" s="559"/>
      <c r="AE94" s="559"/>
      <c r="AF94" s="559"/>
      <c r="AG94" s="559"/>
      <c r="AH94" s="559"/>
      <c r="AI94" s="559"/>
      <c r="AJ94" s="559"/>
      <c r="AK94" s="559"/>
      <c r="AL94" s="559"/>
      <c r="AM94" s="559"/>
      <c r="AN94" s="559"/>
      <c r="AO94" s="559"/>
      <c r="AP94" s="559"/>
      <c r="AQ94" s="559"/>
      <c r="AR94" s="559"/>
    </row>
    <row r="95" spans="1:44" ht="115.5" customHeight="1" thickBot="1" x14ac:dyDescent="0.35">
      <c r="A95" s="108">
        <v>150</v>
      </c>
      <c r="B95" s="593" t="s">
        <v>981</v>
      </c>
      <c r="C95" s="593" t="s">
        <v>982</v>
      </c>
      <c r="D95" s="708" t="s">
        <v>1064</v>
      </c>
      <c r="E95" s="669" t="e">
        <f>HLOOKUP($D$2,'2020 Data(H)'!$C$1:$CZ$426,70,FALSE)</f>
        <v>#N/A</v>
      </c>
      <c r="F95" s="295">
        <v>0</v>
      </c>
      <c r="G95" s="730"/>
      <c r="H95" s="733"/>
      <c r="I95" s="79"/>
      <c r="L95" s="704"/>
      <c r="Z95" s="108"/>
      <c r="AA95" s="108"/>
      <c r="AB95" s="108"/>
      <c r="AC95" s="108"/>
      <c r="AD95" s="108"/>
      <c r="AE95" s="108"/>
      <c r="AF95" s="108"/>
      <c r="AG95" s="108"/>
      <c r="AH95" s="108"/>
      <c r="AI95" s="108"/>
      <c r="AJ95" s="108"/>
      <c r="AK95" s="108"/>
      <c r="AL95" s="108"/>
      <c r="AM95" s="108"/>
      <c r="AN95" s="108"/>
      <c r="AO95" s="108"/>
      <c r="AP95" s="108"/>
      <c r="AQ95" s="108"/>
      <c r="AR95" s="108"/>
    </row>
    <row r="96" spans="1:44" ht="115.5" customHeight="1" thickBot="1" x14ac:dyDescent="0.35">
      <c r="A96" s="108">
        <v>587</v>
      </c>
      <c r="B96" s="635" t="s">
        <v>1065</v>
      </c>
      <c r="C96" s="635" t="s">
        <v>1066</v>
      </c>
      <c r="D96" s="708" t="s">
        <v>1171</v>
      </c>
      <c r="E96" s="669" t="e">
        <f>HLOOKUP($D$2,'2020 Data(H)'!$C$1:$CZ$426,237,FALSE)</f>
        <v>#N/A</v>
      </c>
      <c r="F96" s="295">
        <v>0</v>
      </c>
      <c r="G96" s="730"/>
      <c r="H96" s="733"/>
      <c r="I96" s="79"/>
      <c r="L96" s="704"/>
      <c r="Z96" s="108"/>
      <c r="AA96" s="108"/>
      <c r="AB96" s="108"/>
      <c r="AC96" s="108"/>
      <c r="AD96" s="108"/>
      <c r="AE96" s="108"/>
      <c r="AF96" s="108"/>
      <c r="AG96" s="108"/>
      <c r="AH96" s="108"/>
      <c r="AI96" s="108"/>
      <c r="AJ96" s="108"/>
      <c r="AK96" s="108"/>
      <c r="AL96" s="108"/>
      <c r="AM96" s="108"/>
      <c r="AN96" s="108"/>
      <c r="AO96" s="108"/>
      <c r="AP96" s="108"/>
      <c r="AQ96" s="108"/>
      <c r="AR96" s="108"/>
    </row>
    <row r="97" spans="1:44" ht="115.5" customHeight="1" thickBot="1" x14ac:dyDescent="0.35">
      <c r="A97" s="108">
        <v>588</v>
      </c>
      <c r="B97" s="635" t="s">
        <v>1065</v>
      </c>
      <c r="C97" s="635" t="s">
        <v>1066</v>
      </c>
      <c r="D97" s="708" t="s">
        <v>1172</v>
      </c>
      <c r="E97" s="669" t="e">
        <f>HLOOKUP($D$2,'2020 Data(H)'!$C$1:$CZ$426,238,FALSE)</f>
        <v>#N/A</v>
      </c>
      <c r="F97" s="295">
        <v>0</v>
      </c>
      <c r="G97" s="730"/>
      <c r="H97" s="733"/>
      <c r="I97" s="79"/>
      <c r="L97" s="704"/>
      <c r="Z97" s="108"/>
      <c r="AA97" s="108"/>
      <c r="AB97" s="108"/>
      <c r="AC97" s="108"/>
      <c r="AD97" s="108"/>
      <c r="AE97" s="108"/>
      <c r="AF97" s="108"/>
      <c r="AG97" s="108"/>
      <c r="AH97" s="108"/>
      <c r="AI97" s="108"/>
      <c r="AJ97" s="108"/>
      <c r="AK97" s="108"/>
      <c r="AL97" s="108"/>
      <c r="AM97" s="108"/>
      <c r="AN97" s="108"/>
      <c r="AO97" s="108"/>
      <c r="AP97" s="108"/>
      <c r="AQ97" s="108"/>
      <c r="AR97" s="108"/>
    </row>
    <row r="98" spans="1:44" ht="82.5" hidden="1" customHeight="1" thickBot="1" x14ac:dyDescent="0.35">
      <c r="A98" s="307">
        <v>647</v>
      </c>
      <c r="B98" s="811" t="s">
        <v>440</v>
      </c>
      <c r="C98" s="810" t="s">
        <v>442</v>
      </c>
      <c r="D98" s="306" t="s">
        <v>443</v>
      </c>
      <c r="E98" s="669" t="e">
        <f>HLOOKUP($D$2,'2020 Data(H)'!$C$1:$CZ$426,306,FALSE)</f>
        <v>#N/A</v>
      </c>
      <c r="F98" s="295">
        <v>0</v>
      </c>
      <c r="G98" s="730">
        <f>IF(F98&lt;0,"Error: Enter as positive.",)</f>
        <v>0</v>
      </c>
      <c r="H98" s="742"/>
      <c r="I98" s="79"/>
      <c r="L98" s="704"/>
      <c r="Z98" s="307"/>
      <c r="AA98" s="307"/>
      <c r="AB98" s="307"/>
      <c r="AC98" s="307"/>
      <c r="AD98" s="307"/>
      <c r="AE98" s="307"/>
      <c r="AF98" s="307"/>
      <c r="AG98" s="307"/>
      <c r="AH98" s="307"/>
      <c r="AI98" s="307"/>
      <c r="AJ98" s="307"/>
      <c r="AK98" s="307"/>
      <c r="AL98" s="307"/>
      <c r="AM98" s="307"/>
      <c r="AN98" s="307"/>
      <c r="AO98" s="307"/>
      <c r="AP98" s="307"/>
      <c r="AQ98" s="307"/>
      <c r="AR98" s="307"/>
    </row>
    <row r="99" spans="1:44" ht="25.5" hidden="1" customHeight="1" thickBot="1" x14ac:dyDescent="0.35">
      <c r="A99" s="108"/>
      <c r="B99" s="841" t="s">
        <v>11</v>
      </c>
      <c r="C99" s="842"/>
      <c r="D99" s="843"/>
      <c r="E99" s="839"/>
      <c r="F99" s="844"/>
      <c r="G99" s="845"/>
      <c r="H99" s="17"/>
      <c r="I99" s="79"/>
      <c r="L99" s="704"/>
      <c r="Z99" s="108"/>
      <c r="AA99" s="108"/>
      <c r="AB99" s="108"/>
      <c r="AC99" s="108"/>
      <c r="AD99" s="108"/>
      <c r="AE99" s="108"/>
      <c r="AF99" s="108"/>
      <c r="AG99" s="108"/>
      <c r="AH99" s="108"/>
      <c r="AI99" s="108"/>
      <c r="AJ99" s="108"/>
      <c r="AK99" s="108"/>
      <c r="AL99" s="108"/>
      <c r="AM99" s="108"/>
      <c r="AN99" s="108"/>
      <c r="AO99" s="108"/>
      <c r="AP99" s="108"/>
      <c r="AQ99" s="108"/>
      <c r="AR99" s="108"/>
    </row>
    <row r="100" spans="1:44" ht="76.5" hidden="1" customHeight="1" thickBot="1" x14ac:dyDescent="0.35">
      <c r="A100" s="108">
        <v>148</v>
      </c>
      <c r="B100" s="593" t="s">
        <v>989</v>
      </c>
      <c r="C100" s="635" t="s">
        <v>987</v>
      </c>
      <c r="D100" s="635" t="s">
        <v>988</v>
      </c>
      <c r="E100" s="669" t="e">
        <f>HLOOKUP($D$2,'2020 Data(H)'!$C$1:$CZ$426,68,FALSE)</f>
        <v>#N/A</v>
      </c>
      <c r="F100" s="295">
        <v>0</v>
      </c>
      <c r="G100" s="743"/>
      <c r="H100" s="17"/>
      <c r="I100" s="79"/>
      <c r="L100" s="704"/>
      <c r="Z100" s="108"/>
      <c r="AA100" s="108"/>
      <c r="AB100" s="108"/>
      <c r="AC100" s="108"/>
      <c r="AD100" s="108"/>
      <c r="AE100" s="108"/>
      <c r="AF100" s="108"/>
      <c r="AG100" s="108"/>
      <c r="AH100" s="108"/>
      <c r="AI100" s="108"/>
      <c r="AJ100" s="108"/>
      <c r="AK100" s="108"/>
      <c r="AL100" s="108"/>
      <c r="AM100" s="108"/>
      <c r="AN100" s="108"/>
      <c r="AO100" s="108"/>
      <c r="AP100" s="108"/>
      <c r="AQ100" s="108"/>
      <c r="AR100" s="108"/>
    </row>
    <row r="101" spans="1:44" ht="78" hidden="1" customHeight="1" thickBot="1" x14ac:dyDescent="0.35">
      <c r="A101" s="108">
        <v>171</v>
      </c>
      <c r="B101" s="593" t="s">
        <v>326</v>
      </c>
      <c r="C101" s="593" t="s">
        <v>325</v>
      </c>
      <c r="D101" s="670" t="s">
        <v>1173</v>
      </c>
      <c r="E101" s="669" t="e">
        <f>HLOOKUP($D$2,'2020 Data(H)'!$C$1:$CZ$426,71,FALSE)</f>
        <v>#N/A</v>
      </c>
      <c r="F101" s="274">
        <v>0</v>
      </c>
      <c r="G101" s="730">
        <f>IF(F101&lt;0,"Error: Enter as positive.",)</f>
        <v>0</v>
      </c>
      <c r="H101" s="17"/>
      <c r="I101" s="79"/>
      <c r="J101" s="575"/>
      <c r="L101" s="704"/>
      <c r="Z101" s="108"/>
      <c r="AA101" s="108"/>
      <c r="AB101" s="108"/>
      <c r="AC101" s="108"/>
      <c r="AD101" s="108"/>
      <c r="AE101" s="108"/>
      <c r="AF101" s="108"/>
      <c r="AG101" s="108"/>
      <c r="AH101" s="108"/>
      <c r="AI101" s="108"/>
      <c r="AJ101" s="108"/>
      <c r="AK101" s="108"/>
      <c r="AL101" s="108"/>
      <c r="AM101" s="108"/>
      <c r="AN101" s="108"/>
      <c r="AO101" s="108"/>
      <c r="AP101" s="108"/>
      <c r="AQ101" s="108"/>
      <c r="AR101" s="108"/>
    </row>
    <row r="102" spans="1:44" ht="30.75" hidden="1" customHeight="1" thickBot="1" x14ac:dyDescent="0.35">
      <c r="A102" s="108"/>
      <c r="B102" s="840" t="s">
        <v>1055</v>
      </c>
      <c r="C102" s="839"/>
      <c r="D102" s="839"/>
      <c r="E102" s="839"/>
      <c r="F102" s="839"/>
      <c r="G102" s="839"/>
      <c r="H102" s="17"/>
      <c r="I102" s="79"/>
      <c r="J102" s="575"/>
      <c r="L102" s="704"/>
      <c r="Z102" s="108"/>
      <c r="AA102" s="108"/>
      <c r="AB102" s="108"/>
      <c r="AC102" s="108"/>
      <c r="AD102" s="108"/>
      <c r="AE102" s="108"/>
      <c r="AF102" s="108"/>
      <c r="AG102" s="108"/>
      <c r="AH102" s="108"/>
      <c r="AI102" s="108"/>
      <c r="AJ102" s="108"/>
      <c r="AK102" s="108"/>
      <c r="AL102" s="108"/>
      <c r="AM102" s="108"/>
      <c r="AN102" s="108"/>
      <c r="AO102" s="108"/>
      <c r="AP102" s="108"/>
      <c r="AQ102" s="108"/>
      <c r="AR102" s="108"/>
    </row>
    <row r="103" spans="1:44" ht="48.75" hidden="1" customHeight="1" thickBot="1" x14ac:dyDescent="0.35">
      <c r="A103" s="108">
        <v>36</v>
      </c>
      <c r="B103" s="816" t="s">
        <v>440</v>
      </c>
      <c r="C103" s="335" t="s">
        <v>1069</v>
      </c>
      <c r="D103" s="668" t="s">
        <v>1092</v>
      </c>
      <c r="E103" s="669" t="e">
        <f>HLOOKUP($D$2,'2020 Data(H)'!$C$1:$CZ$426,24,FALSE)</f>
        <v>#N/A</v>
      </c>
      <c r="F103" s="295">
        <v>0</v>
      </c>
      <c r="G103" s="817"/>
      <c r="H103" s="17"/>
      <c r="I103" s="79"/>
      <c r="J103" s="575"/>
      <c r="L103" s="704"/>
      <c r="Z103" s="108"/>
      <c r="AA103" s="108"/>
      <c r="AB103" s="108"/>
      <c r="AC103" s="108"/>
      <c r="AD103" s="108"/>
      <c r="AE103" s="108"/>
      <c r="AF103" s="108"/>
      <c r="AG103" s="108"/>
      <c r="AH103" s="108"/>
      <c r="AI103" s="108"/>
      <c r="AJ103" s="108"/>
      <c r="AK103" s="108"/>
      <c r="AL103" s="108"/>
      <c r="AM103" s="108"/>
      <c r="AN103" s="108"/>
      <c r="AO103" s="108"/>
      <c r="AP103" s="108"/>
      <c r="AQ103" s="108"/>
      <c r="AR103" s="108"/>
    </row>
    <row r="104" spans="1:44" ht="56.25" hidden="1" customHeight="1" thickBot="1" x14ac:dyDescent="0.35">
      <c r="A104" s="108">
        <v>534</v>
      </c>
      <c r="B104" s="816" t="s">
        <v>440</v>
      </c>
      <c r="C104" s="335" t="s">
        <v>1069</v>
      </c>
      <c r="D104" s="708" t="s">
        <v>1093</v>
      </c>
      <c r="E104" s="669" t="e">
        <f>HLOOKUP($D$2,'2020 Data(H)'!$C$1:$CZ$426,184,FALSE)</f>
        <v>#N/A</v>
      </c>
      <c r="F104" s="295">
        <v>0</v>
      </c>
      <c r="G104" s="817"/>
      <c r="H104" s="17"/>
      <c r="I104" s="79"/>
      <c r="J104" s="575"/>
      <c r="L104" s="704"/>
      <c r="Z104" s="108"/>
      <c r="AA104" s="108"/>
      <c r="AB104" s="108"/>
      <c r="AC104" s="108"/>
      <c r="AD104" s="108"/>
      <c r="AE104" s="108"/>
      <c r="AF104" s="108"/>
      <c r="AG104" s="108"/>
      <c r="AH104" s="108"/>
      <c r="AI104" s="108"/>
      <c r="AJ104" s="108"/>
      <c r="AK104" s="108"/>
      <c r="AL104" s="108"/>
      <c r="AM104" s="108"/>
      <c r="AN104" s="108"/>
      <c r="AO104" s="108"/>
      <c r="AP104" s="108"/>
      <c r="AQ104" s="108"/>
      <c r="AR104" s="108"/>
    </row>
    <row r="105" spans="1:44" ht="78" hidden="1" customHeight="1" thickBot="1" x14ac:dyDescent="0.35">
      <c r="A105" s="600">
        <v>13</v>
      </c>
      <c r="B105" s="816" t="s">
        <v>359</v>
      </c>
      <c r="C105" s="819" t="s">
        <v>1056</v>
      </c>
      <c r="D105" s="819" t="s">
        <v>1259</v>
      </c>
      <c r="E105" s="669" t="e">
        <f>HLOOKUP($D$2,'2020 Data(H)'!$C$1:$CZ$426,10,FALSE)</f>
        <v>#N/A</v>
      </c>
      <c r="F105" s="295">
        <v>0</v>
      </c>
      <c r="G105" s="730"/>
      <c r="H105" s="17"/>
      <c r="I105" s="79"/>
      <c r="J105" s="575"/>
      <c r="L105" s="704"/>
      <c r="Z105" s="818"/>
      <c r="AA105" s="818"/>
      <c r="AB105" s="818"/>
      <c r="AC105" s="818"/>
      <c r="AD105" s="818"/>
      <c r="AE105" s="818"/>
      <c r="AF105" s="818"/>
      <c r="AG105" s="818"/>
      <c r="AH105" s="818"/>
      <c r="AI105" s="818"/>
      <c r="AJ105" s="818"/>
      <c r="AK105" s="818"/>
      <c r="AL105" s="818"/>
      <c r="AM105" s="818"/>
      <c r="AN105" s="818"/>
      <c r="AO105" s="818"/>
      <c r="AP105" s="818"/>
      <c r="AQ105" s="818"/>
      <c r="AR105" s="818"/>
    </row>
    <row r="106" spans="1:44" ht="191.25" hidden="1" customHeight="1" thickBot="1" x14ac:dyDescent="0.35">
      <c r="A106" s="600">
        <v>14</v>
      </c>
      <c r="B106" s="816" t="s">
        <v>359</v>
      </c>
      <c r="C106" s="819" t="s">
        <v>1056</v>
      </c>
      <c r="D106" s="819" t="s">
        <v>1058</v>
      </c>
      <c r="E106" s="669" t="e">
        <f>HLOOKUP($D$2,'2020 Data(H)'!$C$1:$CZ$426,11,FALSE)</f>
        <v>#N/A</v>
      </c>
      <c r="F106" s="295">
        <v>0</v>
      </c>
      <c r="G106" s="730"/>
      <c r="H106" s="17"/>
      <c r="I106" s="79"/>
      <c r="J106" s="575"/>
      <c r="L106" s="704"/>
      <c r="Z106" s="818"/>
      <c r="AA106" s="818"/>
      <c r="AB106" s="818"/>
      <c r="AC106" s="818"/>
      <c r="AD106" s="818"/>
      <c r="AE106" s="818"/>
      <c r="AF106" s="818"/>
      <c r="AG106" s="818"/>
      <c r="AH106" s="818"/>
      <c r="AI106" s="818"/>
      <c r="AJ106" s="818"/>
      <c r="AK106" s="818"/>
      <c r="AL106" s="818"/>
      <c r="AM106" s="818"/>
      <c r="AN106" s="818"/>
      <c r="AO106" s="818"/>
      <c r="AP106" s="818"/>
      <c r="AQ106" s="818"/>
      <c r="AR106" s="818"/>
    </row>
    <row r="107" spans="1:44" ht="129.75" hidden="1" customHeight="1" thickBot="1" x14ac:dyDescent="0.35">
      <c r="A107" s="600">
        <v>571</v>
      </c>
      <c r="B107" s="816" t="s">
        <v>359</v>
      </c>
      <c r="C107" s="820" t="s">
        <v>1094</v>
      </c>
      <c r="D107" s="820" t="s">
        <v>1095</v>
      </c>
      <c r="E107" s="669" t="e">
        <f>HLOOKUP($D$2,'2020 Data(H)'!$C$1:$CZ$426,221,FALSE)</f>
        <v>#N/A</v>
      </c>
      <c r="F107" s="295">
        <v>0</v>
      </c>
      <c r="G107" s="730"/>
      <c r="H107" s="17"/>
      <c r="I107" s="79"/>
      <c r="J107" s="575"/>
      <c r="L107" s="704"/>
      <c r="Z107" s="818"/>
      <c r="AA107" s="818"/>
      <c r="AB107" s="818"/>
      <c r="AC107" s="818"/>
      <c r="AD107" s="818"/>
      <c r="AE107" s="818"/>
      <c r="AF107" s="818"/>
      <c r="AG107" s="818"/>
      <c r="AH107" s="818"/>
      <c r="AI107" s="818"/>
      <c r="AJ107" s="818"/>
      <c r="AK107" s="818"/>
      <c r="AL107" s="818"/>
      <c r="AM107" s="818"/>
      <c r="AN107" s="818"/>
      <c r="AO107" s="818"/>
      <c r="AP107" s="818"/>
      <c r="AQ107" s="818"/>
      <c r="AR107" s="818"/>
    </row>
    <row r="108" spans="1:44" ht="128.25" hidden="1" customHeight="1" thickBot="1" x14ac:dyDescent="0.35">
      <c r="A108" s="600">
        <v>572</v>
      </c>
      <c r="B108" s="816" t="s">
        <v>59</v>
      </c>
      <c r="C108" s="820" t="s">
        <v>1094</v>
      </c>
      <c r="D108" s="820" t="s">
        <v>1096</v>
      </c>
      <c r="E108" s="669" t="e">
        <f>HLOOKUP($D$2,'2020 Data(H)'!$C$1:$CZ$426,222,FALSE)</f>
        <v>#N/A</v>
      </c>
      <c r="F108" s="295">
        <v>0</v>
      </c>
      <c r="G108" s="730"/>
      <c r="H108" s="17"/>
      <c r="I108" s="79"/>
      <c r="J108" s="575"/>
      <c r="L108" s="704"/>
      <c r="Z108" s="818"/>
      <c r="AA108" s="818"/>
      <c r="AB108" s="818"/>
      <c r="AC108" s="818"/>
      <c r="AD108" s="818"/>
      <c r="AE108" s="818"/>
      <c r="AF108" s="818"/>
      <c r="AG108" s="818"/>
      <c r="AH108" s="818"/>
      <c r="AI108" s="818"/>
      <c r="AJ108" s="818"/>
      <c r="AK108" s="818"/>
      <c r="AL108" s="818"/>
      <c r="AM108" s="818"/>
      <c r="AN108" s="818"/>
      <c r="AO108" s="818"/>
      <c r="AP108" s="818"/>
      <c r="AQ108" s="818"/>
      <c r="AR108" s="818"/>
    </row>
    <row r="109" spans="1:44" ht="120.75" hidden="1" customHeight="1" thickBot="1" x14ac:dyDescent="0.35">
      <c r="A109" s="600">
        <v>573</v>
      </c>
      <c r="B109" s="816" t="s">
        <v>359</v>
      </c>
      <c r="C109" s="820" t="s">
        <v>1094</v>
      </c>
      <c r="D109" s="820" t="s">
        <v>1254</v>
      </c>
      <c r="E109" s="669" t="e">
        <f>HLOOKUP($D$2,'2020 Data(H)'!$C$1:$CZ$426,223,FALSE)</f>
        <v>#N/A</v>
      </c>
      <c r="F109" s="295">
        <v>0</v>
      </c>
      <c r="G109" s="730"/>
      <c r="H109" s="17"/>
      <c r="I109" s="79"/>
      <c r="J109" s="575"/>
      <c r="L109" s="704"/>
      <c r="Z109" s="818"/>
      <c r="AA109" s="818"/>
      <c r="AB109" s="818"/>
      <c r="AC109" s="818"/>
      <c r="AD109" s="818"/>
      <c r="AE109" s="818"/>
      <c r="AF109" s="818"/>
      <c r="AG109" s="818"/>
      <c r="AH109" s="818"/>
      <c r="AI109" s="818"/>
      <c r="AJ109" s="818"/>
      <c r="AK109" s="818"/>
      <c r="AL109" s="818"/>
      <c r="AM109" s="818"/>
      <c r="AN109" s="818"/>
      <c r="AO109" s="818"/>
      <c r="AP109" s="818"/>
      <c r="AQ109" s="818"/>
      <c r="AR109" s="818"/>
    </row>
    <row r="110" spans="1:44" ht="99.75" hidden="1" customHeight="1" thickBot="1" x14ac:dyDescent="0.35">
      <c r="A110" s="600">
        <v>34</v>
      </c>
      <c r="B110" s="816" t="s">
        <v>359</v>
      </c>
      <c r="C110" s="4" t="s">
        <v>1069</v>
      </c>
      <c r="D110" s="659" t="s">
        <v>1249</v>
      </c>
      <c r="E110" s="669" t="e">
        <f>HLOOKUP($D$2,'2020 Data(H)'!$C$1:$CZ$426,22,FALSE)</f>
        <v>#N/A</v>
      </c>
      <c r="F110" s="295">
        <v>0</v>
      </c>
      <c r="G110" s="730"/>
      <c r="H110" s="17"/>
      <c r="I110" s="79"/>
      <c r="J110" s="575"/>
      <c r="L110" s="704"/>
      <c r="Z110" s="818"/>
      <c r="AA110" s="818"/>
      <c r="AB110" s="818"/>
      <c r="AC110" s="818"/>
      <c r="AD110" s="818"/>
      <c r="AE110" s="818"/>
      <c r="AF110" s="818"/>
      <c r="AG110" s="818"/>
      <c r="AH110" s="818"/>
      <c r="AI110" s="818"/>
      <c r="AJ110" s="818"/>
      <c r="AK110" s="818"/>
      <c r="AL110" s="818"/>
      <c r="AM110" s="818"/>
      <c r="AN110" s="818"/>
      <c r="AO110" s="818"/>
      <c r="AP110" s="818"/>
      <c r="AQ110" s="818"/>
      <c r="AR110" s="818"/>
    </row>
    <row r="111" spans="1:44" ht="117" hidden="1" customHeight="1" thickBot="1" x14ac:dyDescent="0.35">
      <c r="A111" s="600">
        <v>35</v>
      </c>
      <c r="B111" s="816" t="s">
        <v>359</v>
      </c>
      <c r="C111" s="4" t="s">
        <v>1069</v>
      </c>
      <c r="D111" s="659" t="s">
        <v>1261</v>
      </c>
      <c r="E111" s="669" t="e">
        <f>HLOOKUP($D$2,'2020 Data(H)'!$C$1:$CZ$426,23,FALSE)</f>
        <v>#N/A</v>
      </c>
      <c r="F111" s="295">
        <v>0</v>
      </c>
      <c r="G111" s="730"/>
      <c r="H111" s="17"/>
      <c r="I111" s="79"/>
      <c r="J111" s="575"/>
      <c r="L111" s="704"/>
      <c r="Z111" s="818"/>
      <c r="AA111" s="818"/>
      <c r="AB111" s="818"/>
      <c r="AC111" s="818"/>
      <c r="AD111" s="818"/>
      <c r="AE111" s="818"/>
      <c r="AF111" s="818"/>
      <c r="AG111" s="818"/>
      <c r="AH111" s="818"/>
      <c r="AI111" s="818"/>
      <c r="AJ111" s="818"/>
      <c r="AK111" s="818"/>
      <c r="AL111" s="818"/>
      <c r="AM111" s="818"/>
      <c r="AN111" s="818"/>
      <c r="AO111" s="818"/>
      <c r="AP111" s="818"/>
      <c r="AQ111" s="818"/>
      <c r="AR111" s="818"/>
    </row>
    <row r="112" spans="1:44" ht="108.75" hidden="1" customHeight="1" thickBot="1" x14ac:dyDescent="0.35">
      <c r="A112" s="600">
        <v>37</v>
      </c>
      <c r="B112" s="816" t="s">
        <v>359</v>
      </c>
      <c r="C112" s="4" t="s">
        <v>1069</v>
      </c>
      <c r="D112" s="659" t="s">
        <v>1174</v>
      </c>
      <c r="E112" s="669" t="e">
        <f>HLOOKUP($D$2,'2020 Data(H)'!$C$1:$CZ$426,25,FALSE)</f>
        <v>#N/A</v>
      </c>
      <c r="F112" s="295">
        <v>0</v>
      </c>
      <c r="G112" s="730"/>
      <c r="H112" s="17"/>
      <c r="I112" s="79"/>
      <c r="J112" s="575"/>
      <c r="L112" s="704"/>
      <c r="Z112" s="818"/>
      <c r="AA112" s="818"/>
      <c r="AB112" s="818"/>
      <c r="AC112" s="818"/>
      <c r="AD112" s="818"/>
      <c r="AE112" s="818"/>
      <c r="AF112" s="818"/>
      <c r="AG112" s="818"/>
      <c r="AH112" s="818"/>
      <c r="AI112" s="818"/>
      <c r="AJ112" s="818"/>
      <c r="AK112" s="818"/>
      <c r="AL112" s="818"/>
      <c r="AM112" s="818"/>
      <c r="AN112" s="818"/>
      <c r="AO112" s="818"/>
      <c r="AP112" s="818"/>
      <c r="AQ112" s="818"/>
      <c r="AR112" s="818"/>
    </row>
    <row r="113" spans="1:44" ht="102.75" hidden="1" customHeight="1" thickBot="1" x14ac:dyDescent="0.35">
      <c r="A113" s="600">
        <v>38</v>
      </c>
      <c r="B113" s="816" t="s">
        <v>359</v>
      </c>
      <c r="C113" s="4" t="s">
        <v>1069</v>
      </c>
      <c r="D113" s="659" t="s">
        <v>1072</v>
      </c>
      <c r="E113" s="669" t="e">
        <f>HLOOKUP($D$2,'2020 Data(H)'!$C$1:$CZ$426,26,FALSE)</f>
        <v>#N/A</v>
      </c>
      <c r="F113" s="295">
        <v>0</v>
      </c>
      <c r="G113" s="730"/>
      <c r="H113" s="17"/>
      <c r="I113" s="79"/>
      <c r="J113" s="575"/>
      <c r="L113" s="704"/>
      <c r="Z113" s="818"/>
      <c r="AA113" s="818"/>
      <c r="AB113" s="818"/>
      <c r="AC113" s="818"/>
      <c r="AD113" s="818"/>
      <c r="AE113" s="818"/>
      <c r="AF113" s="818"/>
      <c r="AG113" s="818"/>
      <c r="AH113" s="818"/>
      <c r="AI113" s="818"/>
      <c r="AJ113" s="818"/>
      <c r="AK113" s="818"/>
      <c r="AL113" s="818"/>
      <c r="AM113" s="818"/>
      <c r="AN113" s="818"/>
      <c r="AO113" s="818"/>
      <c r="AP113" s="818"/>
      <c r="AQ113" s="818"/>
      <c r="AR113" s="818"/>
    </row>
    <row r="114" spans="1:44" ht="117.75" hidden="1" customHeight="1" thickBot="1" x14ac:dyDescent="0.35">
      <c r="A114" s="600">
        <v>32</v>
      </c>
      <c r="B114" s="816" t="s">
        <v>440</v>
      </c>
      <c r="C114" s="819" t="s">
        <v>1059</v>
      </c>
      <c r="D114" s="819" t="s">
        <v>1060</v>
      </c>
      <c r="E114" s="669" t="e">
        <f>HLOOKUP($D$2,'2020 Data(H)'!$C$1:$CZ$426,20,FALSE)</f>
        <v>#N/A</v>
      </c>
      <c r="F114" s="295">
        <v>0</v>
      </c>
      <c r="G114" s="730"/>
      <c r="H114" s="17"/>
      <c r="I114" s="79"/>
      <c r="J114" s="575"/>
      <c r="L114" s="704"/>
      <c r="Z114" s="818"/>
      <c r="AA114" s="818"/>
      <c r="AB114" s="818"/>
      <c r="AC114" s="818"/>
      <c r="AD114" s="818"/>
      <c r="AE114" s="818"/>
      <c r="AF114" s="818"/>
      <c r="AG114" s="818"/>
      <c r="AH114" s="818"/>
      <c r="AI114" s="818"/>
      <c r="AJ114" s="818"/>
      <c r="AK114" s="818"/>
      <c r="AL114" s="818"/>
      <c r="AM114" s="818"/>
      <c r="AN114" s="818"/>
      <c r="AO114" s="818"/>
      <c r="AP114" s="818"/>
      <c r="AQ114" s="818"/>
      <c r="AR114" s="818"/>
    </row>
    <row r="115" spans="1:44" ht="116.25" hidden="1" customHeight="1" thickBot="1" x14ac:dyDescent="0.35">
      <c r="A115" s="600">
        <v>40</v>
      </c>
      <c r="B115" s="816" t="s">
        <v>359</v>
      </c>
      <c r="C115" s="819" t="s">
        <v>1073</v>
      </c>
      <c r="D115" s="659" t="s">
        <v>1074</v>
      </c>
      <c r="E115" s="669" t="e">
        <f>HLOOKUP($D$2,'2020 Data(H)'!$C$1:$CZ$426,28,FALSE)</f>
        <v>#N/A</v>
      </c>
      <c r="F115" s="295">
        <v>0</v>
      </c>
      <c r="G115" s="730"/>
      <c r="H115" s="17"/>
      <c r="I115" s="79"/>
      <c r="J115" s="575"/>
      <c r="L115" s="704"/>
      <c r="Z115" s="818"/>
      <c r="AA115" s="818"/>
      <c r="AB115" s="818"/>
      <c r="AC115" s="818"/>
      <c r="AD115" s="818"/>
      <c r="AE115" s="818"/>
      <c r="AF115" s="818"/>
      <c r="AG115" s="818"/>
      <c r="AH115" s="818"/>
      <c r="AI115" s="818"/>
      <c r="AJ115" s="818"/>
      <c r="AK115" s="818"/>
      <c r="AL115" s="818"/>
      <c r="AM115" s="818"/>
      <c r="AN115" s="818"/>
      <c r="AO115" s="818"/>
      <c r="AP115" s="818"/>
      <c r="AQ115" s="818"/>
      <c r="AR115" s="818"/>
    </row>
    <row r="116" spans="1:44" ht="104.25" hidden="1" customHeight="1" thickBot="1" x14ac:dyDescent="0.35">
      <c r="A116" s="600">
        <v>107</v>
      </c>
      <c r="B116" s="816" t="s">
        <v>359</v>
      </c>
      <c r="C116" s="819" t="s">
        <v>1073</v>
      </c>
      <c r="D116" s="659" t="s">
        <v>1075</v>
      </c>
      <c r="E116" s="669" t="e">
        <f>HLOOKUP($D$2,'2020 Data(H)'!$C$1:$CZ$426,65,FALSE)</f>
        <v>#N/A</v>
      </c>
      <c r="F116" s="295">
        <v>0</v>
      </c>
      <c r="G116" s="730"/>
      <c r="H116" s="17"/>
      <c r="I116" s="79"/>
      <c r="J116" s="575"/>
      <c r="L116" s="704"/>
      <c r="Z116" s="818"/>
      <c r="AA116" s="818"/>
      <c r="AB116" s="818"/>
      <c r="AC116" s="818"/>
      <c r="AD116" s="818"/>
      <c r="AE116" s="818"/>
      <c r="AF116" s="818"/>
      <c r="AG116" s="818"/>
      <c r="AH116" s="818"/>
      <c r="AI116" s="818"/>
      <c r="AJ116" s="818"/>
      <c r="AK116" s="818"/>
      <c r="AL116" s="818"/>
      <c r="AM116" s="818"/>
      <c r="AN116" s="818"/>
      <c r="AO116" s="818"/>
      <c r="AP116" s="818"/>
      <c r="AQ116" s="818"/>
      <c r="AR116" s="818"/>
    </row>
    <row r="117" spans="1:44" ht="107.25" hidden="1" customHeight="1" thickBot="1" x14ac:dyDescent="0.35">
      <c r="A117" s="600">
        <v>108</v>
      </c>
      <c r="B117" s="816" t="s">
        <v>359</v>
      </c>
      <c r="C117" s="819" t="s">
        <v>1073</v>
      </c>
      <c r="D117" s="659" t="s">
        <v>1175</v>
      </c>
      <c r="E117" s="669" t="e">
        <f>HLOOKUP($D$2,'2020 Data(H)'!$C$1:$CZ$426,66,FALSE)</f>
        <v>#N/A</v>
      </c>
      <c r="F117" s="295">
        <v>0</v>
      </c>
      <c r="G117" s="730"/>
      <c r="H117" s="17"/>
      <c r="I117" s="79"/>
      <c r="J117" s="575"/>
      <c r="L117" s="704"/>
      <c r="Z117" s="818"/>
      <c r="AA117" s="818"/>
      <c r="AB117" s="818"/>
      <c r="AC117" s="818"/>
      <c r="AD117" s="818"/>
      <c r="AE117" s="818"/>
      <c r="AF117" s="818"/>
      <c r="AG117" s="818"/>
      <c r="AH117" s="818"/>
      <c r="AI117" s="818"/>
      <c r="AJ117" s="818"/>
      <c r="AK117" s="818"/>
      <c r="AL117" s="818"/>
      <c r="AM117" s="818"/>
      <c r="AN117" s="818"/>
      <c r="AO117" s="818"/>
      <c r="AP117" s="818"/>
      <c r="AQ117" s="818"/>
      <c r="AR117" s="818"/>
    </row>
    <row r="118" spans="1:44" ht="93" hidden="1" customHeight="1" thickBot="1" x14ac:dyDescent="0.35">
      <c r="A118" s="600">
        <v>41</v>
      </c>
      <c r="B118" s="816" t="s">
        <v>359</v>
      </c>
      <c r="C118" s="819" t="s">
        <v>1073</v>
      </c>
      <c r="D118" s="659" t="s">
        <v>1176</v>
      </c>
      <c r="E118" s="669" t="e">
        <f>HLOOKUP($D$2,'2020 Data(H)'!$C$1:$CZ$426,29,FALSE)</f>
        <v>#N/A</v>
      </c>
      <c r="F118" s="295">
        <v>0</v>
      </c>
      <c r="G118" s="730"/>
      <c r="H118" s="17"/>
      <c r="I118" s="79"/>
      <c r="J118" s="575"/>
      <c r="L118" s="704"/>
      <c r="Z118" s="818"/>
      <c r="AA118" s="818"/>
      <c r="AB118" s="818"/>
      <c r="AC118" s="818"/>
      <c r="AD118" s="818"/>
      <c r="AE118" s="818"/>
      <c r="AF118" s="818"/>
      <c r="AG118" s="818"/>
      <c r="AH118" s="818"/>
      <c r="AI118" s="818"/>
      <c r="AJ118" s="818"/>
      <c r="AK118" s="818"/>
      <c r="AL118" s="818"/>
      <c r="AM118" s="818"/>
      <c r="AN118" s="818"/>
      <c r="AO118" s="818"/>
      <c r="AP118" s="818"/>
      <c r="AQ118" s="818"/>
      <c r="AR118" s="818"/>
    </row>
    <row r="119" spans="1:44" ht="120.75" hidden="1" customHeight="1" thickBot="1" x14ac:dyDescent="0.35">
      <c r="A119" s="600">
        <v>194</v>
      </c>
      <c r="B119" s="816" t="s">
        <v>359</v>
      </c>
      <c r="C119" s="819" t="s">
        <v>1073</v>
      </c>
      <c r="D119" s="659" t="s">
        <v>1076</v>
      </c>
      <c r="E119" s="669" t="e">
        <f>HLOOKUP($D$2,'2020 Data(H)'!$C$1:$CZ$426,75,FALSE)</f>
        <v>#N/A</v>
      </c>
      <c r="F119" s="295">
        <v>0</v>
      </c>
      <c r="G119" s="730"/>
      <c r="H119" s="17"/>
      <c r="I119" s="79"/>
      <c r="J119" s="575"/>
      <c r="L119" s="704"/>
      <c r="Z119" s="818"/>
      <c r="AA119" s="818"/>
      <c r="AB119" s="818"/>
      <c r="AC119" s="818"/>
      <c r="AD119" s="818"/>
      <c r="AE119" s="818"/>
      <c r="AF119" s="818"/>
      <c r="AG119" s="818"/>
      <c r="AH119" s="818"/>
      <c r="AI119" s="818"/>
      <c r="AJ119" s="818"/>
      <c r="AK119" s="818"/>
      <c r="AL119" s="818"/>
      <c r="AM119" s="818"/>
      <c r="AN119" s="818"/>
      <c r="AO119" s="818"/>
      <c r="AP119" s="818"/>
      <c r="AQ119" s="818"/>
      <c r="AR119" s="818"/>
    </row>
    <row r="120" spans="1:44" ht="123.75" hidden="1" customHeight="1" thickBot="1" x14ac:dyDescent="0.35">
      <c r="A120" s="600">
        <v>294</v>
      </c>
      <c r="B120" s="816" t="s">
        <v>359</v>
      </c>
      <c r="C120" s="819" t="s">
        <v>1073</v>
      </c>
      <c r="D120" s="659" t="s">
        <v>1077</v>
      </c>
      <c r="E120" s="669" t="e">
        <f>HLOOKUP($D$2,'2020 Data(H)'!$C$1:$CZ$426,83,FALSE)</f>
        <v>#N/A</v>
      </c>
      <c r="F120" s="295">
        <v>0</v>
      </c>
      <c r="G120" s="730"/>
      <c r="H120" s="17"/>
      <c r="I120" s="79"/>
      <c r="J120" s="575"/>
      <c r="L120" s="704"/>
      <c r="Z120" s="818"/>
      <c r="AA120" s="818"/>
      <c r="AB120" s="818"/>
      <c r="AC120" s="818"/>
      <c r="AD120" s="818"/>
      <c r="AE120" s="818"/>
      <c r="AF120" s="818"/>
      <c r="AG120" s="818"/>
      <c r="AH120" s="818"/>
      <c r="AI120" s="818"/>
      <c r="AJ120" s="818"/>
      <c r="AK120" s="818"/>
      <c r="AL120" s="818"/>
      <c r="AM120" s="818"/>
      <c r="AN120" s="818"/>
      <c r="AO120" s="818"/>
      <c r="AP120" s="818"/>
      <c r="AQ120" s="818"/>
      <c r="AR120" s="818"/>
    </row>
    <row r="121" spans="1:44" hidden="1" x14ac:dyDescent="0.3">
      <c r="A121" s="799"/>
      <c r="E121" s="669"/>
      <c r="Z121" s="18"/>
    </row>
    <row r="122" spans="1:44" hidden="1" x14ac:dyDescent="0.3">
      <c r="A122" s="799"/>
      <c r="E122" s="669"/>
      <c r="Z122" s="18"/>
    </row>
    <row r="123" spans="1:44" ht="129.75" customHeight="1" thickBot="1" x14ac:dyDescent="0.35">
      <c r="A123" s="600">
        <v>31</v>
      </c>
      <c r="B123" s="816" t="s">
        <v>440</v>
      </c>
      <c r="C123" s="819" t="s">
        <v>1059</v>
      </c>
      <c r="D123" s="819" t="s">
        <v>1061</v>
      </c>
      <c r="E123" s="669" t="e">
        <f>HLOOKUP($D$2,'2020 Data(H)'!$C$1:$CZ$426,19,FALSE)</f>
        <v>#N/A</v>
      </c>
      <c r="F123" s="295">
        <v>0</v>
      </c>
      <c r="G123" s="730"/>
      <c r="H123" s="17"/>
      <c r="I123" s="79"/>
      <c r="J123" s="575"/>
      <c r="L123" s="704"/>
      <c r="Z123" s="818"/>
      <c r="AA123" s="818"/>
      <c r="AB123" s="818"/>
      <c r="AC123" s="818"/>
      <c r="AD123" s="818"/>
      <c r="AE123" s="818"/>
      <c r="AF123" s="818"/>
      <c r="AG123" s="818"/>
      <c r="AH123" s="818"/>
      <c r="AI123" s="818"/>
      <c r="AJ123" s="818"/>
      <c r="AK123" s="818"/>
      <c r="AL123" s="818"/>
      <c r="AM123" s="818"/>
      <c r="AN123" s="818"/>
      <c r="AO123" s="818"/>
      <c r="AP123" s="818"/>
      <c r="AQ123" s="818"/>
      <c r="AR123" s="818"/>
    </row>
    <row r="124" spans="1:44" ht="94.5" hidden="1" customHeight="1" thickBot="1" x14ac:dyDescent="0.35">
      <c r="A124" s="1091">
        <v>193</v>
      </c>
      <c r="B124" s="816" t="s">
        <v>440</v>
      </c>
      <c r="C124" s="819" t="s">
        <v>1062</v>
      </c>
      <c r="D124" s="819" t="s">
        <v>304</v>
      </c>
      <c r="E124" s="669" t="e">
        <f>HLOOKUP($D$2,'2020 Data(H)'!$C$1:$CZ$426,74,FALSE)</f>
        <v>#N/A</v>
      </c>
      <c r="F124" s="295">
        <v>0</v>
      </c>
      <c r="G124" s="730"/>
      <c r="H124" s="17"/>
      <c r="I124" s="79"/>
      <c r="J124" s="575"/>
      <c r="L124" s="704"/>
      <c r="Z124" s="818"/>
      <c r="AA124" s="818"/>
      <c r="AB124" s="818"/>
      <c r="AC124" s="818"/>
      <c r="AD124" s="818"/>
      <c r="AE124" s="818"/>
      <c r="AF124" s="818"/>
      <c r="AG124" s="818"/>
      <c r="AH124" s="818"/>
      <c r="AI124" s="818"/>
      <c r="AJ124" s="818"/>
      <c r="AK124" s="818"/>
      <c r="AL124" s="818"/>
      <c r="AM124" s="818"/>
      <c r="AN124" s="818"/>
      <c r="AO124" s="818"/>
      <c r="AP124" s="818"/>
      <c r="AQ124" s="818"/>
      <c r="AR124" s="818"/>
    </row>
    <row r="125" spans="1:44" ht="78" hidden="1" customHeight="1" thickBot="1" x14ac:dyDescent="0.35">
      <c r="A125" s="1091">
        <v>33</v>
      </c>
      <c r="B125" s="816" t="s">
        <v>440</v>
      </c>
      <c r="C125" s="819" t="s">
        <v>1062</v>
      </c>
      <c r="D125" s="819" t="s">
        <v>293</v>
      </c>
      <c r="E125" s="669" t="e">
        <f>HLOOKUP($D$2,'2020 Data(H)'!$C$1:$CZ$426,21,FALSE)</f>
        <v>#N/A</v>
      </c>
      <c r="F125" s="295">
        <v>0</v>
      </c>
      <c r="G125" s="730"/>
      <c r="H125" s="17"/>
      <c r="I125" s="79"/>
      <c r="J125" s="575"/>
      <c r="L125" s="704"/>
      <c r="Z125" s="818"/>
      <c r="AA125" s="818"/>
      <c r="AB125" s="818"/>
      <c r="AC125" s="818"/>
      <c r="AD125" s="818"/>
      <c r="AE125" s="818"/>
      <c r="AF125" s="818"/>
      <c r="AG125" s="818"/>
      <c r="AH125" s="818"/>
      <c r="AI125" s="818"/>
      <c r="AJ125" s="818"/>
      <c r="AK125" s="818"/>
      <c r="AL125" s="818"/>
      <c r="AM125" s="818"/>
      <c r="AN125" s="818"/>
      <c r="AO125" s="818"/>
      <c r="AP125" s="818"/>
      <c r="AQ125" s="818"/>
      <c r="AR125" s="818"/>
    </row>
    <row r="126" spans="1:44" ht="55.5" hidden="1" customHeight="1" thickBot="1" x14ac:dyDescent="0.35">
      <c r="A126" s="600">
        <v>104</v>
      </c>
      <c r="B126" s="816" t="s">
        <v>440</v>
      </c>
      <c r="C126" s="4" t="s">
        <v>1078</v>
      </c>
      <c r="D126" s="659" t="s">
        <v>1079</v>
      </c>
      <c r="E126" s="669" t="e">
        <f>HLOOKUP($D$2,'2020 Data(H)'!$C$1:$CZ$426,64,FALSE)</f>
        <v>#N/A</v>
      </c>
      <c r="F126" s="295">
        <v>0</v>
      </c>
      <c r="G126" s="730"/>
      <c r="H126" s="17"/>
      <c r="I126" s="79"/>
      <c r="J126" s="575"/>
      <c r="L126" s="704"/>
      <c r="Z126" s="818"/>
      <c r="AA126" s="818"/>
      <c r="AB126" s="818"/>
      <c r="AC126" s="818"/>
      <c r="AD126" s="818"/>
      <c r="AE126" s="818"/>
      <c r="AF126" s="818"/>
      <c r="AG126" s="818"/>
      <c r="AH126" s="818"/>
      <c r="AI126" s="818"/>
      <c r="AJ126" s="818"/>
      <c r="AK126" s="818"/>
      <c r="AL126" s="818"/>
      <c r="AM126" s="818"/>
      <c r="AN126" s="818"/>
      <c r="AO126" s="818"/>
      <c r="AP126" s="818"/>
      <c r="AQ126" s="818"/>
      <c r="AR126" s="818"/>
    </row>
    <row r="127" spans="1:44" ht="70.5" hidden="1" customHeight="1" thickBot="1" x14ac:dyDescent="0.35">
      <c r="A127" s="600">
        <v>39</v>
      </c>
      <c r="B127" s="816" t="s">
        <v>440</v>
      </c>
      <c r="C127" s="4" t="s">
        <v>1078</v>
      </c>
      <c r="D127" s="24" t="s">
        <v>1080</v>
      </c>
      <c r="E127" s="669" t="e">
        <f>HLOOKUP($D$2,'2020 Data(H)'!$C$1:$CZ$426,27,FALSE)</f>
        <v>#N/A</v>
      </c>
      <c r="F127" s="295">
        <v>0</v>
      </c>
      <c r="G127" s="730"/>
      <c r="H127" s="17"/>
      <c r="I127" s="79"/>
      <c r="J127" s="575"/>
      <c r="L127" s="704"/>
      <c r="Z127" s="818"/>
      <c r="AA127" s="818"/>
      <c r="AB127" s="818"/>
      <c r="AC127" s="818"/>
      <c r="AD127" s="818"/>
      <c r="AE127" s="818"/>
      <c r="AF127" s="818"/>
      <c r="AG127" s="818"/>
      <c r="AH127" s="818"/>
      <c r="AI127" s="818"/>
      <c r="AJ127" s="818"/>
      <c r="AK127" s="818"/>
      <c r="AL127" s="818"/>
      <c r="AM127" s="818"/>
      <c r="AN127" s="818"/>
      <c r="AO127" s="818"/>
      <c r="AP127" s="818"/>
      <c r="AQ127" s="818"/>
      <c r="AR127" s="818"/>
    </row>
    <row r="128" spans="1:44" ht="15" hidden="1" thickBot="1" x14ac:dyDescent="0.35">
      <c r="A128" s="108"/>
      <c r="B128" s="856" t="s">
        <v>1177</v>
      </c>
      <c r="C128" s="856"/>
      <c r="D128" s="840"/>
      <c r="E128" s="840"/>
      <c r="F128" s="860"/>
      <c r="G128" s="861"/>
      <c r="H128" s="17"/>
      <c r="I128" s="79"/>
      <c r="L128" s="704"/>
      <c r="Z128" s="108"/>
      <c r="AA128" s="108"/>
      <c r="AB128" s="108"/>
      <c r="AC128" s="108"/>
      <c r="AD128" s="108"/>
      <c r="AE128" s="108"/>
      <c r="AF128" s="108"/>
      <c r="AG128" s="108"/>
      <c r="AH128" s="108"/>
      <c r="AI128" s="108"/>
      <c r="AJ128" s="108"/>
      <c r="AK128" s="108"/>
      <c r="AL128" s="108"/>
      <c r="AM128" s="108"/>
      <c r="AN128" s="108"/>
      <c r="AO128" s="108"/>
      <c r="AP128" s="108"/>
      <c r="AQ128" s="108"/>
      <c r="AR128" s="108"/>
    </row>
    <row r="129" spans="1:44" ht="15" hidden="1" thickBot="1" x14ac:dyDescent="0.35">
      <c r="A129" s="108"/>
      <c r="B129" s="856" t="s">
        <v>24</v>
      </c>
      <c r="C129" s="856"/>
      <c r="D129" s="856"/>
      <c r="E129" s="838"/>
      <c r="F129" s="862"/>
      <c r="G129" s="863"/>
      <c r="H129" s="17"/>
      <c r="I129" s="79"/>
      <c r="L129" s="704"/>
      <c r="Z129" s="108"/>
      <c r="AA129" s="108"/>
      <c r="AB129" s="108"/>
      <c r="AC129" s="108"/>
      <c r="AD129" s="108"/>
      <c r="AE129" s="108"/>
      <c r="AF129" s="108"/>
      <c r="AG129" s="108"/>
      <c r="AH129" s="108"/>
      <c r="AI129" s="108"/>
      <c r="AJ129" s="108"/>
      <c r="AK129" s="108"/>
      <c r="AL129" s="108"/>
      <c r="AM129" s="108"/>
      <c r="AN129" s="108"/>
      <c r="AO129" s="108"/>
      <c r="AP129" s="108"/>
      <c r="AQ129" s="108"/>
      <c r="AR129" s="108"/>
    </row>
    <row r="130" spans="1:44" ht="15" hidden="1" thickBot="1" x14ac:dyDescent="0.35">
      <c r="A130" s="108"/>
      <c r="B130" s="856" t="s">
        <v>22</v>
      </c>
      <c r="C130" s="856"/>
      <c r="D130" s="856"/>
      <c r="E130" s="838"/>
      <c r="F130" s="862"/>
      <c r="G130" s="863"/>
      <c r="H130" s="744"/>
      <c r="I130" s="79"/>
      <c r="L130" s="704"/>
      <c r="Z130" s="108"/>
      <c r="AA130" s="108"/>
      <c r="AB130" s="108"/>
      <c r="AC130" s="108"/>
      <c r="AD130" s="108"/>
      <c r="AE130" s="108"/>
      <c r="AF130" s="108"/>
      <c r="AG130" s="108"/>
      <c r="AH130" s="108"/>
      <c r="AI130" s="108"/>
      <c r="AJ130" s="108"/>
      <c r="AK130" s="108"/>
      <c r="AL130" s="108"/>
      <c r="AM130" s="108"/>
      <c r="AN130" s="108"/>
      <c r="AO130" s="108"/>
      <c r="AP130" s="108"/>
      <c r="AQ130" s="108"/>
      <c r="AR130" s="108"/>
    </row>
    <row r="131" spans="1:44" ht="78" hidden="1" customHeight="1" thickBot="1" x14ac:dyDescent="0.35">
      <c r="A131" s="108">
        <v>596</v>
      </c>
      <c r="B131" s="671" t="s">
        <v>57</v>
      </c>
      <c r="C131" s="821"/>
      <c r="D131" s="668" t="s">
        <v>368</v>
      </c>
      <c r="E131" s="669" t="e">
        <f>HLOOKUP($D$2,'2020 Data(H)'!$C$1:$CZ$426,255,FALSE)</f>
        <v>#N/A</v>
      </c>
      <c r="F131" s="295"/>
      <c r="G131" s="745"/>
      <c r="H131" s="744"/>
      <c r="I131" s="79"/>
      <c r="L131" s="704"/>
      <c r="Z131" s="108"/>
      <c r="AA131" s="108"/>
      <c r="AB131" s="108"/>
      <c r="AC131" s="108"/>
      <c r="AD131" s="108"/>
      <c r="AE131" s="108"/>
      <c r="AF131" s="108"/>
      <c r="AG131" s="108"/>
      <c r="AH131" s="108"/>
      <c r="AI131" s="108"/>
      <c r="AJ131" s="108"/>
      <c r="AK131" s="108"/>
      <c r="AL131" s="108"/>
      <c r="AM131" s="108"/>
      <c r="AN131" s="108"/>
      <c r="AO131" s="108"/>
      <c r="AP131" s="108"/>
      <c r="AQ131" s="108"/>
      <c r="AR131" s="108"/>
    </row>
    <row r="132" spans="1:44" ht="114.75" hidden="1" customHeight="1" thickBot="1" x14ac:dyDescent="0.35">
      <c r="A132" s="108">
        <v>80</v>
      </c>
      <c r="B132" s="4" t="s">
        <v>62</v>
      </c>
      <c r="C132" s="4" t="s">
        <v>1178</v>
      </c>
      <c r="D132" s="24" t="s">
        <v>1179</v>
      </c>
      <c r="E132" s="669" t="e">
        <f>HLOOKUP($D$2,'2020 Data(H)'!$C$1:$CZ$426,44,FALSE)</f>
        <v>#N/A</v>
      </c>
      <c r="F132" s="274">
        <v>0</v>
      </c>
      <c r="G132" s="669" t="e">
        <f>HLOOKUP($D$2,'2020 Data(H)'!C1:BS295,249,FALSE)</f>
        <v>#N/A</v>
      </c>
      <c r="H132" s="746"/>
      <c r="I132" s="79"/>
      <c r="L132" s="704"/>
      <c r="Z132" s="108"/>
      <c r="AA132" s="108"/>
      <c r="AB132" s="108"/>
      <c r="AC132" s="108"/>
      <c r="AD132" s="108"/>
      <c r="AE132" s="108"/>
      <c r="AF132" s="108"/>
      <c r="AG132" s="108"/>
      <c r="AH132" s="108"/>
      <c r="AI132" s="108"/>
      <c r="AJ132" s="108"/>
      <c r="AK132" s="108"/>
      <c r="AL132" s="108"/>
      <c r="AM132" s="108"/>
      <c r="AN132" s="108"/>
      <c r="AO132" s="108"/>
      <c r="AP132" s="108"/>
      <c r="AQ132" s="108"/>
      <c r="AR132" s="108"/>
    </row>
    <row r="133" spans="1:44" ht="63.75" hidden="1" customHeight="1" thickBot="1" x14ac:dyDescent="0.35">
      <c r="A133" s="108">
        <v>81</v>
      </c>
      <c r="B133" s="4" t="s">
        <v>62</v>
      </c>
      <c r="C133" s="4" t="s">
        <v>1178</v>
      </c>
      <c r="D133" s="24" t="s">
        <v>1180</v>
      </c>
      <c r="E133" s="669" t="e">
        <f>HLOOKUP($D$2,'2020 Data(H)'!$C$1:$CZ$426,45,FALSE)</f>
        <v>#N/A</v>
      </c>
      <c r="F133" s="295">
        <v>0</v>
      </c>
      <c r="G133" s="740"/>
      <c r="H133" s="17"/>
      <c r="I133" s="79"/>
      <c r="L133" s="704"/>
      <c r="Z133" s="108"/>
      <c r="AA133" s="108"/>
      <c r="AB133" s="108"/>
      <c r="AC133" s="108"/>
      <c r="AD133" s="108"/>
      <c r="AE133" s="108"/>
      <c r="AF133" s="108"/>
      <c r="AG133" s="108"/>
      <c r="AH133" s="108"/>
      <c r="AI133" s="108"/>
      <c r="AJ133" s="108"/>
      <c r="AK133" s="108"/>
      <c r="AL133" s="108"/>
      <c r="AM133" s="108"/>
      <c r="AN133" s="108"/>
      <c r="AO133" s="108"/>
      <c r="AP133" s="108"/>
      <c r="AQ133" s="108"/>
      <c r="AR133" s="108"/>
    </row>
    <row r="134" spans="1:44" ht="84" hidden="1" customHeight="1" thickBot="1" x14ac:dyDescent="0.35">
      <c r="A134" s="108">
        <v>579</v>
      </c>
      <c r="B134" s="822" t="s">
        <v>345</v>
      </c>
      <c r="C134" s="671" t="s">
        <v>1178</v>
      </c>
      <c r="D134" s="823" t="s">
        <v>1181</v>
      </c>
      <c r="E134" s="669" t="e">
        <f>HLOOKUP($D$2,'2020 Data(H)'!$C$1:$CZ$426,229,FALSE)</f>
        <v>#N/A</v>
      </c>
      <c r="F134" s="295">
        <v>0</v>
      </c>
      <c r="G134" s="730"/>
      <c r="H134" s="17"/>
      <c r="I134" s="731"/>
      <c r="L134" s="704"/>
      <c r="Z134" s="108"/>
      <c r="AA134" s="108"/>
      <c r="AB134" s="108"/>
      <c r="AC134" s="108"/>
      <c r="AD134" s="108"/>
      <c r="AE134" s="108"/>
      <c r="AF134" s="108"/>
      <c r="AG134" s="108"/>
      <c r="AH134" s="108"/>
      <c r="AI134" s="108"/>
      <c r="AJ134" s="108"/>
      <c r="AK134" s="108"/>
      <c r="AL134" s="108"/>
      <c r="AM134" s="108"/>
      <c r="AN134" s="108"/>
      <c r="AO134" s="108"/>
      <c r="AP134" s="108"/>
      <c r="AQ134" s="108"/>
      <c r="AR134" s="108"/>
    </row>
    <row r="135" spans="1:44" ht="48.75" hidden="1" customHeight="1" x14ac:dyDescent="0.3">
      <c r="A135" s="108">
        <v>510</v>
      </c>
      <c r="B135" s="4" t="s">
        <v>37</v>
      </c>
      <c r="C135" s="4" t="s">
        <v>1178</v>
      </c>
      <c r="D135" s="29" t="s">
        <v>319</v>
      </c>
      <c r="E135" s="669" t="e">
        <f>HLOOKUP($D$2,'2020 Data(H)'!$C$1:$CZ$426,160,FALSE)</f>
        <v>#N/A</v>
      </c>
      <c r="F135" s="295">
        <v>0</v>
      </c>
      <c r="G135" s="740"/>
      <c r="H135" s="17"/>
      <c r="I135" s="79"/>
      <c r="Z135" s="108"/>
      <c r="AA135" s="108"/>
      <c r="AB135" s="108"/>
      <c r="AC135" s="108"/>
      <c r="AD135" s="108"/>
      <c r="AE135" s="108"/>
      <c r="AF135" s="108"/>
      <c r="AG135" s="108"/>
      <c r="AH135" s="108"/>
      <c r="AI135" s="108"/>
      <c r="AJ135" s="108"/>
      <c r="AK135" s="108"/>
      <c r="AL135" s="108"/>
      <c r="AM135" s="108"/>
      <c r="AN135" s="108"/>
      <c r="AO135" s="108"/>
      <c r="AP135" s="108"/>
      <c r="AQ135" s="108"/>
      <c r="AR135" s="108"/>
    </row>
    <row r="136" spans="1:44" ht="68.25" hidden="1" customHeight="1" x14ac:dyDescent="0.3">
      <c r="A136" s="307">
        <v>654</v>
      </c>
      <c r="B136" s="824" t="s">
        <v>37</v>
      </c>
      <c r="C136" s="824" t="s">
        <v>1178</v>
      </c>
      <c r="D136" s="338" t="s">
        <v>1182</v>
      </c>
      <c r="E136" s="669" t="e">
        <f>HLOOKUP($D$2,'2020 Data(H)'!$C$1:$CZ$426,307,FALSE)</f>
        <v>#N/A</v>
      </c>
      <c r="F136" s="295">
        <v>0</v>
      </c>
      <c r="G136" s="730">
        <f>IF((F132+F133+F135)&gt;F136,"Error: Please review components of current assets above.  Account numbers (80+81+510)&gt;654",)</f>
        <v>0</v>
      </c>
      <c r="H136" s="17"/>
      <c r="I136" s="79"/>
      <c r="Z136" s="307"/>
      <c r="AA136" s="307"/>
      <c r="AB136" s="307"/>
      <c r="AC136" s="307"/>
      <c r="AD136" s="307"/>
      <c r="AE136" s="307"/>
      <c r="AF136" s="307"/>
      <c r="AG136" s="307"/>
      <c r="AH136" s="307"/>
      <c r="AI136" s="307"/>
      <c r="AJ136" s="307"/>
      <c r="AK136" s="307"/>
      <c r="AL136" s="307"/>
      <c r="AM136" s="307"/>
      <c r="AN136" s="307"/>
      <c r="AO136" s="307"/>
      <c r="AP136" s="307"/>
      <c r="AQ136" s="307"/>
      <c r="AR136" s="307"/>
    </row>
    <row r="137" spans="1:44" ht="75.75" hidden="1" customHeight="1" x14ac:dyDescent="0.3">
      <c r="A137" s="307">
        <v>655</v>
      </c>
      <c r="B137" s="824" t="s">
        <v>37</v>
      </c>
      <c r="C137" s="824" t="s">
        <v>1178</v>
      </c>
      <c r="D137" s="309" t="s">
        <v>568</v>
      </c>
      <c r="E137" s="669" t="e">
        <f>HLOOKUP($D$2,'2020 Data(H)'!$C$1:$CZ$426,308,FALSE)</f>
        <v>#N/A</v>
      </c>
      <c r="F137" s="295">
        <v>0</v>
      </c>
      <c r="G137" s="730"/>
      <c r="H137" s="17"/>
      <c r="I137" s="79"/>
      <c r="Z137" s="307"/>
      <c r="AA137" s="307"/>
      <c r="AB137" s="307"/>
      <c r="AC137" s="307"/>
      <c r="AD137" s="307"/>
      <c r="AE137" s="307"/>
      <c r="AF137" s="307"/>
      <c r="AG137" s="307"/>
      <c r="AH137" s="307"/>
      <c r="AI137" s="307"/>
      <c r="AJ137" s="307"/>
      <c r="AK137" s="307"/>
      <c r="AL137" s="307"/>
      <c r="AM137" s="307"/>
      <c r="AN137" s="307"/>
      <c r="AO137" s="307"/>
      <c r="AP137" s="307"/>
      <c r="AQ137" s="307"/>
      <c r="AR137" s="307"/>
    </row>
    <row r="138" spans="1:44" ht="48" hidden="1" customHeight="1" x14ac:dyDescent="0.3">
      <c r="A138" s="108">
        <v>381</v>
      </c>
      <c r="B138" s="4" t="s">
        <v>37</v>
      </c>
      <c r="C138" s="4" t="s">
        <v>1178</v>
      </c>
      <c r="D138" s="106" t="s">
        <v>130</v>
      </c>
      <c r="E138" s="669" t="e">
        <f>HLOOKUP($D$2,'2020 Data(H)'!$C$1:$CZ$426,140,FALSE)</f>
        <v>#N/A</v>
      </c>
      <c r="F138" s="295">
        <v>0</v>
      </c>
      <c r="G138" s="730">
        <f>IF(F136&gt;F138,"Error: Please review components of current assets above. Account numbers 654&gt;381",)</f>
        <v>0</v>
      </c>
      <c r="H138" s="17"/>
      <c r="I138" s="79"/>
      <c r="Z138" s="108"/>
      <c r="AA138" s="108"/>
      <c r="AB138" s="108"/>
      <c r="AC138" s="108"/>
      <c r="AD138" s="108"/>
      <c r="AE138" s="108"/>
      <c r="AF138" s="108"/>
      <c r="AG138" s="108"/>
      <c r="AH138" s="108"/>
      <c r="AI138" s="108"/>
      <c r="AJ138" s="108"/>
      <c r="AK138" s="108"/>
      <c r="AL138" s="108"/>
      <c r="AM138" s="108"/>
      <c r="AN138" s="108"/>
      <c r="AO138" s="108"/>
      <c r="AP138" s="108"/>
      <c r="AQ138" s="108"/>
      <c r="AR138" s="108"/>
    </row>
    <row r="139" spans="1:44" ht="63" hidden="1" customHeight="1" x14ac:dyDescent="0.3">
      <c r="A139" s="108">
        <v>578</v>
      </c>
      <c r="B139" s="671" t="s">
        <v>59</v>
      </c>
      <c r="C139" s="671" t="s">
        <v>1178</v>
      </c>
      <c r="D139" s="823" t="s">
        <v>1183</v>
      </c>
      <c r="E139" s="669" t="e">
        <f>HLOOKUP($D$2,'2020 Data(H)'!$C$1:$CZ$426,228,FALSE)</f>
        <v>#N/A</v>
      </c>
      <c r="F139" s="295">
        <v>0</v>
      </c>
      <c r="G139" s="730"/>
      <c r="H139" s="731"/>
      <c r="I139" s="732"/>
      <c r="Z139" s="108"/>
      <c r="AA139" s="108"/>
      <c r="AB139" s="108"/>
      <c r="AC139" s="108"/>
      <c r="AD139" s="108"/>
      <c r="AE139" s="108"/>
      <c r="AF139" s="108"/>
      <c r="AG139" s="108"/>
      <c r="AH139" s="108"/>
      <c r="AI139" s="108"/>
      <c r="AJ139" s="108"/>
      <c r="AK139" s="108"/>
      <c r="AL139" s="108"/>
      <c r="AM139" s="108"/>
      <c r="AN139" s="108"/>
      <c r="AO139" s="108"/>
      <c r="AP139" s="108"/>
      <c r="AQ139" s="108"/>
      <c r="AR139" s="108"/>
    </row>
    <row r="140" spans="1:44" ht="126" hidden="1" customHeight="1" x14ac:dyDescent="0.3">
      <c r="A140" s="308">
        <v>633</v>
      </c>
      <c r="B140" s="824" t="s">
        <v>567</v>
      </c>
      <c r="C140" s="824" t="s">
        <v>444</v>
      </c>
      <c r="D140" s="338" t="s">
        <v>1262</v>
      </c>
      <c r="E140" s="669" t="e">
        <f>HLOOKUP($D$2,'2020 Data(H)'!$C$1:$CZ$426,292,FALSE)</f>
        <v>#N/A</v>
      </c>
      <c r="F140" s="295">
        <v>0</v>
      </c>
      <c r="G140" s="747" t="str">
        <f>IF(F140&gt;=(F141+F142+F143+F144+F145+F146),"","Account 633 is less than the total sum of accounts 634 through 638 + 383")</f>
        <v/>
      </c>
      <c r="H140" s="753">
        <f>F140-(F141+F142+F143+F144+F145+F146)</f>
        <v>0</v>
      </c>
      <c r="I140" s="735" t="str">
        <f>IF(F140&gt;=(F141+F142+F143+F144+F145+F146),"","Account 633 is less than the total sum of accounts 634 through 638 + 383")</f>
        <v/>
      </c>
      <c r="Z140" s="308"/>
      <c r="AA140" s="308"/>
      <c r="AB140" s="308"/>
      <c r="AC140" s="308"/>
      <c r="AD140" s="308"/>
      <c r="AE140" s="308"/>
      <c r="AF140" s="308"/>
      <c r="AG140" s="308"/>
      <c r="AH140" s="308"/>
      <c r="AI140" s="308"/>
      <c r="AJ140" s="308"/>
      <c r="AK140" s="308"/>
      <c r="AL140" s="308"/>
      <c r="AM140" s="308"/>
      <c r="AN140" s="308"/>
      <c r="AO140" s="308"/>
      <c r="AP140" s="308"/>
      <c r="AQ140" s="308"/>
      <c r="AR140" s="308"/>
    </row>
    <row r="141" spans="1:44" ht="109.5" hidden="1" customHeight="1" x14ac:dyDescent="0.3">
      <c r="A141" s="307">
        <v>634</v>
      </c>
      <c r="B141" s="825" t="s">
        <v>440</v>
      </c>
      <c r="C141" s="824" t="s">
        <v>444</v>
      </c>
      <c r="D141" s="338" t="s">
        <v>1264</v>
      </c>
      <c r="E141" s="669" t="e">
        <f>HLOOKUP($D$2,'2020 Data(H)'!$C$1:$CZ$426,293,FALSE)</f>
        <v>#N/A</v>
      </c>
      <c r="F141" s="295">
        <v>0</v>
      </c>
      <c r="G141" s="748">
        <f>IF(F141&gt;F140,"Please review account numbers 634&gt;633",)</f>
        <v>0</v>
      </c>
      <c r="H141" s="735"/>
      <c r="I141" s="735"/>
      <c r="Z141" s="307"/>
      <c r="AA141" s="307"/>
      <c r="AB141" s="307"/>
      <c r="AC141" s="307"/>
      <c r="AD141" s="307"/>
      <c r="AE141" s="307"/>
      <c r="AF141" s="307"/>
      <c r="AG141" s="307"/>
      <c r="AH141" s="307"/>
      <c r="AI141" s="307"/>
      <c r="AJ141" s="307"/>
      <c r="AK141" s="307"/>
      <c r="AL141" s="307"/>
      <c r="AM141" s="307"/>
      <c r="AN141" s="307"/>
      <c r="AO141" s="307"/>
      <c r="AP141" s="307"/>
      <c r="AQ141" s="307"/>
      <c r="AR141" s="307"/>
    </row>
    <row r="142" spans="1:44" ht="130.5" hidden="1" customHeight="1" x14ac:dyDescent="0.3">
      <c r="A142" s="307">
        <v>635</v>
      </c>
      <c r="B142" s="825" t="s">
        <v>440</v>
      </c>
      <c r="C142" s="824" t="s">
        <v>444</v>
      </c>
      <c r="D142" s="338" t="s">
        <v>1263</v>
      </c>
      <c r="E142" s="669" t="e">
        <f>HLOOKUP($D$2,'2020 Data(H)'!$C$1:$CZ$426,294,FALSE)</f>
        <v>#N/A</v>
      </c>
      <c r="F142" s="295">
        <v>0</v>
      </c>
      <c r="G142" s="748">
        <f>IF(F142&gt;F140,"Please review account numbers 635&gt;633",)</f>
        <v>0</v>
      </c>
      <c r="H142" s="735"/>
      <c r="I142" s="735"/>
      <c r="Z142" s="307"/>
      <c r="AA142" s="307"/>
      <c r="AB142" s="307"/>
      <c r="AC142" s="307"/>
      <c r="AD142" s="307"/>
      <c r="AE142" s="307"/>
      <c r="AF142" s="307"/>
      <c r="AG142" s="307"/>
      <c r="AH142" s="307"/>
      <c r="AI142" s="307"/>
      <c r="AJ142" s="307"/>
      <c r="AK142" s="307"/>
      <c r="AL142" s="307"/>
      <c r="AM142" s="307"/>
      <c r="AN142" s="307"/>
      <c r="AO142" s="307"/>
      <c r="AP142" s="307"/>
      <c r="AQ142" s="307"/>
      <c r="AR142" s="307"/>
    </row>
    <row r="143" spans="1:44" ht="106.5" hidden="1" customHeight="1" x14ac:dyDescent="0.3">
      <c r="A143" s="307">
        <v>636</v>
      </c>
      <c r="B143" s="825" t="s">
        <v>440</v>
      </c>
      <c r="C143" s="824" t="s">
        <v>444</v>
      </c>
      <c r="D143" s="338" t="s">
        <v>1268</v>
      </c>
      <c r="E143" s="669" t="e">
        <f>HLOOKUP($D$2,'2020 Data(H)'!$C$1:$CZ$426,295,FALSE)</f>
        <v>#N/A</v>
      </c>
      <c r="F143" s="295">
        <v>0</v>
      </c>
      <c r="G143" s="748">
        <f>IF(F143&gt;F140,"Please review account numbers 636&gt;633",)</f>
        <v>0</v>
      </c>
      <c r="H143" s="735"/>
      <c r="I143" s="735"/>
      <c r="Z143" s="307"/>
      <c r="AA143" s="307"/>
      <c r="AB143" s="307"/>
      <c r="AC143" s="307"/>
      <c r="AD143" s="307"/>
      <c r="AE143" s="307"/>
      <c r="AF143" s="307"/>
      <c r="AG143" s="307"/>
      <c r="AH143" s="307"/>
      <c r="AI143" s="307"/>
      <c r="AJ143" s="307"/>
      <c r="AK143" s="307"/>
      <c r="AL143" s="307"/>
      <c r="AM143" s="307"/>
      <c r="AN143" s="307"/>
      <c r="AO143" s="307"/>
      <c r="AP143" s="307"/>
      <c r="AQ143" s="307"/>
      <c r="AR143" s="307"/>
    </row>
    <row r="144" spans="1:44" ht="80.25" hidden="1" customHeight="1" x14ac:dyDescent="0.3">
      <c r="A144" s="307">
        <v>637</v>
      </c>
      <c r="B144" s="825" t="s">
        <v>440</v>
      </c>
      <c r="C144" s="824" t="s">
        <v>444</v>
      </c>
      <c r="D144" s="338" t="s">
        <v>1267</v>
      </c>
      <c r="E144" s="669" t="e">
        <f>HLOOKUP($D$2,'2020 Data(H)'!$C$1:$CZ$426,296,FALSE)</f>
        <v>#N/A</v>
      </c>
      <c r="F144" s="295">
        <v>0</v>
      </c>
      <c r="G144" s="748">
        <f>IF(F144&gt;F140,"Please review account numbers 637&gt;633",)</f>
        <v>0</v>
      </c>
      <c r="H144" s="735"/>
      <c r="I144" s="735"/>
      <c r="Z144" s="307"/>
      <c r="AA144" s="307"/>
      <c r="AB144" s="307"/>
      <c r="AC144" s="307"/>
      <c r="AD144" s="307"/>
      <c r="AE144" s="307"/>
      <c r="AF144" s="307"/>
      <c r="AG144" s="307"/>
      <c r="AH144" s="307"/>
      <c r="AI144" s="307"/>
      <c r="AJ144" s="307"/>
      <c r="AK144" s="307"/>
      <c r="AL144" s="307"/>
      <c r="AM144" s="307"/>
      <c r="AN144" s="307"/>
      <c r="AO144" s="307"/>
      <c r="AP144" s="307"/>
      <c r="AQ144" s="307"/>
      <c r="AR144" s="307"/>
    </row>
    <row r="145" spans="1:44" ht="110.25" hidden="1" customHeight="1" x14ac:dyDescent="0.3">
      <c r="A145" s="307">
        <v>638</v>
      </c>
      <c r="B145" s="825" t="s">
        <v>440</v>
      </c>
      <c r="C145" s="824" t="s">
        <v>444</v>
      </c>
      <c r="D145" s="338" t="s">
        <v>1266</v>
      </c>
      <c r="E145" s="669" t="e">
        <f>HLOOKUP($D$2,'2020 Data(H)'!$C$1:$CZ$426,297,FALSE)</f>
        <v>#N/A</v>
      </c>
      <c r="F145" s="295">
        <v>0</v>
      </c>
      <c r="G145" s="748">
        <f>IF(F145&gt;F140,"Please review account numbers 638&gt;633",)</f>
        <v>0</v>
      </c>
      <c r="H145" s="735"/>
      <c r="I145" s="735"/>
      <c r="Z145" s="307"/>
      <c r="AA145" s="307"/>
      <c r="AB145" s="307"/>
      <c r="AC145" s="307"/>
      <c r="AD145" s="307"/>
      <c r="AE145" s="307"/>
      <c r="AF145" s="307"/>
      <c r="AG145" s="307"/>
      <c r="AH145" s="307"/>
      <c r="AI145" s="307"/>
      <c r="AJ145" s="307"/>
      <c r="AK145" s="307"/>
      <c r="AL145" s="307"/>
      <c r="AM145" s="307"/>
      <c r="AN145" s="307"/>
      <c r="AO145" s="307"/>
      <c r="AP145" s="307"/>
      <c r="AQ145" s="307"/>
      <c r="AR145" s="307"/>
    </row>
    <row r="146" spans="1:44" ht="93.75" hidden="1" customHeight="1" x14ac:dyDescent="0.3">
      <c r="A146" s="108">
        <v>383</v>
      </c>
      <c r="B146" s="4" t="s">
        <v>62</v>
      </c>
      <c r="C146" s="4" t="s">
        <v>1178</v>
      </c>
      <c r="D146" s="29" t="s">
        <v>1265</v>
      </c>
      <c r="E146" s="669" t="e">
        <f>HLOOKUP($D$2,'2020 Data(H)'!$C$1:$CZ$426,142,FALSE)</f>
        <v>#N/A</v>
      </c>
      <c r="F146" s="295">
        <v>0</v>
      </c>
      <c r="G146" s="749">
        <f>IF(F146&gt;F140,"Error: Please review components of current liabilities above. Account number 383&gt;633",)</f>
        <v>0</v>
      </c>
      <c r="H146" s="750"/>
      <c r="I146" s="79"/>
      <c r="Z146" s="108"/>
      <c r="AA146" s="108"/>
      <c r="AB146" s="108"/>
      <c r="AC146" s="108"/>
      <c r="AD146" s="108"/>
      <c r="AE146" s="108"/>
      <c r="AF146" s="108"/>
      <c r="AG146" s="108"/>
      <c r="AH146" s="108"/>
      <c r="AI146" s="108"/>
      <c r="AJ146" s="108"/>
      <c r="AK146" s="108"/>
      <c r="AL146" s="108"/>
      <c r="AM146" s="108"/>
      <c r="AN146" s="108"/>
      <c r="AO146" s="108"/>
      <c r="AP146" s="108"/>
      <c r="AQ146" s="108"/>
      <c r="AR146" s="108"/>
    </row>
    <row r="147" spans="1:44" ht="61.5" hidden="1" customHeight="1" x14ac:dyDescent="0.3">
      <c r="A147" s="108">
        <v>349</v>
      </c>
      <c r="B147" s="4" t="s">
        <v>62</v>
      </c>
      <c r="C147" s="4" t="s">
        <v>1178</v>
      </c>
      <c r="D147" s="107" t="s">
        <v>153</v>
      </c>
      <c r="E147" s="669" t="e">
        <f>HLOOKUP($D$2,'2020 Data(H)'!$C$1:$CZ$426,113,FALSE)</f>
        <v>#N/A</v>
      </c>
      <c r="F147" s="295">
        <v>0</v>
      </c>
      <c r="G147" s="730" t="str">
        <f>IF(F140&gt;F147,"Error: Please review accts 633&gt;349","")</f>
        <v/>
      </c>
      <c r="H147" s="17"/>
      <c r="I147" s="79"/>
      <c r="Z147" s="108"/>
      <c r="AA147" s="108"/>
      <c r="AB147" s="108"/>
      <c r="AC147" s="108"/>
      <c r="AD147" s="108"/>
      <c r="AE147" s="108"/>
      <c r="AF147" s="108"/>
      <c r="AG147" s="108"/>
      <c r="AH147" s="108"/>
      <c r="AI147" s="108"/>
      <c r="AJ147" s="108"/>
      <c r="AK147" s="108"/>
      <c r="AL147" s="108"/>
      <c r="AM147" s="108"/>
      <c r="AN147" s="108"/>
      <c r="AO147" s="108"/>
      <c r="AP147" s="108"/>
      <c r="AQ147" s="108"/>
      <c r="AR147" s="108"/>
    </row>
    <row r="148" spans="1:44" ht="105" hidden="1" customHeight="1" x14ac:dyDescent="0.3">
      <c r="A148" s="108">
        <v>375</v>
      </c>
      <c r="B148" s="4" t="s">
        <v>62</v>
      </c>
      <c r="C148" s="4" t="s">
        <v>1178</v>
      </c>
      <c r="D148" s="708" t="s">
        <v>1184</v>
      </c>
      <c r="E148" s="669" t="e">
        <f>HLOOKUP($D$2,'2020 Data(H)'!$C$1:$CZ$426,134,FALSE)</f>
        <v>#N/A</v>
      </c>
      <c r="F148" s="295">
        <v>0</v>
      </c>
      <c r="G148" s="740"/>
      <c r="H148" s="17"/>
      <c r="I148" s="79"/>
      <c r="Z148" s="108"/>
      <c r="AA148" s="108"/>
      <c r="AB148" s="108"/>
      <c r="AC148" s="108"/>
      <c r="AD148" s="108"/>
      <c r="AE148" s="108"/>
      <c r="AF148" s="108"/>
      <c r="AG148" s="108"/>
      <c r="AH148" s="108"/>
      <c r="AI148" s="108"/>
      <c r="AJ148" s="108"/>
      <c r="AK148" s="108"/>
      <c r="AL148" s="108"/>
      <c r="AM148" s="108"/>
      <c r="AN148" s="108"/>
      <c r="AO148" s="108"/>
      <c r="AP148" s="108"/>
      <c r="AQ148" s="108"/>
      <c r="AR148" s="108"/>
    </row>
    <row r="149" spans="1:44" ht="67.5" hidden="1" customHeight="1" x14ac:dyDescent="0.3">
      <c r="A149" s="108">
        <v>83</v>
      </c>
      <c r="B149" s="4" t="s">
        <v>61</v>
      </c>
      <c r="C149" s="4" t="s">
        <v>1178</v>
      </c>
      <c r="D149" s="107" t="s">
        <v>154</v>
      </c>
      <c r="E149" s="669" t="e">
        <f>HLOOKUP($D$2,'2020 Data(H)'!$C$1:$CZ$426,47,FALSE)</f>
        <v>#N/A</v>
      </c>
      <c r="F149" s="295">
        <v>0</v>
      </c>
      <c r="G149" s="730">
        <f>IF(F138-F147-F149=0,,"Error: Total assets less total liabilities do not equal total net assets.  Account numbers 381-349-83=0  The amount of the formula is in the cell to the right")</f>
        <v>0</v>
      </c>
      <c r="H149" s="733">
        <f>F138-F147-F149</f>
        <v>0</v>
      </c>
      <c r="I149" s="79"/>
      <c r="Z149" s="108"/>
      <c r="AA149" s="108"/>
      <c r="AB149" s="108"/>
      <c r="AC149" s="108"/>
      <c r="AD149" s="108"/>
      <c r="AE149" s="108"/>
      <c r="AF149" s="108"/>
      <c r="AG149" s="108"/>
      <c r="AH149" s="108"/>
      <c r="AI149" s="108"/>
      <c r="AJ149" s="108"/>
      <c r="AK149" s="108"/>
      <c r="AL149" s="108"/>
      <c r="AM149" s="108"/>
      <c r="AN149" s="108"/>
      <c r="AO149" s="108"/>
      <c r="AP149" s="108"/>
      <c r="AQ149" s="108"/>
      <c r="AR149" s="108"/>
    </row>
    <row r="150" spans="1:44" ht="40.5" hidden="1" customHeight="1" x14ac:dyDescent="0.3">
      <c r="A150" s="108"/>
      <c r="B150" s="864" t="s">
        <v>155</v>
      </c>
      <c r="C150" s="865"/>
      <c r="D150" s="840"/>
      <c r="E150" s="840"/>
      <c r="F150" s="860"/>
      <c r="G150" s="861"/>
      <c r="H150" s="744"/>
      <c r="I150" s="79"/>
      <c r="Z150" s="108"/>
      <c r="AA150" s="108"/>
      <c r="AB150" s="108"/>
      <c r="AC150" s="108"/>
      <c r="AD150" s="108"/>
      <c r="AE150" s="108"/>
      <c r="AF150" s="108"/>
      <c r="AG150" s="108"/>
      <c r="AH150" s="108"/>
      <c r="AI150" s="108"/>
      <c r="AJ150" s="108"/>
      <c r="AK150" s="108"/>
      <c r="AL150" s="108"/>
      <c r="AM150" s="108"/>
      <c r="AN150" s="108"/>
      <c r="AO150" s="108"/>
      <c r="AP150" s="108"/>
      <c r="AQ150" s="108"/>
      <c r="AR150" s="108"/>
    </row>
    <row r="151" spans="1:44" ht="59.25" hidden="1" customHeight="1" x14ac:dyDescent="0.3">
      <c r="A151" s="108">
        <v>90</v>
      </c>
      <c r="B151" s="4" t="s">
        <v>63</v>
      </c>
      <c r="C151" s="4" t="s">
        <v>1185</v>
      </c>
      <c r="D151" s="24" t="s">
        <v>1186</v>
      </c>
      <c r="E151" s="669" t="e">
        <f>HLOOKUP($D$2,'2020 Data(H)'!$C$1:$CZ$426,52,FALSE)</f>
        <v>#N/A</v>
      </c>
      <c r="F151" s="295">
        <v>0</v>
      </c>
      <c r="G151" s="730">
        <f>IF(F151&lt;0,"Note: Number is normally positive.",)</f>
        <v>0</v>
      </c>
      <c r="H151" s="751"/>
      <c r="I151" s="79"/>
      <c r="Z151" s="108"/>
      <c r="AA151" s="108"/>
      <c r="AB151" s="108"/>
      <c r="AC151" s="108"/>
      <c r="AD151" s="108"/>
      <c r="AE151" s="108"/>
      <c r="AF151" s="108"/>
      <c r="AG151" s="108"/>
      <c r="AH151" s="108"/>
      <c r="AI151" s="108"/>
      <c r="AJ151" s="108"/>
      <c r="AK151" s="108"/>
      <c r="AL151" s="108"/>
      <c r="AM151" s="108"/>
      <c r="AN151" s="108"/>
      <c r="AO151" s="108"/>
      <c r="AP151" s="108"/>
      <c r="AQ151" s="108"/>
      <c r="AR151" s="108"/>
    </row>
    <row r="152" spans="1:44" ht="75" hidden="1" customHeight="1" x14ac:dyDescent="0.3">
      <c r="A152" s="108">
        <v>91</v>
      </c>
      <c r="B152" s="4" t="s">
        <v>58</v>
      </c>
      <c r="C152" s="4" t="s">
        <v>1185</v>
      </c>
      <c r="D152" s="24" t="s">
        <v>1187</v>
      </c>
      <c r="E152" s="669" t="e">
        <f>HLOOKUP($D$2,'2020 Data(H)'!$C$1:$CZ$426,53,FALSE)</f>
        <v>#N/A</v>
      </c>
      <c r="F152" s="295">
        <v>0</v>
      </c>
      <c r="G152" s="730">
        <f>IF(F152&lt;0,"Note: Number is normally positive.",)</f>
        <v>0</v>
      </c>
      <c r="H152" s="17"/>
      <c r="I152" s="79"/>
      <c r="Z152" s="108"/>
      <c r="AA152" s="108"/>
      <c r="AB152" s="108"/>
      <c r="AC152" s="108"/>
      <c r="AD152" s="108"/>
      <c r="AE152" s="108"/>
      <c r="AF152" s="108"/>
      <c r="AG152" s="108"/>
      <c r="AH152" s="108"/>
      <c r="AI152" s="108"/>
      <c r="AJ152" s="108"/>
      <c r="AK152" s="108"/>
      <c r="AL152" s="108"/>
      <c r="AM152" s="108"/>
      <c r="AN152" s="108"/>
      <c r="AO152" s="108"/>
      <c r="AP152" s="108"/>
      <c r="AQ152" s="108"/>
      <c r="AR152" s="108"/>
    </row>
    <row r="153" spans="1:44" ht="66.75" hidden="1" customHeight="1" x14ac:dyDescent="0.3">
      <c r="A153" s="108">
        <v>581</v>
      </c>
      <c r="B153" s="671" t="s">
        <v>346</v>
      </c>
      <c r="C153" s="671" t="s">
        <v>1185</v>
      </c>
      <c r="D153" s="823" t="s">
        <v>1188</v>
      </c>
      <c r="E153" s="669" t="e">
        <f>HLOOKUP($D$2,'2020 Data(H)'!$C$1:$CZ$426,231,FALSE)</f>
        <v>#N/A</v>
      </c>
      <c r="F153" s="295">
        <v>0</v>
      </c>
      <c r="G153" s="730"/>
      <c r="H153" s="17"/>
      <c r="I153" s="79"/>
      <c r="Z153" s="108"/>
      <c r="AA153" s="108"/>
      <c r="AB153" s="108"/>
      <c r="AC153" s="108"/>
      <c r="AD153" s="108"/>
      <c r="AE153" s="108"/>
      <c r="AF153" s="108"/>
      <c r="AG153" s="108"/>
      <c r="AH153" s="108"/>
      <c r="AI153" s="108"/>
      <c r="AJ153" s="108"/>
      <c r="AK153" s="108"/>
      <c r="AL153" s="108"/>
      <c r="AM153" s="108"/>
      <c r="AN153" s="108"/>
      <c r="AO153" s="108"/>
      <c r="AP153" s="108"/>
      <c r="AQ153" s="108"/>
      <c r="AR153" s="108"/>
    </row>
    <row r="154" spans="1:44" ht="67.5" hidden="1" customHeight="1" x14ac:dyDescent="0.3">
      <c r="A154" s="108">
        <v>511</v>
      </c>
      <c r="B154" s="4" t="s">
        <v>58</v>
      </c>
      <c r="C154" s="4" t="s">
        <v>1185</v>
      </c>
      <c r="D154" s="25" t="s">
        <v>156</v>
      </c>
      <c r="E154" s="669" t="e">
        <f>HLOOKUP($D$2,'2020 Data(H)'!$C$1:$CZ$426,161,FALSE)</f>
        <v>#N/A</v>
      </c>
      <c r="F154" s="295">
        <v>0</v>
      </c>
      <c r="G154" s="730">
        <f>IF(F154&lt;0,"Note: Number is normally positive.",)</f>
        <v>0</v>
      </c>
      <c r="H154" s="17"/>
      <c r="I154" s="79"/>
      <c r="Z154" s="108"/>
      <c r="AA154" s="108"/>
      <c r="AB154" s="108"/>
      <c r="AC154" s="108"/>
      <c r="AD154" s="108"/>
      <c r="AE154" s="108"/>
      <c r="AF154" s="108"/>
      <c r="AG154" s="108"/>
      <c r="AH154" s="108"/>
      <c r="AI154" s="108"/>
      <c r="AJ154" s="108"/>
      <c r="AK154" s="108"/>
      <c r="AL154" s="108"/>
      <c r="AM154" s="108"/>
      <c r="AN154" s="108"/>
      <c r="AO154" s="108"/>
      <c r="AP154" s="108"/>
      <c r="AQ154" s="108"/>
      <c r="AR154" s="108"/>
    </row>
    <row r="155" spans="1:44" ht="72" hidden="1" customHeight="1" x14ac:dyDescent="0.3">
      <c r="A155" s="307">
        <v>657</v>
      </c>
      <c r="B155" s="824" t="s">
        <v>58</v>
      </c>
      <c r="C155" s="824" t="s">
        <v>1185</v>
      </c>
      <c r="D155" s="338" t="s">
        <v>1189</v>
      </c>
      <c r="E155" s="669" t="e">
        <f>HLOOKUP($D$2,'2020 Data(H)'!$C$1:$CZ$426,310,FALSE)</f>
        <v>#N/A</v>
      </c>
      <c r="F155" s="295">
        <v>0</v>
      </c>
      <c r="G155" s="752">
        <f>IF((F151+F152+F154)&gt;F155,"Error: Please review components of current assets above.  Account numbers (90+91+511)&gt;657",)</f>
        <v>0</v>
      </c>
      <c r="H155" s="17"/>
      <c r="I155" s="79"/>
      <c r="Z155" s="307"/>
      <c r="AA155" s="307"/>
      <c r="AB155" s="307"/>
      <c r="AC155" s="307"/>
      <c r="AD155" s="307"/>
      <c r="AE155" s="307"/>
      <c r="AF155" s="307"/>
      <c r="AG155" s="307"/>
      <c r="AH155" s="307"/>
      <c r="AI155" s="307"/>
      <c r="AJ155" s="307"/>
      <c r="AK155" s="307"/>
      <c r="AL155" s="307"/>
      <c r="AM155" s="307"/>
      <c r="AN155" s="307"/>
      <c r="AO155" s="307"/>
      <c r="AP155" s="307"/>
      <c r="AQ155" s="307"/>
      <c r="AR155" s="307"/>
    </row>
    <row r="156" spans="1:44" ht="70.5" hidden="1" customHeight="1" x14ac:dyDescent="0.3">
      <c r="A156" s="307">
        <v>658</v>
      </c>
      <c r="B156" s="824" t="s">
        <v>58</v>
      </c>
      <c r="C156" s="824" t="s">
        <v>1185</v>
      </c>
      <c r="D156" s="309" t="s">
        <v>569</v>
      </c>
      <c r="E156" s="669" t="e">
        <f>HLOOKUP($D$2,'2020 Data(H)'!$C$1:$CZ$426,311,FALSE)</f>
        <v>#N/A</v>
      </c>
      <c r="F156" s="295">
        <v>0</v>
      </c>
      <c r="G156" s="730"/>
      <c r="H156" s="17"/>
      <c r="I156" s="79"/>
      <c r="Z156" s="307"/>
      <c r="AA156" s="307"/>
      <c r="AB156" s="307"/>
      <c r="AC156" s="307"/>
      <c r="AD156" s="307"/>
      <c r="AE156" s="307"/>
      <c r="AF156" s="307"/>
      <c r="AG156" s="307"/>
      <c r="AH156" s="307"/>
      <c r="AI156" s="307"/>
      <c r="AJ156" s="307"/>
      <c r="AK156" s="307"/>
      <c r="AL156" s="307"/>
      <c r="AM156" s="307"/>
      <c r="AN156" s="307"/>
      <c r="AO156" s="307"/>
      <c r="AP156" s="307"/>
      <c r="AQ156" s="307"/>
      <c r="AR156" s="307"/>
    </row>
    <row r="157" spans="1:44" ht="50.25" hidden="1" customHeight="1" x14ac:dyDescent="0.3">
      <c r="A157" s="108">
        <v>382</v>
      </c>
      <c r="B157" s="4" t="s">
        <v>60</v>
      </c>
      <c r="C157" s="4" t="s">
        <v>1185</v>
      </c>
      <c r="D157" s="106" t="s">
        <v>130</v>
      </c>
      <c r="E157" s="669" t="e">
        <f>HLOOKUP($D$2,'2020 Data(H)'!$C$1:$CZ$426,141,FALSE)</f>
        <v>#N/A</v>
      </c>
      <c r="F157" s="295">
        <v>0</v>
      </c>
      <c r="G157" s="752">
        <f>IF(F155&gt;F157,"Error: Please review components of current assets above. Account numbers 657&gt;382",)</f>
        <v>0</v>
      </c>
      <c r="H157" s="17"/>
      <c r="I157" s="79"/>
      <c r="Z157" s="108"/>
      <c r="AA157" s="108"/>
      <c r="AB157" s="108"/>
      <c r="AC157" s="108"/>
      <c r="AD157" s="108"/>
      <c r="AE157" s="108"/>
      <c r="AF157" s="108"/>
      <c r="AG157" s="108"/>
      <c r="AH157" s="108"/>
      <c r="AI157" s="108"/>
      <c r="AJ157" s="108"/>
      <c r="AK157" s="108"/>
      <c r="AL157" s="108"/>
      <c r="AM157" s="108"/>
      <c r="AN157" s="108"/>
      <c r="AO157" s="108"/>
      <c r="AP157" s="108"/>
      <c r="AQ157" s="108"/>
      <c r="AR157" s="108"/>
    </row>
    <row r="158" spans="1:44" ht="57.75" hidden="1" customHeight="1" x14ac:dyDescent="0.3">
      <c r="A158" s="108">
        <v>360</v>
      </c>
      <c r="B158" s="4" t="s">
        <v>56</v>
      </c>
      <c r="C158" s="4" t="s">
        <v>1185</v>
      </c>
      <c r="D158" s="107" t="s">
        <v>157</v>
      </c>
      <c r="E158" s="669" t="e">
        <f>HLOOKUP($D$2,'2020 Data(H)'!$C$1:$CZ$426,121,FALSE)</f>
        <v>#N/A</v>
      </c>
      <c r="F158" s="295">
        <v>0</v>
      </c>
      <c r="G158" s="730"/>
      <c r="H158" s="17"/>
      <c r="I158" s="79"/>
      <c r="Z158" s="108"/>
      <c r="AA158" s="108"/>
      <c r="AB158" s="108"/>
      <c r="AC158" s="108"/>
      <c r="AD158" s="108"/>
      <c r="AE158" s="108"/>
      <c r="AF158" s="108"/>
      <c r="AG158" s="108"/>
      <c r="AH158" s="108"/>
      <c r="AI158" s="108"/>
      <c r="AJ158" s="108"/>
      <c r="AK158" s="108"/>
      <c r="AL158" s="108"/>
      <c r="AM158" s="108"/>
      <c r="AN158" s="108"/>
      <c r="AO158" s="108"/>
      <c r="AP158" s="108"/>
      <c r="AQ158" s="108"/>
      <c r="AR158" s="108"/>
    </row>
    <row r="159" spans="1:44" ht="62.25" hidden="1" customHeight="1" x14ac:dyDescent="0.3">
      <c r="A159" s="108">
        <v>580</v>
      </c>
      <c r="B159" s="671" t="s">
        <v>346</v>
      </c>
      <c r="C159" s="671" t="s">
        <v>1185</v>
      </c>
      <c r="D159" s="823" t="s">
        <v>1190</v>
      </c>
      <c r="E159" s="669" t="e">
        <f>HLOOKUP($D$2,'2020 Data(H)'!$C$1:$CZ$426,230,FALSE)</f>
        <v>#N/A</v>
      </c>
      <c r="F159" s="295">
        <v>0</v>
      </c>
      <c r="G159" s="730"/>
      <c r="H159" s="17"/>
      <c r="I159" s="79"/>
      <c r="Z159" s="108"/>
      <c r="AA159" s="108"/>
      <c r="AB159" s="108"/>
      <c r="AC159" s="108"/>
      <c r="AD159" s="108"/>
      <c r="AE159" s="108"/>
      <c r="AF159" s="108"/>
      <c r="AG159" s="108"/>
      <c r="AH159" s="108"/>
      <c r="AI159" s="108"/>
      <c r="AJ159" s="108"/>
      <c r="AK159" s="108"/>
      <c r="AL159" s="108"/>
      <c r="AM159" s="108"/>
      <c r="AN159" s="108"/>
      <c r="AO159" s="108"/>
      <c r="AP159" s="108"/>
      <c r="AQ159" s="108"/>
      <c r="AR159" s="108"/>
    </row>
    <row r="160" spans="1:44" ht="114" hidden="1" customHeight="1" x14ac:dyDescent="0.3">
      <c r="A160" s="308">
        <v>639</v>
      </c>
      <c r="B160" s="824" t="s">
        <v>567</v>
      </c>
      <c r="C160" s="824" t="s">
        <v>1185</v>
      </c>
      <c r="D160" s="338" t="s">
        <v>1269</v>
      </c>
      <c r="E160" s="669" t="e">
        <f>HLOOKUP($D$2,'2020 Data(H)'!$C$1:$CZ$426,298,FALSE)</f>
        <v>#N/A</v>
      </c>
      <c r="F160" s="295">
        <v>0</v>
      </c>
      <c r="G160" s="747" t="str">
        <f>IF(F160&gt;=(F161+F162+F163+F164+F165+F166),"","Account 639 is less than the total sum of accounts 640 through 644 + 384")</f>
        <v/>
      </c>
      <c r="H160" s="753">
        <f>F160-(F161+F162+F163+F164+F165+F166)</f>
        <v>0</v>
      </c>
      <c r="I160" s="735"/>
      <c r="Z160" s="308"/>
      <c r="AA160" s="308"/>
      <c r="AB160" s="308"/>
      <c r="AC160" s="308"/>
      <c r="AD160" s="308"/>
      <c r="AE160" s="308"/>
      <c r="AF160" s="308"/>
      <c r="AG160" s="308"/>
      <c r="AH160" s="308"/>
      <c r="AI160" s="308"/>
      <c r="AJ160" s="308"/>
      <c r="AK160" s="308"/>
      <c r="AL160" s="308"/>
      <c r="AM160" s="308"/>
      <c r="AN160" s="308"/>
      <c r="AO160" s="308"/>
      <c r="AP160" s="308"/>
      <c r="AQ160" s="308"/>
      <c r="AR160" s="308"/>
    </row>
    <row r="161" spans="1:44" ht="124.5" hidden="1" customHeight="1" x14ac:dyDescent="0.3">
      <c r="A161" s="307">
        <v>640</v>
      </c>
      <c r="B161" s="825" t="s">
        <v>440</v>
      </c>
      <c r="C161" s="824" t="s">
        <v>1185</v>
      </c>
      <c r="D161" s="338" t="s">
        <v>1270</v>
      </c>
      <c r="E161" s="669" t="e">
        <f>HLOOKUP($D$2,'2020 Data(H)'!$C$1:$CZ$426,299,FALSE)</f>
        <v>#N/A</v>
      </c>
      <c r="F161" s="295">
        <v>0</v>
      </c>
      <c r="G161" s="752">
        <f>IF(F161&gt;F160,"Error: Please review components of current liabilities above. Account numbers 640&gt;639",)</f>
        <v>0</v>
      </c>
      <c r="H161" s="735"/>
      <c r="I161" s="753"/>
      <c r="Z161" s="307"/>
      <c r="AA161" s="307"/>
      <c r="AB161" s="307"/>
      <c r="AC161" s="307"/>
      <c r="AD161" s="307"/>
      <c r="AE161" s="307"/>
      <c r="AF161" s="307"/>
      <c r="AG161" s="307"/>
      <c r="AH161" s="307"/>
      <c r="AI161" s="307"/>
      <c r="AJ161" s="307"/>
      <c r="AK161" s="307"/>
      <c r="AL161" s="307"/>
      <c r="AM161" s="307"/>
      <c r="AN161" s="307"/>
      <c r="AO161" s="307"/>
      <c r="AP161" s="307"/>
      <c r="AQ161" s="307"/>
      <c r="AR161" s="307"/>
    </row>
    <row r="162" spans="1:44" ht="133.5" hidden="1" customHeight="1" x14ac:dyDescent="0.3">
      <c r="A162" s="307">
        <v>641</v>
      </c>
      <c r="B162" s="825" t="s">
        <v>440</v>
      </c>
      <c r="C162" s="824" t="s">
        <v>1185</v>
      </c>
      <c r="D162" s="338" t="s">
        <v>1271</v>
      </c>
      <c r="E162" s="669" t="e">
        <f>HLOOKUP($D$2,'2020 Data(H)'!$C$1:$CZ$426,300,FALSE)</f>
        <v>#N/A</v>
      </c>
      <c r="F162" s="295">
        <v>0</v>
      </c>
      <c r="G162" s="752">
        <f>IF(F162&gt;F160,"Error: Please review components of current liabilities above. Account numbers 641&gt;639",)</f>
        <v>0</v>
      </c>
      <c r="H162" s="735"/>
      <c r="I162" s="735"/>
      <c r="Z162" s="307"/>
      <c r="AA162" s="307"/>
      <c r="AB162" s="307"/>
      <c r="AC162" s="307"/>
      <c r="AD162" s="307"/>
      <c r="AE162" s="307"/>
      <c r="AF162" s="307"/>
      <c r="AG162" s="307"/>
      <c r="AH162" s="307"/>
      <c r="AI162" s="307"/>
      <c r="AJ162" s="307"/>
      <c r="AK162" s="307"/>
      <c r="AL162" s="307"/>
      <c r="AM162" s="307"/>
      <c r="AN162" s="307"/>
      <c r="AO162" s="307"/>
      <c r="AP162" s="307"/>
      <c r="AQ162" s="307"/>
      <c r="AR162" s="307"/>
    </row>
    <row r="163" spans="1:44" ht="118.5" hidden="1" customHeight="1" x14ac:dyDescent="0.3">
      <c r="A163" s="307">
        <v>642</v>
      </c>
      <c r="B163" s="825" t="s">
        <v>440</v>
      </c>
      <c r="C163" s="824" t="s">
        <v>1185</v>
      </c>
      <c r="D163" s="338" t="s">
        <v>1272</v>
      </c>
      <c r="E163" s="669" t="e">
        <f>HLOOKUP($D$2,'2020 Data(H)'!$C$1:$CZ$426,301,FALSE)</f>
        <v>#N/A</v>
      </c>
      <c r="F163" s="295">
        <v>0</v>
      </c>
      <c r="G163" s="752">
        <f>IF(F163&gt;F160,"Error: Please review components of current liabilities above. Account numbers  642&gt;639",)</f>
        <v>0</v>
      </c>
      <c r="H163" s="735"/>
      <c r="I163" s="735"/>
      <c r="Z163" s="307"/>
      <c r="AA163" s="307"/>
      <c r="AB163" s="307"/>
      <c r="AC163" s="307"/>
      <c r="AD163" s="307"/>
      <c r="AE163" s="307"/>
      <c r="AF163" s="307"/>
      <c r="AG163" s="307"/>
      <c r="AH163" s="307"/>
      <c r="AI163" s="307"/>
      <c r="AJ163" s="307"/>
      <c r="AK163" s="307"/>
      <c r="AL163" s="307"/>
      <c r="AM163" s="307"/>
      <c r="AN163" s="307"/>
      <c r="AO163" s="307"/>
      <c r="AP163" s="307"/>
      <c r="AQ163" s="307"/>
      <c r="AR163" s="307"/>
    </row>
    <row r="164" spans="1:44" ht="81.75" hidden="1" customHeight="1" x14ac:dyDescent="0.3">
      <c r="A164" s="307">
        <v>643</v>
      </c>
      <c r="B164" s="825" t="s">
        <v>440</v>
      </c>
      <c r="C164" s="824" t="s">
        <v>1185</v>
      </c>
      <c r="D164" s="338" t="s">
        <v>1273</v>
      </c>
      <c r="E164" s="669" t="e">
        <f>HLOOKUP($D$2,'2020 Data(H)'!$C$1:$CZ$426,302,FALSE)</f>
        <v>#N/A</v>
      </c>
      <c r="F164" s="295">
        <v>0</v>
      </c>
      <c r="G164" s="752">
        <f>IF(F164&gt;F160,"Error: Please review components of current liabilities above. Account numbers 643&gt;639",)</f>
        <v>0</v>
      </c>
      <c r="H164" s="735"/>
      <c r="I164" s="735"/>
      <c r="Z164" s="307"/>
      <c r="AA164" s="307"/>
      <c r="AB164" s="307"/>
      <c r="AC164" s="307"/>
      <c r="AD164" s="307"/>
      <c r="AE164" s="307"/>
      <c r="AF164" s="307"/>
      <c r="AG164" s="307"/>
      <c r="AH164" s="307"/>
      <c r="AI164" s="307"/>
      <c r="AJ164" s="307"/>
      <c r="AK164" s="307"/>
      <c r="AL164" s="307"/>
      <c r="AM164" s="307"/>
      <c r="AN164" s="307"/>
      <c r="AO164" s="307"/>
      <c r="AP164" s="307"/>
      <c r="AQ164" s="307"/>
      <c r="AR164" s="307"/>
    </row>
    <row r="165" spans="1:44" ht="108" hidden="1" customHeight="1" x14ac:dyDescent="0.3">
      <c r="A165" s="307">
        <v>644</v>
      </c>
      <c r="B165" s="825" t="s">
        <v>440</v>
      </c>
      <c r="C165" s="824" t="s">
        <v>1185</v>
      </c>
      <c r="D165" s="338" t="s">
        <v>1274</v>
      </c>
      <c r="E165" s="669" t="e">
        <f>HLOOKUP($D$2,'2020 Data(H)'!$C$1:$CZ$426,303,FALSE)</f>
        <v>#N/A</v>
      </c>
      <c r="F165" s="295">
        <v>0</v>
      </c>
      <c r="G165" s="752">
        <f>IF(F165&gt;F160,"Error: Please review components of current liabilities above. Account number 644&gt;639",)</f>
        <v>0</v>
      </c>
      <c r="H165" s="735"/>
      <c r="I165" s="735"/>
      <c r="Z165" s="307"/>
      <c r="AA165" s="307"/>
      <c r="AB165" s="307"/>
      <c r="AC165" s="307"/>
      <c r="AD165" s="307"/>
      <c r="AE165" s="307"/>
      <c r="AF165" s="307"/>
      <c r="AG165" s="307"/>
      <c r="AH165" s="307"/>
      <c r="AI165" s="307"/>
      <c r="AJ165" s="307"/>
      <c r="AK165" s="307"/>
      <c r="AL165" s="307"/>
      <c r="AM165" s="307"/>
      <c r="AN165" s="307"/>
      <c r="AO165" s="307"/>
      <c r="AP165" s="307"/>
      <c r="AQ165" s="307"/>
      <c r="AR165" s="307"/>
    </row>
    <row r="166" spans="1:44" ht="99.75" hidden="1" customHeight="1" x14ac:dyDescent="0.3">
      <c r="A166" s="108">
        <v>384</v>
      </c>
      <c r="B166" s="4" t="s">
        <v>63</v>
      </c>
      <c r="C166" s="4" t="s">
        <v>1185</v>
      </c>
      <c r="D166" s="29" t="s">
        <v>1275</v>
      </c>
      <c r="E166" s="669" t="e">
        <f>HLOOKUP($D$2,'2020 Data(H)'!$C$1:$CZ$426,143,FALSE)</f>
        <v>#N/A</v>
      </c>
      <c r="F166" s="738">
        <v>0</v>
      </c>
      <c r="G166" s="749">
        <f>IF(F166&gt;F160,"Error: Please review components of current liabilities above. Account number 384&gt;639",)</f>
        <v>0</v>
      </c>
      <c r="I166" s="79"/>
      <c r="Z166" s="108"/>
      <c r="AA166" s="108"/>
      <c r="AB166" s="108"/>
      <c r="AC166" s="108"/>
      <c r="AD166" s="108"/>
      <c r="AE166" s="108"/>
      <c r="AF166" s="108"/>
      <c r="AG166" s="108"/>
      <c r="AH166" s="108"/>
      <c r="AI166" s="108"/>
      <c r="AJ166" s="108"/>
      <c r="AK166" s="108"/>
      <c r="AL166" s="108"/>
      <c r="AM166" s="108"/>
      <c r="AN166" s="108"/>
      <c r="AO166" s="108"/>
      <c r="AP166" s="108"/>
      <c r="AQ166" s="108"/>
      <c r="AR166" s="108"/>
    </row>
    <row r="167" spans="1:44" ht="104.25" hidden="1" customHeight="1" x14ac:dyDescent="0.3">
      <c r="A167" s="108">
        <v>361</v>
      </c>
      <c r="B167" s="4" t="s">
        <v>56</v>
      </c>
      <c r="C167" s="4" t="s">
        <v>1185</v>
      </c>
      <c r="D167" s="708" t="s">
        <v>1191</v>
      </c>
      <c r="E167" s="669" t="e">
        <f>HLOOKUP($D$2,'2020 Data(H)'!$C$1:$CZ$426,122,FALSE)</f>
        <v>#N/A</v>
      </c>
      <c r="F167" s="295">
        <v>0</v>
      </c>
      <c r="G167" s="740"/>
      <c r="H167" s="17"/>
      <c r="I167" s="79"/>
      <c r="Z167" s="108"/>
      <c r="AA167" s="108"/>
      <c r="AB167" s="108"/>
      <c r="AC167" s="108"/>
      <c r="AD167" s="108"/>
      <c r="AE167" s="108"/>
      <c r="AF167" s="108"/>
      <c r="AG167" s="108"/>
      <c r="AH167" s="108"/>
      <c r="AI167" s="108"/>
      <c r="AJ167" s="108"/>
      <c r="AK167" s="108"/>
      <c r="AL167" s="108"/>
      <c r="AM167" s="108"/>
      <c r="AN167" s="108"/>
      <c r="AO167" s="108"/>
      <c r="AP167" s="108"/>
      <c r="AQ167" s="108"/>
      <c r="AR167" s="108"/>
    </row>
    <row r="168" spans="1:44" ht="54" hidden="1" customHeight="1" x14ac:dyDescent="0.3">
      <c r="A168" s="108">
        <v>362</v>
      </c>
      <c r="B168" s="4" t="s">
        <v>56</v>
      </c>
      <c r="C168" s="4" t="s">
        <v>1185</v>
      </c>
      <c r="D168" s="107" t="s">
        <v>158</v>
      </c>
      <c r="E168" s="669" t="e">
        <f>HLOOKUP($D$2,'2020 Data(H)'!$C$1:$CZ$426,123,FALSE)</f>
        <v>#N/A</v>
      </c>
      <c r="F168" s="295">
        <v>0</v>
      </c>
      <c r="G168" s="730">
        <f>IF(H168=0,,"Error: Total assets less total liabilities do not equal total net position. Account numbers 382-360-362=0  The amount of the formula is in the cell to the right")</f>
        <v>0</v>
      </c>
      <c r="H168" s="733">
        <f>F157-F158-F168</f>
        <v>0</v>
      </c>
      <c r="I168" s="79"/>
      <c r="Z168" s="108"/>
      <c r="AA168" s="108"/>
      <c r="AB168" s="108"/>
      <c r="AC168" s="108"/>
      <c r="AD168" s="108"/>
      <c r="AE168" s="108"/>
      <c r="AF168" s="108"/>
      <c r="AG168" s="108"/>
      <c r="AH168" s="108"/>
      <c r="AI168" s="108"/>
      <c r="AJ168" s="108"/>
      <c r="AK168" s="108"/>
      <c r="AL168" s="108"/>
      <c r="AM168" s="108"/>
      <c r="AN168" s="108"/>
      <c r="AO168" s="108"/>
      <c r="AP168" s="108"/>
      <c r="AQ168" s="108"/>
      <c r="AR168" s="108"/>
    </row>
    <row r="169" spans="1:44" ht="26.25" hidden="1" customHeight="1" x14ac:dyDescent="0.3">
      <c r="A169" s="108"/>
      <c r="B169" s="853" t="s">
        <v>182</v>
      </c>
      <c r="C169" s="854"/>
      <c r="D169" s="866"/>
      <c r="E169" s="847"/>
      <c r="F169" s="852"/>
      <c r="G169" s="852"/>
      <c r="H169" s="17"/>
      <c r="I169" s="79"/>
      <c r="Z169" s="108"/>
      <c r="AA169" s="108"/>
      <c r="AB169" s="108"/>
      <c r="AC169" s="108"/>
      <c r="AD169" s="108"/>
      <c r="AE169" s="108"/>
      <c r="AF169" s="108"/>
      <c r="AG169" s="108"/>
      <c r="AH169" s="108"/>
      <c r="AI169" s="108"/>
      <c r="AJ169" s="108"/>
      <c r="AK169" s="108"/>
      <c r="AL169" s="108"/>
      <c r="AM169" s="108"/>
      <c r="AN169" s="108"/>
      <c r="AO169" s="108"/>
      <c r="AP169" s="108"/>
      <c r="AQ169" s="108"/>
      <c r="AR169" s="108"/>
    </row>
    <row r="170" spans="1:44" s="18" customFormat="1" ht="99.75" hidden="1" customHeight="1" x14ac:dyDescent="0.3">
      <c r="A170" s="108"/>
      <c r="B170" s="1287" t="s">
        <v>1293</v>
      </c>
      <c r="C170" s="1287"/>
      <c r="D170" s="1287"/>
      <c r="E170" s="840"/>
      <c r="F170" s="861"/>
      <c r="G170" s="861"/>
      <c r="H170" s="17"/>
      <c r="I170" s="79"/>
      <c r="N170" s="296"/>
      <c r="Z170" s="108"/>
      <c r="AA170" s="108"/>
      <c r="AB170" s="108"/>
      <c r="AC170" s="108"/>
      <c r="AD170" s="108"/>
      <c r="AE170" s="108"/>
      <c r="AF170" s="108"/>
      <c r="AG170" s="108"/>
      <c r="AH170" s="108"/>
      <c r="AI170" s="108"/>
      <c r="AJ170" s="108"/>
      <c r="AK170" s="108"/>
      <c r="AL170" s="108"/>
      <c r="AM170" s="108"/>
      <c r="AN170" s="108"/>
      <c r="AO170" s="108"/>
      <c r="AP170" s="108"/>
      <c r="AQ170" s="108"/>
      <c r="AR170" s="108"/>
    </row>
    <row r="171" spans="1:44" ht="87" hidden="1" customHeight="1" x14ac:dyDescent="0.3">
      <c r="A171" s="108">
        <v>88</v>
      </c>
      <c r="B171" s="4" t="s">
        <v>61</v>
      </c>
      <c r="C171" s="4" t="s">
        <v>1192</v>
      </c>
      <c r="D171" s="24" t="s">
        <v>1193</v>
      </c>
      <c r="E171" s="669" t="e">
        <f>HLOOKUP($D$2,'2020 Data(H)'!$C$1:$CZ$426,50,FALSE)</f>
        <v>#N/A</v>
      </c>
      <c r="F171" s="295">
        <v>0</v>
      </c>
      <c r="G171" s="740"/>
      <c r="H171" s="17"/>
      <c r="I171" s="79"/>
      <c r="Z171" s="108"/>
      <c r="AA171" s="108"/>
      <c r="AB171" s="108"/>
      <c r="AC171" s="108"/>
      <c r="AD171" s="108"/>
      <c r="AE171" s="108"/>
      <c r="AF171" s="108"/>
      <c r="AG171" s="108"/>
      <c r="AH171" s="108"/>
      <c r="AI171" s="108"/>
      <c r="AJ171" s="108"/>
      <c r="AK171" s="108"/>
      <c r="AL171" s="108"/>
      <c r="AM171" s="108"/>
      <c r="AN171" s="108"/>
      <c r="AO171" s="108"/>
      <c r="AP171" s="108"/>
      <c r="AQ171" s="108"/>
      <c r="AR171" s="108"/>
    </row>
    <row r="172" spans="1:44" ht="94.5" hidden="1" customHeight="1" x14ac:dyDescent="0.3">
      <c r="A172" s="108">
        <v>84</v>
      </c>
      <c r="B172" s="4" t="s">
        <v>61</v>
      </c>
      <c r="C172" s="4" t="s">
        <v>1192</v>
      </c>
      <c r="D172" s="29" t="s">
        <v>159</v>
      </c>
      <c r="E172" s="669" t="e">
        <f>HLOOKUP($D$2,'2020 Data(H)'!$C$1:$CZ$426,48,FALSE)</f>
        <v>#N/A</v>
      </c>
      <c r="F172" s="295">
        <v>0</v>
      </c>
      <c r="G172" s="730">
        <f>IF(F172&gt;=F171,,"Error: Charges for services exceed total operating revenues. Account numbers 84&gt;=88")</f>
        <v>0</v>
      </c>
      <c r="H172" s="17"/>
      <c r="I172" s="79"/>
      <c r="Z172" s="108"/>
      <c r="AA172" s="108"/>
      <c r="AB172" s="108"/>
      <c r="AC172" s="108"/>
      <c r="AD172" s="108"/>
      <c r="AE172" s="108"/>
      <c r="AF172" s="108"/>
      <c r="AG172" s="108"/>
      <c r="AH172" s="108"/>
      <c r="AI172" s="108"/>
      <c r="AJ172" s="108"/>
      <c r="AK172" s="108"/>
      <c r="AL172" s="108"/>
      <c r="AM172" s="108"/>
      <c r="AN172" s="108"/>
      <c r="AO172" s="108"/>
      <c r="AP172" s="108"/>
      <c r="AQ172" s="108"/>
      <c r="AR172" s="108"/>
    </row>
    <row r="173" spans="1:44" ht="90" hidden="1" customHeight="1" x14ac:dyDescent="0.3">
      <c r="A173" s="108">
        <v>49</v>
      </c>
      <c r="B173" s="4" t="s">
        <v>57</v>
      </c>
      <c r="C173" s="4" t="s">
        <v>1192</v>
      </c>
      <c r="D173" s="29" t="s">
        <v>160</v>
      </c>
      <c r="E173" s="669" t="e">
        <f>HLOOKUP($D$2,'2020 Data(H)'!$C$1:$CZ$426,36,FALSE)</f>
        <v>#N/A</v>
      </c>
      <c r="F173" s="295">
        <v>0</v>
      </c>
      <c r="G173" s="730">
        <f>IF(F173&lt;0,"Error: Enter as positive.",)</f>
        <v>0</v>
      </c>
      <c r="H173" s="17"/>
      <c r="I173" s="79"/>
      <c r="Z173" s="108"/>
      <c r="AA173" s="108"/>
      <c r="AB173" s="108"/>
      <c r="AC173" s="108"/>
      <c r="AD173" s="108"/>
      <c r="AE173" s="108"/>
      <c r="AF173" s="108"/>
      <c r="AG173" s="108"/>
      <c r="AH173" s="108"/>
      <c r="AI173" s="108"/>
      <c r="AJ173" s="108"/>
      <c r="AK173" s="108"/>
      <c r="AL173" s="108"/>
      <c r="AM173" s="108"/>
      <c r="AN173" s="108"/>
      <c r="AO173" s="108"/>
      <c r="AP173" s="108"/>
      <c r="AQ173" s="108"/>
      <c r="AR173" s="108"/>
    </row>
    <row r="174" spans="1:44" ht="106.5" hidden="1" customHeight="1" x14ac:dyDescent="0.3">
      <c r="A174" s="108">
        <v>85</v>
      </c>
      <c r="B174" s="4" t="s">
        <v>68</v>
      </c>
      <c r="C174" s="4" t="s">
        <v>1192</v>
      </c>
      <c r="D174" s="29" t="s">
        <v>161</v>
      </c>
      <c r="E174" s="669" t="e">
        <f>HLOOKUP($D$2,'2020 Data(H)'!$C$1:$CZ$426,49,FALSE)</f>
        <v>#N/A</v>
      </c>
      <c r="F174" s="295">
        <v>0</v>
      </c>
      <c r="G174" s="730">
        <f>IF(F174&lt;0,"Error: Enter as positive.",)</f>
        <v>0</v>
      </c>
      <c r="H174" s="17"/>
      <c r="I174" s="79"/>
      <c r="Z174" s="108"/>
      <c r="AA174" s="108"/>
      <c r="AB174" s="108"/>
      <c r="AC174" s="108"/>
      <c r="AD174" s="108"/>
      <c r="AE174" s="108"/>
      <c r="AF174" s="108"/>
      <c r="AG174" s="108"/>
      <c r="AH174" s="108"/>
      <c r="AI174" s="108"/>
      <c r="AJ174" s="108"/>
      <c r="AK174" s="108"/>
      <c r="AL174" s="108"/>
      <c r="AM174" s="108"/>
      <c r="AN174" s="108"/>
      <c r="AO174" s="108"/>
      <c r="AP174" s="108"/>
      <c r="AQ174" s="108"/>
      <c r="AR174" s="108"/>
    </row>
    <row r="175" spans="1:44" ht="88.5" hidden="1" customHeight="1" x14ac:dyDescent="0.3">
      <c r="A175" s="108">
        <v>89</v>
      </c>
      <c r="B175" s="4" t="s">
        <v>56</v>
      </c>
      <c r="C175" s="4" t="s">
        <v>1192</v>
      </c>
      <c r="D175" s="29" t="s">
        <v>162</v>
      </c>
      <c r="E175" s="669" t="e">
        <f>HLOOKUP($D$2,'2020 Data(H)'!$C$1:$CZ$426,51,FALSE)</f>
        <v>#N/A</v>
      </c>
      <c r="F175" s="295">
        <v>0</v>
      </c>
      <c r="G175" s="730">
        <f>IF(F175&lt;0,"Error: Enter as positive.",)</f>
        <v>0</v>
      </c>
      <c r="H175" s="17"/>
      <c r="I175" s="79"/>
      <c r="Z175" s="108"/>
      <c r="AA175" s="108"/>
      <c r="AB175" s="108"/>
      <c r="AC175" s="108"/>
      <c r="AD175" s="108"/>
      <c r="AE175" s="108"/>
      <c r="AF175" s="108"/>
      <c r="AG175" s="108"/>
      <c r="AH175" s="108"/>
      <c r="AI175" s="108"/>
      <c r="AJ175" s="108"/>
      <c r="AK175" s="108"/>
      <c r="AL175" s="108"/>
      <c r="AM175" s="108"/>
      <c r="AN175" s="108"/>
      <c r="AO175" s="108"/>
      <c r="AP175" s="108"/>
      <c r="AQ175" s="108"/>
      <c r="AR175" s="108"/>
    </row>
    <row r="176" spans="1:44" ht="100.5" hidden="1" customHeight="1" x14ac:dyDescent="0.3">
      <c r="A176" s="108">
        <v>350</v>
      </c>
      <c r="B176" s="4" t="s">
        <v>56</v>
      </c>
      <c r="C176" s="4" t="s">
        <v>1192</v>
      </c>
      <c r="D176" s="24" t="s">
        <v>1194</v>
      </c>
      <c r="E176" s="669" t="e">
        <f>HLOOKUP($D$2,'2020 Data(H)'!$C$1:$CZ$426,114,FALSE)</f>
        <v>#N/A</v>
      </c>
      <c r="F176" s="295">
        <v>0</v>
      </c>
      <c r="G176" s="740"/>
      <c r="H176" s="17"/>
      <c r="I176" s="79"/>
      <c r="Z176" s="108"/>
      <c r="AA176" s="108"/>
      <c r="AB176" s="108"/>
      <c r="AC176" s="108"/>
      <c r="AD176" s="108"/>
      <c r="AE176" s="108"/>
      <c r="AF176" s="108"/>
      <c r="AG176" s="108"/>
      <c r="AH176" s="108"/>
      <c r="AI176" s="108"/>
      <c r="AJ176" s="108"/>
      <c r="AK176" s="108"/>
      <c r="AL176" s="108"/>
      <c r="AM176" s="108"/>
      <c r="AN176" s="108"/>
      <c r="AO176" s="108"/>
      <c r="AP176" s="108"/>
      <c r="AQ176" s="108"/>
      <c r="AR176" s="108"/>
    </row>
    <row r="177" spans="1:44" ht="66" hidden="1" customHeight="1" x14ac:dyDescent="0.3">
      <c r="A177" s="108">
        <v>351</v>
      </c>
      <c r="B177" s="4" t="s">
        <v>56</v>
      </c>
      <c r="C177" s="4" t="s">
        <v>1192</v>
      </c>
      <c r="D177" s="24" t="s">
        <v>1195</v>
      </c>
      <c r="E177" s="669" t="e">
        <f>HLOOKUP($D$2,'2020 Data(H)'!$C$1:$CZ$426,115,FALSE)</f>
        <v>#N/A</v>
      </c>
      <c r="F177" s="295">
        <v>0</v>
      </c>
      <c r="G177" s="730">
        <f>IF(F177&lt;0,"Error: Enter as positive.",)</f>
        <v>0</v>
      </c>
      <c r="H177" s="17"/>
      <c r="I177" s="79"/>
      <c r="Z177" s="108"/>
      <c r="AA177" s="108"/>
      <c r="AB177" s="108"/>
      <c r="AC177" s="108"/>
      <c r="AD177" s="108"/>
      <c r="AE177" s="108"/>
      <c r="AF177" s="108"/>
      <c r="AG177" s="108"/>
      <c r="AH177" s="108"/>
      <c r="AI177" s="108"/>
      <c r="AJ177" s="108"/>
      <c r="AK177" s="108"/>
      <c r="AL177" s="108"/>
      <c r="AM177" s="108"/>
      <c r="AN177" s="108"/>
      <c r="AO177" s="108"/>
      <c r="AP177" s="108"/>
      <c r="AQ177" s="108"/>
      <c r="AR177" s="108"/>
    </row>
    <row r="178" spans="1:44" ht="93.75" hidden="1" customHeight="1" x14ac:dyDescent="0.3">
      <c r="A178" s="108">
        <v>191</v>
      </c>
      <c r="B178" s="4" t="s">
        <v>57</v>
      </c>
      <c r="C178" s="4" t="s">
        <v>1192</v>
      </c>
      <c r="D178" s="24" t="s">
        <v>1196</v>
      </c>
      <c r="E178" s="669" t="e">
        <f>HLOOKUP($D$2,'2020 Data(H)'!$C$1:$CZ$426,72,FALSE)</f>
        <v>#N/A</v>
      </c>
      <c r="F178" s="295">
        <v>0</v>
      </c>
      <c r="G178" s="730">
        <f>IF(F178&lt;0,"Error: Enter as positive.",)</f>
        <v>0</v>
      </c>
      <c r="H178" s="17"/>
      <c r="I178" s="79"/>
      <c r="Z178" s="108"/>
      <c r="AA178" s="108"/>
      <c r="AB178" s="108"/>
      <c r="AC178" s="108"/>
      <c r="AD178" s="108"/>
      <c r="AE178" s="108"/>
      <c r="AF178" s="108"/>
      <c r="AG178" s="108"/>
      <c r="AH178" s="108"/>
      <c r="AI178" s="108"/>
      <c r="AJ178" s="108"/>
      <c r="AK178" s="108"/>
      <c r="AL178" s="108"/>
      <c r="AM178" s="108"/>
      <c r="AN178" s="108"/>
      <c r="AO178" s="108"/>
      <c r="AP178" s="108"/>
      <c r="AQ178" s="108"/>
      <c r="AR178" s="108"/>
    </row>
    <row r="179" spans="1:44" ht="98.25" hidden="1" customHeight="1" x14ac:dyDescent="0.3">
      <c r="A179" s="108">
        <v>352</v>
      </c>
      <c r="B179" s="4" t="s">
        <v>68</v>
      </c>
      <c r="C179" s="4" t="s">
        <v>1192</v>
      </c>
      <c r="D179" s="29" t="s">
        <v>1037</v>
      </c>
      <c r="E179" s="669" t="e">
        <f>HLOOKUP($D$2,'2020 Data(H)'!$C$1:$CZ$426,116,FALSE)</f>
        <v>#N/A</v>
      </c>
      <c r="F179" s="295">
        <v>0</v>
      </c>
      <c r="G179" s="730">
        <f>IF(F179&lt;0,"Error: Enter as positive.",)</f>
        <v>0</v>
      </c>
      <c r="H179" s="709"/>
      <c r="I179" s="17"/>
      <c r="Z179" s="108"/>
      <c r="AA179" s="108"/>
      <c r="AB179" s="108"/>
      <c r="AC179" s="108"/>
      <c r="AD179" s="108"/>
      <c r="AE179" s="108"/>
      <c r="AF179" s="108"/>
      <c r="AG179" s="108"/>
      <c r="AH179" s="108"/>
      <c r="AI179" s="108"/>
      <c r="AJ179" s="108"/>
      <c r="AK179" s="108"/>
      <c r="AL179" s="108"/>
      <c r="AM179" s="108"/>
      <c r="AN179" s="108"/>
      <c r="AO179" s="108"/>
      <c r="AP179" s="108"/>
      <c r="AQ179" s="108"/>
      <c r="AR179" s="108"/>
    </row>
    <row r="180" spans="1:44" ht="91.5" hidden="1" customHeight="1" x14ac:dyDescent="0.3">
      <c r="A180" s="108">
        <v>986</v>
      </c>
      <c r="B180" s="828" t="s">
        <v>762</v>
      </c>
      <c r="C180" s="828" t="s">
        <v>1192</v>
      </c>
      <c r="D180" s="312" t="s">
        <v>791</v>
      </c>
      <c r="E180" s="669" t="s">
        <v>763</v>
      </c>
      <c r="F180" s="295">
        <v>0</v>
      </c>
      <c r="G180" s="730">
        <f>IF(F180&lt;0,"Error: Enter as positive.",)</f>
        <v>0</v>
      </c>
      <c r="H180" s="17"/>
      <c r="I180" s="79"/>
      <c r="Z180" s="108"/>
      <c r="AA180" s="108"/>
      <c r="AB180" s="108"/>
      <c r="AC180" s="108"/>
      <c r="AD180" s="108"/>
      <c r="AE180" s="108"/>
      <c r="AF180" s="108"/>
      <c r="AG180" s="108"/>
      <c r="AH180" s="108"/>
      <c r="AI180" s="108"/>
      <c r="AJ180" s="108"/>
      <c r="AK180" s="108"/>
      <c r="AL180" s="108"/>
      <c r="AM180" s="108"/>
      <c r="AN180" s="108"/>
      <c r="AO180" s="108"/>
      <c r="AP180" s="108"/>
      <c r="AQ180" s="108"/>
      <c r="AR180" s="108"/>
    </row>
    <row r="181" spans="1:44" ht="90" hidden="1" customHeight="1" x14ac:dyDescent="0.3">
      <c r="A181" s="108">
        <v>353</v>
      </c>
      <c r="B181" s="4" t="s">
        <v>68</v>
      </c>
      <c r="C181" s="4" t="s">
        <v>1192</v>
      </c>
      <c r="D181" s="29" t="s">
        <v>143</v>
      </c>
      <c r="E181" s="669" t="e">
        <f>HLOOKUP($D$2,'2020 Data(H)'!$C$1:$CZ$426,117,FALSE)</f>
        <v>#N/A</v>
      </c>
      <c r="F181" s="295">
        <v>0</v>
      </c>
      <c r="G181" s="730">
        <f>IF(F181&lt;0,"Error: Enter as positive.",)</f>
        <v>0</v>
      </c>
      <c r="H181" s="17"/>
      <c r="I181" s="79"/>
      <c r="Z181" s="108"/>
      <c r="AA181" s="108"/>
      <c r="AB181" s="108"/>
      <c r="AC181" s="108"/>
      <c r="AD181" s="108"/>
      <c r="AE181" s="108"/>
      <c r="AF181" s="108"/>
      <c r="AG181" s="108"/>
      <c r="AH181" s="108"/>
      <c r="AI181" s="108"/>
      <c r="AJ181" s="108"/>
      <c r="AK181" s="108"/>
      <c r="AL181" s="108"/>
      <c r="AM181" s="108"/>
      <c r="AN181" s="108"/>
      <c r="AO181" s="108"/>
      <c r="AP181" s="108"/>
      <c r="AQ181" s="108"/>
      <c r="AR181" s="108"/>
    </row>
    <row r="182" spans="1:44" ht="102.75" hidden="1" customHeight="1" x14ac:dyDescent="0.3">
      <c r="A182" s="108">
        <v>50</v>
      </c>
      <c r="B182" s="4" t="s">
        <v>64</v>
      </c>
      <c r="C182" s="4" t="s">
        <v>1192</v>
      </c>
      <c r="D182" s="708" t="s">
        <v>1197</v>
      </c>
      <c r="E182" s="669" t="e">
        <f>HLOOKUP($D$2,'2020 Data(H)'!$C$1:$CZ$426,37,FALSE)</f>
        <v>#N/A</v>
      </c>
      <c r="F182" s="293">
        <v>0</v>
      </c>
      <c r="G182" s="730">
        <f>IF(H182=0,,"Error: Total revenues less total expenses do not equal total change in net position. Account number 84-85+350-351+191+352-353-50=0  The amount of the formula is in the cell to the right")</f>
        <v>0</v>
      </c>
      <c r="H182" s="733">
        <f>F172-F174+F176-F177+F178+F179-F181-F182</f>
        <v>0</v>
      </c>
      <c r="I182" s="79"/>
      <c r="Z182" s="108"/>
      <c r="AA182" s="108"/>
      <c r="AB182" s="108"/>
      <c r="AC182" s="108"/>
      <c r="AD182" s="108"/>
      <c r="AE182" s="108"/>
      <c r="AF182" s="108"/>
      <c r="AG182" s="108"/>
      <c r="AH182" s="108"/>
      <c r="AI182" s="108"/>
      <c r="AJ182" s="108"/>
      <c r="AK182" s="108"/>
      <c r="AL182" s="108"/>
      <c r="AM182" s="108"/>
      <c r="AN182" s="108"/>
      <c r="AO182" s="108"/>
      <c r="AP182" s="108"/>
      <c r="AQ182" s="108"/>
      <c r="AR182" s="108"/>
    </row>
    <row r="183" spans="1:44" ht="121.5" hidden="1" customHeight="1" x14ac:dyDescent="0.3">
      <c r="A183" s="108">
        <v>377</v>
      </c>
      <c r="B183" s="4" t="s">
        <v>68</v>
      </c>
      <c r="C183" s="4" t="s">
        <v>1192</v>
      </c>
      <c r="D183" s="708" t="s">
        <v>1198</v>
      </c>
      <c r="E183" s="669" t="e">
        <f>HLOOKUP($D$2,'2020 Data(H)'!$C$1:$CZ$426,136,FALSE)</f>
        <v>#N/A</v>
      </c>
      <c r="F183" s="293">
        <v>0</v>
      </c>
      <c r="G183" s="730" t="e">
        <f>IF(F149-F182-F183=E149,,"Error: Beginning Balance does not agree with our records.  Acct #s (83-50-377)=prior year 83 The amount of the formula is in the cell to the right")</f>
        <v>#N/A</v>
      </c>
      <c r="H183" s="733" t="e">
        <f>+F149-F182-F183-E149</f>
        <v>#N/A</v>
      </c>
      <c r="I183" s="79"/>
      <c r="Z183" s="108"/>
      <c r="AA183" s="108"/>
      <c r="AB183" s="108"/>
      <c r="AC183" s="108"/>
      <c r="AD183" s="108"/>
      <c r="AE183" s="108"/>
      <c r="AF183" s="108"/>
      <c r="AG183" s="108"/>
      <c r="AH183" s="108"/>
      <c r="AI183" s="108"/>
      <c r="AJ183" s="108"/>
      <c r="AK183" s="108"/>
      <c r="AL183" s="108"/>
      <c r="AM183" s="108"/>
      <c r="AN183" s="108"/>
      <c r="AO183" s="108"/>
      <c r="AP183" s="108"/>
      <c r="AQ183" s="108"/>
      <c r="AR183" s="108"/>
    </row>
    <row r="184" spans="1:44" ht="97.5" hidden="1" customHeight="1" x14ac:dyDescent="0.3">
      <c r="A184" s="108">
        <v>537</v>
      </c>
      <c r="B184" s="671" t="s">
        <v>59</v>
      </c>
      <c r="C184" s="671" t="s">
        <v>1192</v>
      </c>
      <c r="D184" s="668" t="s">
        <v>1199</v>
      </c>
      <c r="E184" s="59" t="e">
        <f>HLOOKUP($D$2,'2020 Data(H)'!$C$1:$CZ$426,250,FALSE)</f>
        <v>#N/A</v>
      </c>
      <c r="F184" s="295"/>
      <c r="G184" s="730"/>
      <c r="H184" s="731"/>
      <c r="I184" s="732"/>
      <c r="Z184" s="108"/>
      <c r="AA184" s="108"/>
      <c r="AB184" s="108"/>
      <c r="AC184" s="108"/>
      <c r="AD184" s="108"/>
      <c r="AE184" s="108"/>
      <c r="AF184" s="108"/>
      <c r="AG184" s="108"/>
      <c r="AH184" s="108"/>
      <c r="AI184" s="108"/>
      <c r="AJ184" s="108"/>
      <c r="AK184" s="108"/>
      <c r="AL184" s="108"/>
      <c r="AM184" s="108"/>
      <c r="AN184" s="108"/>
      <c r="AO184" s="108"/>
      <c r="AP184" s="108"/>
      <c r="AQ184" s="108"/>
      <c r="AR184" s="108"/>
    </row>
    <row r="185" spans="1:44" ht="96.75" hidden="1" customHeight="1" x14ac:dyDescent="0.3">
      <c r="A185" s="108">
        <v>538</v>
      </c>
      <c r="B185" s="671" t="s">
        <v>59</v>
      </c>
      <c r="C185" s="671" t="s">
        <v>1192</v>
      </c>
      <c r="D185" s="668" t="s">
        <v>1200</v>
      </c>
      <c r="E185" s="669" t="e">
        <f>HLOOKUP($D$2,'2020 Data(H)'!$C$1:$CZ$426,251,FALSE)</f>
        <v>#N/A</v>
      </c>
      <c r="F185" s="295"/>
      <c r="G185" s="730"/>
      <c r="H185" s="731"/>
      <c r="I185" s="732"/>
      <c r="Z185" s="108"/>
      <c r="AA185" s="108"/>
      <c r="AB185" s="108"/>
      <c r="AC185" s="108"/>
      <c r="AD185" s="108"/>
      <c r="AE185" s="108"/>
      <c r="AF185" s="108"/>
      <c r="AG185" s="108"/>
      <c r="AH185" s="108"/>
      <c r="AI185" s="108"/>
      <c r="AJ185" s="108"/>
      <c r="AK185" s="108"/>
      <c r="AL185" s="108"/>
      <c r="AM185" s="108"/>
      <c r="AN185" s="108"/>
      <c r="AO185" s="108"/>
      <c r="AP185" s="108"/>
      <c r="AQ185" s="108"/>
      <c r="AR185" s="108"/>
    </row>
    <row r="186" spans="1:44" ht="26.25" hidden="1" customHeight="1" x14ac:dyDescent="0.3">
      <c r="A186" s="108"/>
      <c r="B186" s="864" t="s">
        <v>6</v>
      </c>
      <c r="C186" s="865"/>
      <c r="D186" s="840"/>
      <c r="E186" s="840"/>
      <c r="F186" s="860"/>
      <c r="G186" s="861"/>
      <c r="H186" s="17"/>
      <c r="I186" s="79"/>
      <c r="Z186" s="108"/>
      <c r="AA186" s="108"/>
      <c r="AB186" s="108"/>
      <c r="AC186" s="108"/>
      <c r="AD186" s="108"/>
      <c r="AE186" s="108"/>
      <c r="AF186" s="108"/>
      <c r="AG186" s="108"/>
      <c r="AH186" s="108"/>
      <c r="AI186" s="108"/>
      <c r="AJ186" s="108"/>
      <c r="AK186" s="108"/>
      <c r="AL186" s="108"/>
      <c r="AM186" s="108"/>
      <c r="AN186" s="108"/>
      <c r="AO186" s="108"/>
      <c r="AP186" s="108"/>
      <c r="AQ186" s="108"/>
      <c r="AR186" s="108"/>
    </row>
    <row r="187" spans="1:44" ht="112.5" hidden="1" customHeight="1" x14ac:dyDescent="0.3">
      <c r="A187" s="108">
        <v>97</v>
      </c>
      <c r="B187" s="4" t="s">
        <v>68</v>
      </c>
      <c r="C187" s="4" t="s">
        <v>1201</v>
      </c>
      <c r="D187" s="29" t="s">
        <v>163</v>
      </c>
      <c r="E187" s="669" t="e">
        <f>HLOOKUP($D$2,'2020 Data(H)'!$C$1:$CZ$426,57,FALSE)</f>
        <v>#N/A</v>
      </c>
      <c r="F187" s="293">
        <v>0</v>
      </c>
      <c r="G187" s="740"/>
      <c r="H187" s="17"/>
      <c r="I187" s="79"/>
      <c r="Z187" s="108"/>
      <c r="AA187" s="108"/>
      <c r="AB187" s="108"/>
      <c r="AC187" s="108"/>
      <c r="AD187" s="108"/>
      <c r="AE187" s="108"/>
      <c r="AF187" s="108"/>
      <c r="AG187" s="108"/>
      <c r="AH187" s="108"/>
      <c r="AI187" s="108"/>
      <c r="AJ187" s="108"/>
      <c r="AK187" s="108"/>
      <c r="AL187" s="108"/>
      <c r="AM187" s="108"/>
      <c r="AN187" s="108"/>
      <c r="AO187" s="108"/>
      <c r="AP187" s="108"/>
      <c r="AQ187" s="108"/>
      <c r="AR187" s="108"/>
    </row>
    <row r="188" spans="1:44" ht="87.75" hidden="1" customHeight="1" x14ac:dyDescent="0.3">
      <c r="A188" s="108">
        <v>93</v>
      </c>
      <c r="B188" s="4" t="s">
        <v>66</v>
      </c>
      <c r="C188" s="4" t="s">
        <v>1201</v>
      </c>
      <c r="D188" s="29" t="s">
        <v>159</v>
      </c>
      <c r="E188" s="669" t="e">
        <f>HLOOKUP($D$2,'2020 Data(H)'!$C$1:$CZ$426,55,FALSE)</f>
        <v>#N/A</v>
      </c>
      <c r="F188" s="294">
        <v>0</v>
      </c>
      <c r="G188" s="730">
        <f>IF(F187&gt;F188,"Error: Charges for services exceed total operating revenues. Account number 97&gt;93",)</f>
        <v>0</v>
      </c>
      <c r="H188" s="17"/>
      <c r="I188" s="79"/>
      <c r="Z188" s="108"/>
      <c r="AA188" s="108"/>
      <c r="AB188" s="108"/>
      <c r="AC188" s="108"/>
      <c r="AD188" s="108"/>
      <c r="AE188" s="108"/>
      <c r="AF188" s="108"/>
      <c r="AG188" s="108"/>
      <c r="AH188" s="108"/>
      <c r="AI188" s="108"/>
      <c r="AJ188" s="108"/>
      <c r="AK188" s="108"/>
      <c r="AL188" s="108"/>
      <c r="AM188" s="108"/>
      <c r="AN188" s="108"/>
      <c r="AO188" s="108"/>
      <c r="AP188" s="108"/>
      <c r="AQ188" s="108"/>
      <c r="AR188" s="108"/>
    </row>
    <row r="189" spans="1:44" ht="96" hidden="1" customHeight="1" x14ac:dyDescent="0.3">
      <c r="A189" s="108">
        <v>99</v>
      </c>
      <c r="B189" s="4" t="s">
        <v>58</v>
      </c>
      <c r="C189" s="4" t="s">
        <v>1201</v>
      </c>
      <c r="D189" s="29" t="s">
        <v>164</v>
      </c>
      <c r="E189" s="669" t="e">
        <f>HLOOKUP($D$2,'2020 Data(H)'!$C$1:$CZ$426,59,FALSE)</f>
        <v>#N/A</v>
      </c>
      <c r="F189" s="294">
        <v>0</v>
      </c>
      <c r="G189" s="730">
        <f t="shared" ref="G189:G197" si="2">IF(F189&lt;0,"Error: Enter as positive.",)</f>
        <v>0</v>
      </c>
      <c r="H189" s="17"/>
      <c r="I189" s="79"/>
      <c r="Z189" s="108"/>
      <c r="AA189" s="108"/>
      <c r="AB189" s="108"/>
      <c r="AC189" s="108"/>
      <c r="AD189" s="108"/>
      <c r="AE189" s="108"/>
      <c r="AF189" s="108"/>
      <c r="AG189" s="108"/>
      <c r="AH189" s="108"/>
      <c r="AI189" s="108"/>
      <c r="AJ189" s="108"/>
      <c r="AK189" s="108"/>
      <c r="AL189" s="108"/>
      <c r="AM189" s="108"/>
      <c r="AN189" s="108"/>
      <c r="AO189" s="108"/>
      <c r="AP189" s="108"/>
      <c r="AQ189" s="108"/>
      <c r="AR189" s="108"/>
    </row>
    <row r="190" spans="1:44" ht="79.5" hidden="1" customHeight="1" x14ac:dyDescent="0.3">
      <c r="A190" s="108">
        <v>52</v>
      </c>
      <c r="B190" s="4" t="s">
        <v>58</v>
      </c>
      <c r="C190" s="4" t="s">
        <v>1201</v>
      </c>
      <c r="D190" s="29" t="s">
        <v>160</v>
      </c>
      <c r="E190" s="669" t="e">
        <f>HLOOKUP($D$2,'2020 Data(H)'!$C$1:$CZ$426,39,FALSE)</f>
        <v>#N/A</v>
      </c>
      <c r="F190" s="294">
        <v>0</v>
      </c>
      <c r="G190" s="730">
        <f t="shared" si="2"/>
        <v>0</v>
      </c>
      <c r="H190" s="17"/>
      <c r="I190" s="79"/>
      <c r="Z190" s="108"/>
      <c r="AA190" s="108"/>
      <c r="AB190" s="108"/>
      <c r="AC190" s="108"/>
      <c r="AD190" s="108"/>
      <c r="AE190" s="108"/>
      <c r="AF190" s="108"/>
      <c r="AG190" s="108"/>
      <c r="AH190" s="108"/>
      <c r="AI190" s="108"/>
      <c r="AJ190" s="108"/>
      <c r="AK190" s="108"/>
      <c r="AL190" s="108"/>
      <c r="AM190" s="108"/>
      <c r="AN190" s="108"/>
      <c r="AO190" s="108"/>
      <c r="AP190" s="108"/>
      <c r="AQ190" s="108"/>
      <c r="AR190" s="108"/>
    </row>
    <row r="191" spans="1:44" ht="95.25" hidden="1" customHeight="1" x14ac:dyDescent="0.3">
      <c r="A191" s="108">
        <v>94</v>
      </c>
      <c r="B191" s="4" t="s">
        <v>66</v>
      </c>
      <c r="C191" s="4" t="s">
        <v>1201</v>
      </c>
      <c r="D191" s="29" t="s">
        <v>161</v>
      </c>
      <c r="E191" s="669" t="e">
        <f>HLOOKUP($D$2,'2020 Data(H)'!$C$1:$CZ$426,56,FALSE)</f>
        <v>#N/A</v>
      </c>
      <c r="F191" s="294">
        <v>0</v>
      </c>
      <c r="G191" s="730">
        <f t="shared" si="2"/>
        <v>0</v>
      </c>
      <c r="H191" s="17"/>
      <c r="I191" s="79"/>
      <c r="Z191" s="108"/>
      <c r="AA191" s="108"/>
      <c r="AB191" s="108"/>
      <c r="AC191" s="108"/>
      <c r="AD191" s="108"/>
      <c r="AE191" s="108"/>
      <c r="AF191" s="108"/>
      <c r="AG191" s="108"/>
      <c r="AH191" s="108"/>
      <c r="AI191" s="108"/>
      <c r="AJ191" s="108"/>
      <c r="AK191" s="108"/>
      <c r="AL191" s="108"/>
      <c r="AM191" s="108"/>
      <c r="AN191" s="108"/>
      <c r="AO191" s="108"/>
      <c r="AP191" s="108"/>
      <c r="AQ191" s="108"/>
      <c r="AR191" s="108"/>
    </row>
    <row r="192" spans="1:44" ht="100.5" hidden="1" customHeight="1" x14ac:dyDescent="0.3">
      <c r="A192" s="108">
        <v>98</v>
      </c>
      <c r="B192" s="4" t="s">
        <v>66</v>
      </c>
      <c r="C192" s="4" t="s">
        <v>1201</v>
      </c>
      <c r="D192" s="29" t="s">
        <v>162</v>
      </c>
      <c r="E192" s="669" t="e">
        <f>HLOOKUP($D$2,'2020 Data(H)'!$C$1:$CZ$426,58,FALSE)</f>
        <v>#N/A</v>
      </c>
      <c r="F192" s="294">
        <v>0</v>
      </c>
      <c r="G192" s="730">
        <f t="shared" si="2"/>
        <v>0</v>
      </c>
      <c r="H192" s="17"/>
      <c r="I192" s="79"/>
      <c r="Z192" s="108"/>
      <c r="AA192" s="108"/>
      <c r="AB192" s="108"/>
      <c r="AC192" s="108"/>
      <c r="AD192" s="108"/>
      <c r="AE192" s="108"/>
      <c r="AF192" s="108"/>
      <c r="AG192" s="108"/>
      <c r="AH192" s="108"/>
      <c r="AI192" s="108"/>
      <c r="AJ192" s="108"/>
      <c r="AK192" s="108"/>
      <c r="AL192" s="108"/>
      <c r="AM192" s="108"/>
      <c r="AN192" s="108"/>
      <c r="AO192" s="108"/>
      <c r="AP192" s="108"/>
      <c r="AQ192" s="108"/>
      <c r="AR192" s="108"/>
    </row>
    <row r="193" spans="1:44" ht="95.25" hidden="1" customHeight="1" x14ac:dyDescent="0.3">
      <c r="A193" s="108">
        <v>363</v>
      </c>
      <c r="B193" s="4" t="s">
        <v>56</v>
      </c>
      <c r="C193" s="4" t="s">
        <v>1201</v>
      </c>
      <c r="D193" s="24" t="s">
        <v>1202</v>
      </c>
      <c r="E193" s="669" t="e">
        <f>HLOOKUP($D$2,'2020 Data(H)'!$C$1:$CZ$426,124,FALSE)</f>
        <v>#N/A</v>
      </c>
      <c r="F193" s="294">
        <v>0</v>
      </c>
      <c r="G193" s="730">
        <f t="shared" si="2"/>
        <v>0</v>
      </c>
      <c r="H193" s="17"/>
      <c r="I193" s="79"/>
      <c r="Z193" s="108"/>
      <c r="AA193" s="108"/>
      <c r="AB193" s="108"/>
      <c r="AC193" s="108"/>
      <c r="AD193" s="108"/>
      <c r="AE193" s="108"/>
      <c r="AF193" s="108"/>
      <c r="AG193" s="108"/>
      <c r="AH193" s="108"/>
      <c r="AI193" s="108"/>
      <c r="AJ193" s="108"/>
      <c r="AK193" s="108"/>
      <c r="AL193" s="108"/>
      <c r="AM193" s="108"/>
      <c r="AN193" s="108"/>
      <c r="AO193" s="108"/>
      <c r="AP193" s="108"/>
      <c r="AQ193" s="108"/>
      <c r="AR193" s="108"/>
    </row>
    <row r="194" spans="1:44" ht="83.25" hidden="1" customHeight="1" x14ac:dyDescent="0.3">
      <c r="A194" s="108">
        <v>364</v>
      </c>
      <c r="B194" s="4" t="s">
        <v>56</v>
      </c>
      <c r="C194" s="4" t="s">
        <v>1201</v>
      </c>
      <c r="D194" s="24" t="s">
        <v>1203</v>
      </c>
      <c r="E194" s="669" t="e">
        <f>HLOOKUP($D$2,'2020 Data(H)'!$C$1:$CZ$426,125,FALSE)</f>
        <v>#N/A</v>
      </c>
      <c r="F194" s="294">
        <v>0</v>
      </c>
      <c r="G194" s="730">
        <f t="shared" si="2"/>
        <v>0</v>
      </c>
      <c r="H194" s="17"/>
      <c r="I194" s="79"/>
      <c r="Z194" s="108"/>
      <c r="AA194" s="108"/>
      <c r="AB194" s="108"/>
      <c r="AC194" s="108"/>
      <c r="AD194" s="108"/>
      <c r="AE194" s="108"/>
      <c r="AF194" s="108"/>
      <c r="AG194" s="108"/>
      <c r="AH194" s="108"/>
      <c r="AI194" s="108"/>
      <c r="AJ194" s="108"/>
      <c r="AK194" s="108"/>
      <c r="AL194" s="108"/>
      <c r="AM194" s="108"/>
      <c r="AN194" s="108"/>
      <c r="AO194" s="108"/>
      <c r="AP194" s="108"/>
      <c r="AQ194" s="108"/>
      <c r="AR194" s="108"/>
    </row>
    <row r="195" spans="1:44" ht="93" hidden="1" customHeight="1" x14ac:dyDescent="0.3">
      <c r="A195" s="108">
        <v>192</v>
      </c>
      <c r="B195" s="4" t="s">
        <v>58</v>
      </c>
      <c r="C195" s="4" t="s">
        <v>1201</v>
      </c>
      <c r="D195" s="24" t="s">
        <v>1204</v>
      </c>
      <c r="E195" s="669" t="e">
        <f>HLOOKUP($D$2,'2020 Data(H)'!$C$1:$CZ$426,73,FALSE)</f>
        <v>#N/A</v>
      </c>
      <c r="F195" s="294">
        <v>0</v>
      </c>
      <c r="G195" s="730">
        <f t="shared" si="2"/>
        <v>0</v>
      </c>
      <c r="H195" s="17"/>
      <c r="I195" s="79"/>
      <c r="Z195" s="108"/>
      <c r="AA195" s="108"/>
      <c r="AB195" s="108"/>
      <c r="AC195" s="108"/>
      <c r="AD195" s="108"/>
      <c r="AE195" s="108"/>
      <c r="AF195" s="108"/>
      <c r="AG195" s="108"/>
      <c r="AH195" s="108"/>
      <c r="AI195" s="108"/>
      <c r="AJ195" s="108"/>
      <c r="AK195" s="108"/>
      <c r="AL195" s="108"/>
      <c r="AM195" s="108"/>
      <c r="AN195" s="108"/>
      <c r="AO195" s="108"/>
      <c r="AP195" s="108"/>
      <c r="AQ195" s="108"/>
      <c r="AR195" s="108"/>
    </row>
    <row r="196" spans="1:44" ht="108" hidden="1" customHeight="1" x14ac:dyDescent="0.3">
      <c r="A196" s="108">
        <v>365</v>
      </c>
      <c r="B196" s="4" t="s">
        <v>66</v>
      </c>
      <c r="C196" s="4" t="s">
        <v>1201</v>
      </c>
      <c r="D196" s="24" t="s">
        <v>1205</v>
      </c>
      <c r="E196" s="669" t="e">
        <f>HLOOKUP($D$2,'2020 Data(H)'!$C$1:$CZ$426,126,FALSE)</f>
        <v>#N/A</v>
      </c>
      <c r="F196" s="294">
        <v>0</v>
      </c>
      <c r="G196" s="730">
        <f t="shared" si="2"/>
        <v>0</v>
      </c>
      <c r="H196" s="17"/>
      <c r="I196" s="79"/>
      <c r="Z196" s="108"/>
      <c r="AA196" s="108"/>
      <c r="AB196" s="108"/>
      <c r="AC196" s="108"/>
      <c r="AD196" s="108"/>
      <c r="AE196" s="108"/>
      <c r="AF196" s="108"/>
      <c r="AG196" s="108"/>
      <c r="AH196" s="108"/>
      <c r="AI196" s="108"/>
      <c r="AJ196" s="108"/>
      <c r="AK196" s="108"/>
      <c r="AL196" s="108"/>
      <c r="AM196" s="108"/>
      <c r="AN196" s="108"/>
      <c r="AO196" s="108"/>
      <c r="AP196" s="108"/>
      <c r="AQ196" s="108"/>
      <c r="AR196" s="108"/>
    </row>
    <row r="197" spans="1:44" ht="84.75" hidden="1" customHeight="1" x14ac:dyDescent="0.3">
      <c r="A197" s="108">
        <v>366</v>
      </c>
      <c r="B197" s="4" t="s">
        <v>66</v>
      </c>
      <c r="C197" s="4" t="s">
        <v>1201</v>
      </c>
      <c r="D197" s="24" t="s">
        <v>1206</v>
      </c>
      <c r="E197" s="669" t="e">
        <f>HLOOKUP($D$2,'2020 Data(H)'!$C$1:$CZ$426,127,FALSE)</f>
        <v>#N/A</v>
      </c>
      <c r="F197" s="294">
        <v>0</v>
      </c>
      <c r="G197" s="730">
        <f t="shared" si="2"/>
        <v>0</v>
      </c>
      <c r="H197" s="17"/>
      <c r="I197" s="79"/>
      <c r="Z197" s="108"/>
      <c r="AA197" s="108"/>
      <c r="AB197" s="108"/>
      <c r="AC197" s="108"/>
      <c r="AD197" s="108"/>
      <c r="AE197" s="108"/>
      <c r="AF197" s="108"/>
      <c r="AG197" s="108"/>
      <c r="AH197" s="108"/>
      <c r="AI197" s="108"/>
      <c r="AJ197" s="108"/>
      <c r="AK197" s="108"/>
      <c r="AL197" s="108"/>
      <c r="AM197" s="108"/>
      <c r="AN197" s="108"/>
      <c r="AO197" s="108"/>
      <c r="AP197" s="108"/>
      <c r="AQ197" s="108"/>
      <c r="AR197" s="108"/>
    </row>
    <row r="198" spans="1:44" s="18" customFormat="1" ht="93.75" hidden="1" customHeight="1" x14ac:dyDescent="0.3">
      <c r="A198" s="108">
        <v>53</v>
      </c>
      <c r="B198" s="671" t="s">
        <v>66</v>
      </c>
      <c r="C198" s="671" t="s">
        <v>1201</v>
      </c>
      <c r="D198" s="708" t="s">
        <v>1207</v>
      </c>
      <c r="E198" s="669" t="e">
        <f>HLOOKUP($D$2,'2020 Data(H)'!$C$1:$CZ$426,40,FALSE)</f>
        <v>#N/A</v>
      </c>
      <c r="F198" s="294">
        <v>0</v>
      </c>
      <c r="G198" s="730">
        <f>IF(H198=0,,"Error: Total revenues less total expenses do not equal total change in net position. Account number 93-94+363-364+192+365-366-53=0  The amount of the formula is in the cell to the right")</f>
        <v>0</v>
      </c>
      <c r="H198" s="733">
        <f>+F188-F191+F193-F194+F195+F196-F197-F198</f>
        <v>0</v>
      </c>
      <c r="I198" s="79"/>
      <c r="N198" s="296"/>
      <c r="Z198" s="108"/>
      <c r="AA198" s="108"/>
      <c r="AB198" s="108"/>
      <c r="AC198" s="108"/>
      <c r="AD198" s="108"/>
      <c r="AE198" s="108"/>
      <c r="AF198" s="108"/>
      <c r="AG198" s="108"/>
      <c r="AH198" s="108"/>
      <c r="AI198" s="108"/>
      <c r="AJ198" s="108"/>
      <c r="AK198" s="108"/>
      <c r="AL198" s="108"/>
      <c r="AM198" s="108"/>
      <c r="AN198" s="108"/>
      <c r="AO198" s="108"/>
      <c r="AP198" s="108"/>
      <c r="AQ198" s="108"/>
      <c r="AR198" s="108"/>
    </row>
    <row r="199" spans="1:44" s="18" customFormat="1" ht="135" hidden="1" customHeight="1" x14ac:dyDescent="0.3">
      <c r="A199" s="108">
        <v>378</v>
      </c>
      <c r="B199" s="5" t="s">
        <v>56</v>
      </c>
      <c r="C199" s="4" t="s">
        <v>1201</v>
      </c>
      <c r="D199" s="708" t="s">
        <v>1208</v>
      </c>
      <c r="E199" s="669" t="e">
        <f>HLOOKUP($D$2,'2020 Data(H)'!$C$1:$CZ$426,137,FALSE)</f>
        <v>#N/A</v>
      </c>
      <c r="F199" s="293">
        <v>0</v>
      </c>
      <c r="G199" s="730" t="e">
        <f>IF(F168-F198-F199=E168,,"Error: Beginning Balance does not agree with our records.  Acct #s (362-53-378)=prior year 362  The amount of the formula is in the cell to the right")</f>
        <v>#N/A</v>
      </c>
      <c r="H199" s="733" t="e">
        <f>+F168-F198-F199-E168</f>
        <v>#N/A</v>
      </c>
      <c r="I199" s="79"/>
      <c r="N199" s="296"/>
      <c r="Z199" s="108"/>
      <c r="AA199" s="108"/>
      <c r="AB199" s="108"/>
      <c r="AC199" s="108"/>
      <c r="AD199" s="108"/>
      <c r="AE199" s="108"/>
      <c r="AF199" s="108"/>
      <c r="AG199" s="108"/>
      <c r="AH199" s="108"/>
      <c r="AI199" s="108"/>
      <c r="AJ199" s="108"/>
      <c r="AK199" s="108"/>
      <c r="AL199" s="108"/>
      <c r="AM199" s="108"/>
      <c r="AN199" s="108"/>
      <c r="AO199" s="108"/>
      <c r="AP199" s="108"/>
      <c r="AQ199" s="108"/>
      <c r="AR199" s="108"/>
    </row>
    <row r="200" spans="1:44" ht="30.75" hidden="1" customHeight="1" x14ac:dyDescent="0.3">
      <c r="A200" s="108"/>
      <c r="B200" s="864" t="s">
        <v>541</v>
      </c>
      <c r="C200" s="864"/>
      <c r="D200" s="867"/>
      <c r="E200" s="847"/>
      <c r="F200" s="868"/>
      <c r="G200" s="849"/>
      <c r="H200" s="17"/>
      <c r="I200" s="79"/>
      <c r="Z200" s="108"/>
      <c r="AA200" s="108"/>
      <c r="AB200" s="108"/>
      <c r="AC200" s="108"/>
      <c r="AD200" s="108"/>
      <c r="AE200" s="108"/>
      <c r="AF200" s="108"/>
      <c r="AG200" s="108"/>
      <c r="AH200" s="108"/>
      <c r="AI200" s="108"/>
      <c r="AJ200" s="108"/>
      <c r="AK200" s="108"/>
      <c r="AL200" s="108"/>
      <c r="AM200" s="108"/>
      <c r="AN200" s="108"/>
      <c r="AO200" s="108"/>
      <c r="AP200" s="108"/>
      <c r="AQ200" s="108"/>
      <c r="AR200" s="108"/>
    </row>
    <row r="201" spans="1:44" ht="13.5" hidden="1" customHeight="1" x14ac:dyDescent="0.3">
      <c r="A201" s="108"/>
      <c r="B201" s="869" t="s">
        <v>1209</v>
      </c>
      <c r="C201" s="865"/>
      <c r="D201" s="840"/>
      <c r="E201" s="840"/>
      <c r="F201" s="870"/>
      <c r="G201" s="861"/>
      <c r="H201" s="17"/>
      <c r="I201" s="79"/>
      <c r="Z201" s="108"/>
      <c r="AA201" s="108"/>
      <c r="AB201" s="108"/>
      <c r="AC201" s="108"/>
      <c r="AD201" s="108"/>
      <c r="AE201" s="108"/>
      <c r="AF201" s="108"/>
      <c r="AG201" s="108"/>
      <c r="AH201" s="108"/>
      <c r="AI201" s="108"/>
      <c r="AJ201" s="108"/>
      <c r="AK201" s="108"/>
      <c r="AL201" s="108"/>
      <c r="AM201" s="108"/>
      <c r="AN201" s="108"/>
      <c r="AO201" s="108"/>
      <c r="AP201" s="108"/>
      <c r="AQ201" s="108"/>
      <c r="AR201" s="108"/>
    </row>
    <row r="202" spans="1:44" ht="17.25" hidden="1" customHeight="1" x14ac:dyDescent="0.3">
      <c r="A202" s="108"/>
      <c r="B202" s="865" t="s">
        <v>1210</v>
      </c>
      <c r="C202" s="865"/>
      <c r="D202" s="856"/>
      <c r="E202" s="838"/>
      <c r="F202" s="871"/>
      <c r="G202" s="863"/>
      <c r="H202" s="17"/>
      <c r="I202" s="79"/>
      <c r="Z202" s="108"/>
      <c r="AA202" s="108"/>
      <c r="AB202" s="108"/>
      <c r="AC202" s="108"/>
      <c r="AD202" s="108"/>
      <c r="AE202" s="108"/>
      <c r="AF202" s="108"/>
      <c r="AG202" s="108"/>
      <c r="AH202" s="108"/>
      <c r="AI202" s="108"/>
      <c r="AJ202" s="108"/>
      <c r="AK202" s="108"/>
      <c r="AL202" s="108"/>
      <c r="AM202" s="108"/>
      <c r="AN202" s="108"/>
      <c r="AO202" s="108"/>
      <c r="AP202" s="108"/>
      <c r="AQ202" s="108"/>
      <c r="AR202" s="108"/>
    </row>
    <row r="203" spans="1:44" ht="13.5" hidden="1" customHeight="1" x14ac:dyDescent="0.3">
      <c r="A203" s="108"/>
      <c r="B203" s="865" t="s">
        <v>23</v>
      </c>
      <c r="C203" s="865"/>
      <c r="D203" s="856"/>
      <c r="E203" s="838"/>
      <c r="F203" s="871"/>
      <c r="G203" s="863"/>
      <c r="H203" s="17"/>
      <c r="I203" s="79"/>
      <c r="Z203" s="108"/>
      <c r="AA203" s="108"/>
      <c r="AB203" s="108"/>
      <c r="AC203" s="108"/>
      <c r="AD203" s="108"/>
      <c r="AE203" s="108"/>
      <c r="AF203" s="108"/>
      <c r="AG203" s="108"/>
      <c r="AH203" s="108"/>
      <c r="AI203" s="108"/>
      <c r="AJ203" s="108"/>
      <c r="AK203" s="108"/>
      <c r="AL203" s="108"/>
      <c r="AM203" s="108"/>
      <c r="AN203" s="108"/>
      <c r="AO203" s="108"/>
      <c r="AP203" s="108"/>
      <c r="AQ203" s="108"/>
      <c r="AR203" s="108"/>
    </row>
    <row r="204" spans="1:44" ht="59.25" hidden="1" customHeight="1" x14ac:dyDescent="0.3">
      <c r="A204" s="108">
        <v>51</v>
      </c>
      <c r="B204" s="4" t="s">
        <v>315</v>
      </c>
      <c r="C204" s="829" t="s">
        <v>1211</v>
      </c>
      <c r="D204" s="24" t="s">
        <v>1212</v>
      </c>
      <c r="E204" s="669" t="e">
        <f>HLOOKUP($D$2,'2020 Data(H)'!$C$1:$CZ$426,38,FALSE)</f>
        <v>#N/A</v>
      </c>
      <c r="F204" s="294">
        <v>0</v>
      </c>
      <c r="G204" s="740"/>
      <c r="H204" s="17"/>
      <c r="I204" s="79"/>
      <c r="Z204" s="108"/>
      <c r="AA204" s="108"/>
      <c r="AB204" s="108"/>
      <c r="AC204" s="108"/>
      <c r="AD204" s="108"/>
      <c r="AE204" s="108"/>
      <c r="AF204" s="108"/>
      <c r="AG204" s="108"/>
      <c r="AH204" s="108"/>
      <c r="AI204" s="108"/>
      <c r="AJ204" s="108"/>
      <c r="AK204" s="108"/>
      <c r="AL204" s="108"/>
      <c r="AM204" s="108"/>
      <c r="AN204" s="108"/>
      <c r="AO204" s="108"/>
      <c r="AP204" s="108"/>
      <c r="AQ204" s="108"/>
      <c r="AR204" s="108"/>
    </row>
    <row r="205" spans="1:44" ht="45" hidden="1" customHeight="1" x14ac:dyDescent="0.3">
      <c r="A205" s="108">
        <v>332</v>
      </c>
      <c r="B205" s="4" t="s">
        <v>37</v>
      </c>
      <c r="C205" s="829" t="s">
        <v>1211</v>
      </c>
      <c r="D205" s="24" t="s">
        <v>1213</v>
      </c>
      <c r="E205" s="669" t="e">
        <f>HLOOKUP($D$2,'2020 Data(H)'!$C$1:$CZ$426,98,FALSE)</f>
        <v>#N/A</v>
      </c>
      <c r="F205" s="294">
        <v>0</v>
      </c>
      <c r="G205" s="730">
        <f>IF(F205&lt;0,"Error: Enter as positive.",)</f>
        <v>0</v>
      </c>
      <c r="H205" s="17"/>
      <c r="I205" s="79"/>
      <c r="Z205" s="108"/>
      <c r="AA205" s="108"/>
      <c r="AB205" s="108"/>
      <c r="AC205" s="108"/>
      <c r="AD205" s="108"/>
      <c r="AE205" s="108"/>
      <c r="AF205" s="108"/>
      <c r="AG205" s="108"/>
      <c r="AH205" s="108"/>
      <c r="AI205" s="108"/>
      <c r="AJ205" s="108"/>
      <c r="AK205" s="108"/>
      <c r="AL205" s="108"/>
      <c r="AM205" s="108"/>
      <c r="AN205" s="108"/>
      <c r="AO205" s="108"/>
      <c r="AP205" s="108"/>
      <c r="AQ205" s="108"/>
      <c r="AR205" s="108"/>
    </row>
    <row r="206" spans="1:44" ht="63" hidden="1" customHeight="1" x14ac:dyDescent="0.3">
      <c r="A206" s="108">
        <v>331</v>
      </c>
      <c r="B206" s="4" t="s">
        <v>315</v>
      </c>
      <c r="C206" s="829" t="s">
        <v>1211</v>
      </c>
      <c r="D206" s="24" t="s">
        <v>1214</v>
      </c>
      <c r="E206" s="669" t="e">
        <f>HLOOKUP($D$2,'2020 Data(H)'!$C$1:$CZ$426,97,FALSE)</f>
        <v>#N/A</v>
      </c>
      <c r="F206" s="294">
        <v>0</v>
      </c>
      <c r="G206" s="730">
        <f>IF(F206&lt;0,"Error: Enter as positive.",)</f>
        <v>0</v>
      </c>
      <c r="H206" s="17"/>
      <c r="I206" s="79"/>
      <c r="Z206" s="108"/>
      <c r="AA206" s="108"/>
      <c r="AB206" s="108"/>
      <c r="AC206" s="108"/>
      <c r="AD206" s="108"/>
      <c r="AE206" s="108"/>
      <c r="AF206" s="108"/>
      <c r="AG206" s="108"/>
      <c r="AH206" s="108"/>
      <c r="AI206" s="108"/>
      <c r="AJ206" s="108"/>
      <c r="AK206" s="108"/>
      <c r="AL206" s="108"/>
      <c r="AM206" s="108"/>
      <c r="AN206" s="108"/>
      <c r="AO206" s="108"/>
      <c r="AP206" s="108"/>
      <c r="AQ206" s="108"/>
      <c r="AR206" s="108"/>
    </row>
    <row r="207" spans="1:44" hidden="1" x14ac:dyDescent="0.3">
      <c r="A207" s="108"/>
      <c r="B207" s="864" t="s">
        <v>6</v>
      </c>
      <c r="C207" s="865"/>
      <c r="D207" s="865"/>
      <c r="E207" s="840"/>
      <c r="F207" s="870"/>
      <c r="G207" s="872"/>
      <c r="H207" s="17"/>
      <c r="I207" s="79"/>
      <c r="Z207" s="108"/>
      <c r="AA207" s="108"/>
      <c r="AB207" s="108"/>
      <c r="AC207" s="108"/>
      <c r="AD207" s="108"/>
      <c r="AE207" s="108"/>
      <c r="AF207" s="108"/>
      <c r="AG207" s="108"/>
      <c r="AH207" s="108"/>
      <c r="AI207" s="108"/>
      <c r="AJ207" s="108"/>
      <c r="AK207" s="108"/>
      <c r="AL207" s="108"/>
      <c r="AM207" s="108"/>
      <c r="AN207" s="108"/>
      <c r="AO207" s="108"/>
      <c r="AP207" s="108"/>
      <c r="AQ207" s="108"/>
      <c r="AR207" s="108"/>
    </row>
    <row r="208" spans="1:44" ht="48" hidden="1" customHeight="1" x14ac:dyDescent="0.3">
      <c r="A208" s="108">
        <v>55</v>
      </c>
      <c r="B208" s="4" t="s">
        <v>59</v>
      </c>
      <c r="C208" s="829" t="s">
        <v>1215</v>
      </c>
      <c r="D208" s="24" t="s">
        <v>1216</v>
      </c>
      <c r="E208" s="669" t="e">
        <f>HLOOKUP($D$2,'2020 Data(H)'!$C$1:$CZ$426,42,FALSE)</f>
        <v>#N/A</v>
      </c>
      <c r="F208" s="294">
        <v>0</v>
      </c>
      <c r="G208" s="740"/>
      <c r="H208" s="17"/>
      <c r="I208" s="79"/>
      <c r="Z208" s="108"/>
      <c r="AA208" s="108"/>
      <c r="AB208" s="108"/>
      <c r="AC208" s="108"/>
      <c r="AD208" s="108"/>
      <c r="AE208" s="108"/>
      <c r="AF208" s="108"/>
      <c r="AG208" s="108"/>
      <c r="AH208" s="108"/>
      <c r="AI208" s="108"/>
      <c r="AJ208" s="108"/>
      <c r="AK208" s="108"/>
      <c r="AL208" s="108"/>
      <c r="AM208" s="108"/>
      <c r="AN208" s="108"/>
      <c r="AO208" s="108"/>
      <c r="AP208" s="108"/>
      <c r="AQ208" s="108"/>
      <c r="AR208" s="108"/>
    </row>
    <row r="209" spans="1:44" ht="60" hidden="1" customHeight="1" x14ac:dyDescent="0.3">
      <c r="A209" s="108">
        <v>101</v>
      </c>
      <c r="B209" s="4" t="s">
        <v>65</v>
      </c>
      <c r="C209" s="829" t="s">
        <v>1215</v>
      </c>
      <c r="D209" s="24" t="s">
        <v>1217</v>
      </c>
      <c r="E209" s="669" t="e">
        <f>HLOOKUP($D$2,'2020 Data(H)'!$C$1:$CZ$426,61,FALSE)</f>
        <v>#N/A</v>
      </c>
      <c r="F209" s="294">
        <v>0</v>
      </c>
      <c r="G209" s="730">
        <f>IF(F209&lt;0,"Error: Enter as positive.",)</f>
        <v>0</v>
      </c>
      <c r="H209" s="17"/>
      <c r="I209" s="79"/>
      <c r="Z209" s="108"/>
      <c r="AA209" s="108"/>
      <c r="AB209" s="108"/>
      <c r="AC209" s="108"/>
      <c r="AD209" s="108"/>
      <c r="AE209" s="108"/>
      <c r="AF209" s="108"/>
      <c r="AG209" s="108"/>
      <c r="AH209" s="108"/>
      <c r="AI209" s="108"/>
      <c r="AJ209" s="108"/>
      <c r="AK209" s="108"/>
      <c r="AL209" s="108"/>
      <c r="AM209" s="108"/>
      <c r="AN209" s="108"/>
      <c r="AO209" s="108"/>
      <c r="AP209" s="108"/>
      <c r="AQ209" s="108"/>
      <c r="AR209" s="108"/>
    </row>
    <row r="210" spans="1:44" ht="71.25" hidden="1" customHeight="1" x14ac:dyDescent="0.3">
      <c r="A210" s="108">
        <v>100</v>
      </c>
      <c r="B210" s="4" t="s">
        <v>66</v>
      </c>
      <c r="C210" s="829" t="s">
        <v>1215</v>
      </c>
      <c r="D210" s="24" t="s">
        <v>1214</v>
      </c>
      <c r="E210" s="669" t="e">
        <f>HLOOKUP($D$2,'2020 Data(H)'!$C$1:$CZ$426,60,FALSE)</f>
        <v>#N/A</v>
      </c>
      <c r="F210" s="294">
        <v>0</v>
      </c>
      <c r="G210" s="730">
        <f>IF(F210&lt;0,"Error: Enter as positive.",)</f>
        <v>0</v>
      </c>
      <c r="H210" s="17"/>
      <c r="I210" s="79"/>
      <c r="Z210" s="108"/>
      <c r="AA210" s="108"/>
      <c r="AB210" s="108"/>
      <c r="AC210" s="108"/>
      <c r="AD210" s="108"/>
      <c r="AE210" s="108"/>
      <c r="AF210" s="108"/>
      <c r="AG210" s="108"/>
      <c r="AH210" s="108"/>
      <c r="AI210" s="108"/>
      <c r="AJ210" s="108"/>
      <c r="AK210" s="108"/>
      <c r="AL210" s="108"/>
      <c r="AM210" s="108"/>
      <c r="AN210" s="108"/>
      <c r="AO210" s="108"/>
      <c r="AP210" s="108"/>
      <c r="AQ210" s="108"/>
      <c r="AR210" s="108"/>
    </row>
    <row r="211" spans="1:44" x14ac:dyDescent="0.3">
      <c r="A211" s="108"/>
      <c r="B211" s="840" t="s">
        <v>71</v>
      </c>
      <c r="C211" s="856"/>
      <c r="D211" s="840"/>
      <c r="E211" s="840"/>
      <c r="F211" s="873"/>
      <c r="G211" s="859"/>
      <c r="H211" s="17"/>
      <c r="I211" s="79"/>
      <c r="J211" s="575"/>
      <c r="Z211" s="108"/>
      <c r="AA211" s="108"/>
      <c r="AB211" s="108"/>
      <c r="AC211" s="108"/>
      <c r="AD211" s="108"/>
      <c r="AE211" s="108"/>
      <c r="AF211" s="108"/>
      <c r="AG211" s="108"/>
      <c r="AH211" s="108"/>
      <c r="AI211" s="108"/>
      <c r="AJ211" s="108"/>
      <c r="AK211" s="108"/>
      <c r="AL211" s="108"/>
      <c r="AM211" s="108"/>
      <c r="AN211" s="108"/>
      <c r="AO211" s="108"/>
      <c r="AP211" s="108"/>
      <c r="AQ211" s="108"/>
      <c r="AR211" s="108"/>
    </row>
    <row r="212" spans="1:44" ht="106.5" customHeight="1" x14ac:dyDescent="0.3">
      <c r="A212" s="108">
        <v>512</v>
      </c>
      <c r="B212" s="559"/>
      <c r="C212" s="829" t="s">
        <v>165</v>
      </c>
      <c r="D212" s="24" t="s">
        <v>1218</v>
      </c>
      <c r="E212" s="669" t="e">
        <f>HLOOKUP($D$2,'2020 Data(H)'!$C$1:$CZ$426,162,FALSE)</f>
        <v>#N/A</v>
      </c>
      <c r="F212" s="294">
        <v>0</v>
      </c>
      <c r="G212" s="730">
        <f>IF(F212&lt;0,"Error: Enter as positive.",)</f>
        <v>0</v>
      </c>
      <c r="H212" s="17"/>
      <c r="I212" s="79"/>
      <c r="J212" s="575"/>
      <c r="Z212" s="108"/>
      <c r="AA212" s="108"/>
      <c r="AB212" s="108"/>
      <c r="AC212" s="108"/>
      <c r="AD212" s="108"/>
      <c r="AE212" s="108"/>
      <c r="AF212" s="108"/>
      <c r="AG212" s="108"/>
      <c r="AH212" s="108"/>
      <c r="AI212" s="108"/>
      <c r="AJ212" s="108"/>
      <c r="AK212" s="108"/>
      <c r="AL212" s="108"/>
      <c r="AM212" s="108"/>
      <c r="AN212" s="108"/>
      <c r="AO212" s="108"/>
      <c r="AP212" s="108"/>
      <c r="AQ212" s="108"/>
      <c r="AR212" s="108"/>
    </row>
    <row r="213" spans="1:44" hidden="1" x14ac:dyDescent="0.3">
      <c r="A213" s="108"/>
      <c r="B213" s="864" t="s">
        <v>527</v>
      </c>
      <c r="C213" s="865"/>
      <c r="D213" s="867"/>
      <c r="E213" s="874"/>
      <c r="F213" s="873"/>
      <c r="G213" s="859"/>
      <c r="H213" s="731"/>
      <c r="I213" s="732"/>
      <c r="Z213" s="108"/>
      <c r="AA213" s="108"/>
      <c r="AB213" s="108"/>
      <c r="AC213" s="108"/>
      <c r="AD213" s="108"/>
      <c r="AE213" s="108"/>
      <c r="AF213" s="108"/>
      <c r="AG213" s="108"/>
      <c r="AH213" s="108"/>
      <c r="AI213" s="108"/>
      <c r="AJ213" s="108"/>
      <c r="AK213" s="108"/>
      <c r="AL213" s="108"/>
      <c r="AM213" s="108"/>
      <c r="AN213" s="108"/>
      <c r="AO213" s="108"/>
      <c r="AP213" s="108"/>
      <c r="AQ213" s="108"/>
      <c r="AR213" s="108"/>
    </row>
    <row r="214" spans="1:44" ht="59.25" hidden="1" customHeight="1" x14ac:dyDescent="0.3">
      <c r="A214" s="307">
        <v>656</v>
      </c>
      <c r="B214" s="307"/>
      <c r="C214" s="307"/>
      <c r="D214" s="755" t="s">
        <v>528</v>
      </c>
      <c r="E214" s="669" t="e">
        <f>HLOOKUP($D$2,'2020 Data(H)'!$C$1:$CZ$426,309,FALSE)</f>
        <v>#N/A</v>
      </c>
      <c r="F214" s="294">
        <v>0</v>
      </c>
      <c r="G214" s="730"/>
      <c r="H214" s="17"/>
      <c r="I214" s="79"/>
      <c r="J214" s="575"/>
      <c r="Z214" s="307"/>
      <c r="AA214" s="307"/>
      <c r="AB214" s="307"/>
      <c r="AC214" s="307"/>
      <c r="AD214" s="307"/>
      <c r="AE214" s="307"/>
      <c r="AF214" s="307"/>
      <c r="AG214" s="307"/>
      <c r="AH214" s="307"/>
      <c r="AI214" s="307"/>
      <c r="AJ214" s="307"/>
      <c r="AK214" s="307"/>
      <c r="AL214" s="307"/>
      <c r="AM214" s="307"/>
      <c r="AN214" s="307"/>
      <c r="AO214" s="307"/>
      <c r="AP214" s="307"/>
      <c r="AQ214" s="307"/>
      <c r="AR214" s="307"/>
    </row>
    <row r="215" spans="1:44" hidden="1" x14ac:dyDescent="0.3">
      <c r="A215" s="108"/>
      <c r="B215" s="864" t="s">
        <v>318</v>
      </c>
      <c r="C215" s="865"/>
      <c r="D215" s="867"/>
      <c r="E215" s="874"/>
      <c r="F215" s="873"/>
      <c r="G215" s="859"/>
      <c r="H215" s="731"/>
      <c r="I215" s="732"/>
      <c r="Z215" s="108"/>
      <c r="AA215" s="108"/>
      <c r="AB215" s="108"/>
      <c r="AC215" s="108"/>
      <c r="AD215" s="108"/>
      <c r="AE215" s="108"/>
      <c r="AF215" s="108"/>
      <c r="AG215" s="108"/>
      <c r="AH215" s="108"/>
      <c r="AI215" s="108"/>
      <c r="AJ215" s="108"/>
      <c r="AK215" s="108"/>
      <c r="AL215" s="108"/>
      <c r="AM215" s="108"/>
      <c r="AN215" s="108"/>
      <c r="AO215" s="108"/>
      <c r="AP215" s="108"/>
      <c r="AQ215" s="108"/>
      <c r="AR215" s="108"/>
    </row>
    <row r="216" spans="1:44" ht="121.5" hidden="1" customHeight="1" x14ac:dyDescent="0.3">
      <c r="A216" s="108">
        <v>535</v>
      </c>
      <c r="B216" s="671" t="s">
        <v>55</v>
      </c>
      <c r="C216" s="671" t="s">
        <v>166</v>
      </c>
      <c r="D216" s="24" t="s">
        <v>1219</v>
      </c>
      <c r="E216" s="669" t="e">
        <f>HLOOKUP($D$2,'2020 Data(H)'!$C$1:$CZ$426,185,FALSE)</f>
        <v>#N/A</v>
      </c>
      <c r="F216" s="294">
        <v>0</v>
      </c>
      <c r="G216" s="730" t="str">
        <f>IF(F216&lt;1,"Reminder: Please make sure you have entered all cash and investments from bond/Debt proceeds, if applicable.",)</f>
        <v>Reminder: Please make sure you have entered all cash and investments from bond/Debt proceeds, if applicable.</v>
      </c>
      <c r="H216" s="731"/>
      <c r="I216" s="732"/>
      <c r="Z216" s="108"/>
      <c r="AA216" s="108"/>
      <c r="AB216" s="108"/>
      <c r="AC216" s="108"/>
      <c r="AD216" s="108"/>
      <c r="AE216" s="108"/>
      <c r="AF216" s="108"/>
      <c r="AG216" s="108"/>
      <c r="AH216" s="108"/>
      <c r="AI216" s="108"/>
      <c r="AJ216" s="108"/>
      <c r="AK216" s="108"/>
      <c r="AL216" s="108"/>
      <c r="AM216" s="108"/>
      <c r="AN216" s="108"/>
      <c r="AO216" s="108"/>
      <c r="AP216" s="108"/>
      <c r="AQ216" s="108"/>
      <c r="AR216" s="108"/>
    </row>
    <row r="217" spans="1:44" hidden="1" x14ac:dyDescent="0.3">
      <c r="A217" s="108"/>
      <c r="B217" s="864" t="s">
        <v>29</v>
      </c>
      <c r="C217" s="865"/>
      <c r="D217" s="841"/>
      <c r="E217" s="841"/>
      <c r="F217" s="870"/>
      <c r="G217" s="861"/>
      <c r="H217" s="17"/>
      <c r="I217" s="79"/>
      <c r="Z217" s="108"/>
      <c r="AA217" s="108"/>
      <c r="AB217" s="108"/>
      <c r="AC217" s="108"/>
      <c r="AD217" s="108"/>
      <c r="AE217" s="108"/>
      <c r="AF217" s="108"/>
      <c r="AG217" s="108"/>
      <c r="AH217" s="108"/>
      <c r="AI217" s="108"/>
      <c r="AJ217" s="108"/>
      <c r="AK217" s="108"/>
      <c r="AL217" s="108"/>
      <c r="AM217" s="108"/>
      <c r="AN217" s="108"/>
      <c r="AO217" s="108"/>
      <c r="AP217" s="108"/>
      <c r="AQ217" s="108"/>
      <c r="AR217" s="108"/>
    </row>
    <row r="218" spans="1:44" hidden="1" x14ac:dyDescent="0.3">
      <c r="A218" s="108"/>
      <c r="B218" s="559"/>
      <c r="C218" s="559"/>
      <c r="D218" s="756" t="s">
        <v>2</v>
      </c>
      <c r="E218" s="1"/>
      <c r="F218" s="164"/>
      <c r="G218" s="740"/>
      <c r="H218" s="17"/>
      <c r="I218" s="79"/>
      <c r="Z218" s="108"/>
      <c r="AA218" s="108"/>
      <c r="AB218" s="108"/>
      <c r="AC218" s="108"/>
      <c r="AD218" s="108"/>
      <c r="AE218" s="108"/>
      <c r="AF218" s="108"/>
      <c r="AG218" s="108"/>
      <c r="AH218" s="108"/>
      <c r="AI218" s="108"/>
      <c r="AJ218" s="108"/>
      <c r="AK218" s="108"/>
      <c r="AL218" s="108"/>
      <c r="AM218" s="108"/>
      <c r="AN218" s="108"/>
      <c r="AO218" s="108"/>
      <c r="AP218" s="108"/>
      <c r="AQ218" s="108"/>
      <c r="AR218" s="108"/>
    </row>
    <row r="219" spans="1:44" ht="36" hidden="1" customHeight="1" x14ac:dyDescent="0.3">
      <c r="A219" s="108"/>
      <c r="B219" s="559"/>
      <c r="C219" s="559"/>
      <c r="D219" s="670" t="s">
        <v>1220</v>
      </c>
      <c r="E219" s="1"/>
      <c r="F219" s="164"/>
      <c r="G219" s="740"/>
      <c r="H219" s="17"/>
      <c r="I219" s="79"/>
      <c r="Z219" s="108"/>
      <c r="AA219" s="108"/>
      <c r="AB219" s="108"/>
      <c r="AC219" s="108"/>
      <c r="AD219" s="108"/>
      <c r="AE219" s="108"/>
      <c r="AF219" s="108"/>
      <c r="AG219" s="108"/>
      <c r="AH219" s="108"/>
      <c r="AI219" s="108"/>
      <c r="AJ219" s="108"/>
      <c r="AK219" s="108"/>
      <c r="AL219" s="108"/>
      <c r="AM219" s="108"/>
      <c r="AN219" s="108"/>
      <c r="AO219" s="108"/>
      <c r="AP219" s="108"/>
      <c r="AQ219" s="108"/>
      <c r="AR219" s="108"/>
    </row>
    <row r="220" spans="1:44" ht="45.6" hidden="1" customHeight="1" x14ac:dyDescent="0.3">
      <c r="A220" s="108">
        <v>334</v>
      </c>
      <c r="B220" s="4" t="s">
        <v>56</v>
      </c>
      <c r="C220" s="4" t="s">
        <v>173</v>
      </c>
      <c r="D220" s="24" t="s">
        <v>1221</v>
      </c>
      <c r="E220" s="669" t="e">
        <f>HLOOKUP($D$2,'2020 Data(H)'!$C$1:$CZ$426,100,FALSE)</f>
        <v>#N/A</v>
      </c>
      <c r="F220" s="294">
        <v>0</v>
      </c>
      <c r="G220" s="740"/>
      <c r="H220" s="17"/>
      <c r="I220" s="79"/>
      <c r="Z220" s="108"/>
      <c r="AA220" s="108"/>
      <c r="AB220" s="108"/>
      <c r="AC220" s="108"/>
      <c r="AD220" s="108"/>
      <c r="AE220" s="108"/>
      <c r="AF220" s="108"/>
      <c r="AG220" s="108"/>
      <c r="AH220" s="108"/>
      <c r="AI220" s="108"/>
      <c r="AJ220" s="108"/>
      <c r="AK220" s="108"/>
      <c r="AL220" s="108"/>
      <c r="AM220" s="108"/>
      <c r="AN220" s="108"/>
      <c r="AO220" s="108"/>
      <c r="AP220" s="108"/>
      <c r="AQ220" s="108"/>
      <c r="AR220" s="108"/>
    </row>
    <row r="221" spans="1:44" ht="45.6" hidden="1" customHeight="1" x14ac:dyDescent="0.3">
      <c r="A221" s="108">
        <v>373</v>
      </c>
      <c r="B221" s="4" t="s">
        <v>56</v>
      </c>
      <c r="C221" s="4" t="s">
        <v>173</v>
      </c>
      <c r="D221" s="29" t="s">
        <v>172</v>
      </c>
      <c r="E221" s="669" t="e">
        <f>HLOOKUP($D$2,'2020 Data(H)'!$C$1:$CZ$426,133,FALSE)</f>
        <v>#N/A</v>
      </c>
      <c r="F221" s="294">
        <v>0</v>
      </c>
      <c r="G221" s="730">
        <f>IF(F221&lt;0,"Error: Enter as positive.",)</f>
        <v>0</v>
      </c>
      <c r="H221" s="17"/>
      <c r="I221" s="79"/>
      <c r="Z221" s="108"/>
      <c r="AA221" s="108"/>
      <c r="AB221" s="108"/>
      <c r="AC221" s="108"/>
      <c r="AD221" s="108"/>
      <c r="AE221" s="108"/>
      <c r="AF221" s="108"/>
      <c r="AG221" s="108"/>
      <c r="AH221" s="108"/>
      <c r="AI221" s="108"/>
      <c r="AJ221" s="108"/>
      <c r="AK221" s="108"/>
      <c r="AL221" s="108"/>
      <c r="AM221" s="108"/>
      <c r="AN221" s="108"/>
      <c r="AO221" s="108"/>
      <c r="AP221" s="108"/>
      <c r="AQ221" s="108"/>
      <c r="AR221" s="108"/>
    </row>
    <row r="222" spans="1:44" ht="92.25" hidden="1" customHeight="1" x14ac:dyDescent="0.3">
      <c r="A222" s="108">
        <v>987</v>
      </c>
      <c r="B222" s="828" t="s">
        <v>762</v>
      </c>
      <c r="C222" s="828"/>
      <c r="D222" s="757" t="s">
        <v>1022</v>
      </c>
      <c r="E222" s="669" t="s">
        <v>763</v>
      </c>
      <c r="F222" s="294">
        <v>0</v>
      </c>
      <c r="G222" s="758" t="str">
        <f>IF(F222="","If this question is not applicable please place a zero in the cell to the left","")</f>
        <v/>
      </c>
      <c r="H222" s="709"/>
      <c r="I222" s="79"/>
      <c r="Z222" s="108"/>
      <c r="AA222" s="108"/>
      <c r="AB222" s="108"/>
      <c r="AC222" s="108"/>
      <c r="AD222" s="108"/>
      <c r="AE222" s="108"/>
      <c r="AF222" s="108"/>
      <c r="AG222" s="108"/>
      <c r="AH222" s="108"/>
      <c r="AI222" s="108"/>
      <c r="AJ222" s="108"/>
      <c r="AK222" s="108"/>
      <c r="AL222" s="108"/>
      <c r="AM222" s="108"/>
      <c r="AN222" s="108"/>
      <c r="AO222" s="108"/>
      <c r="AP222" s="108"/>
      <c r="AQ222" s="108"/>
      <c r="AR222" s="108"/>
    </row>
    <row r="223" spans="1:44" ht="66.75" hidden="1" customHeight="1" x14ac:dyDescent="0.3">
      <c r="A223" s="108">
        <v>988</v>
      </c>
      <c r="B223" s="828" t="s">
        <v>762</v>
      </c>
      <c r="C223" s="828"/>
      <c r="D223" s="757" t="s">
        <v>1019</v>
      </c>
      <c r="E223" s="669" t="s">
        <v>763</v>
      </c>
      <c r="F223" s="294"/>
      <c r="G223" s="730"/>
      <c r="H223" s="17"/>
      <c r="I223" s="79"/>
      <c r="Z223" s="108"/>
      <c r="AA223" s="108"/>
      <c r="AB223" s="108"/>
      <c r="AC223" s="108"/>
      <c r="AD223" s="108"/>
      <c r="AE223" s="108"/>
      <c r="AF223" s="108"/>
      <c r="AG223" s="108"/>
      <c r="AH223" s="108"/>
      <c r="AI223" s="108"/>
      <c r="AJ223" s="108"/>
      <c r="AK223" s="108"/>
      <c r="AL223" s="108"/>
      <c r="AM223" s="108"/>
      <c r="AN223" s="108"/>
      <c r="AO223" s="108"/>
      <c r="AP223" s="108"/>
      <c r="AQ223" s="108"/>
      <c r="AR223" s="108"/>
    </row>
    <row r="224" spans="1:44" ht="90" hidden="1" customHeight="1" x14ac:dyDescent="0.3">
      <c r="A224" s="108">
        <v>989</v>
      </c>
      <c r="B224" s="828" t="s">
        <v>762</v>
      </c>
      <c r="C224" s="828"/>
      <c r="D224" s="757" t="s">
        <v>1276</v>
      </c>
      <c r="E224" s="669" t="s">
        <v>792</v>
      </c>
      <c r="F224" s="294"/>
      <c r="G224" s="730"/>
      <c r="H224" s="17"/>
      <c r="I224" s="79"/>
      <c r="Z224" s="108"/>
      <c r="AA224" s="108"/>
      <c r="AB224" s="108"/>
      <c r="AC224" s="108"/>
      <c r="AD224" s="108"/>
      <c r="AE224" s="108"/>
      <c r="AF224" s="108"/>
      <c r="AG224" s="108"/>
      <c r="AH224" s="108"/>
      <c r="AI224" s="108"/>
      <c r="AJ224" s="108"/>
      <c r="AK224" s="108"/>
      <c r="AL224" s="108"/>
      <c r="AM224" s="108"/>
      <c r="AN224" s="108"/>
      <c r="AO224" s="108"/>
      <c r="AP224" s="108"/>
      <c r="AQ224" s="108"/>
      <c r="AR224" s="108"/>
    </row>
    <row r="225" spans="1:44" hidden="1" x14ac:dyDescent="0.3">
      <c r="A225" s="108"/>
      <c r="B225" s="875"/>
      <c r="C225" s="875"/>
      <c r="D225" s="876"/>
      <c r="E225" s="877"/>
      <c r="F225" s="878"/>
      <c r="G225" s="879"/>
      <c r="H225" s="17"/>
      <c r="I225" s="79"/>
      <c r="Z225" s="108"/>
      <c r="AA225" s="108"/>
      <c r="AB225" s="108"/>
      <c r="AC225" s="108"/>
      <c r="AD225" s="108"/>
      <c r="AE225" s="108"/>
      <c r="AF225" s="108"/>
      <c r="AG225" s="108"/>
      <c r="AH225" s="108"/>
      <c r="AI225" s="108"/>
      <c r="AJ225" s="108"/>
      <c r="AK225" s="108"/>
      <c r="AL225" s="108"/>
      <c r="AM225" s="108"/>
      <c r="AN225" s="108"/>
      <c r="AO225" s="108"/>
      <c r="AP225" s="108"/>
      <c r="AQ225" s="108"/>
      <c r="AR225" s="108"/>
    </row>
    <row r="226" spans="1:44" ht="108" hidden="1" customHeight="1" x14ac:dyDescent="0.3">
      <c r="A226" s="108"/>
      <c r="B226" s="559"/>
      <c r="C226" s="559"/>
      <c r="D226" s="759" t="s">
        <v>1222</v>
      </c>
      <c r="E226" s="1"/>
      <c r="F226" s="374"/>
      <c r="G226" s="740"/>
      <c r="H226" s="17"/>
      <c r="I226" s="79"/>
      <c r="Z226" s="108"/>
      <c r="AA226" s="108"/>
      <c r="AB226" s="108"/>
      <c r="AC226" s="108"/>
      <c r="AD226" s="108"/>
      <c r="AE226" s="108"/>
      <c r="AF226" s="108"/>
      <c r="AG226" s="108"/>
      <c r="AH226" s="108"/>
      <c r="AI226" s="108"/>
      <c r="AJ226" s="108"/>
      <c r="AK226" s="108"/>
      <c r="AL226" s="108"/>
      <c r="AM226" s="108"/>
      <c r="AN226" s="108"/>
      <c r="AO226" s="108"/>
      <c r="AP226" s="108"/>
      <c r="AQ226" s="108"/>
      <c r="AR226" s="108"/>
    </row>
    <row r="227" spans="1:44" ht="48.75" hidden="1" customHeight="1" x14ac:dyDescent="0.3">
      <c r="A227" s="108"/>
      <c r="B227" s="559"/>
      <c r="C227" s="559"/>
      <c r="D227" s="24" t="s">
        <v>1223</v>
      </c>
      <c r="E227" s="1"/>
      <c r="F227" s="374"/>
      <c r="G227" s="740"/>
      <c r="H227" s="17"/>
      <c r="I227" s="79"/>
      <c r="Z227" s="108"/>
      <c r="AA227" s="108"/>
      <c r="AB227" s="108"/>
      <c r="AC227" s="108"/>
      <c r="AD227" s="108"/>
      <c r="AE227" s="108"/>
      <c r="AF227" s="108"/>
      <c r="AG227" s="108"/>
      <c r="AH227" s="108"/>
      <c r="AI227" s="108"/>
      <c r="AJ227" s="108"/>
      <c r="AK227" s="108"/>
      <c r="AL227" s="108"/>
      <c r="AM227" s="108"/>
      <c r="AN227" s="108"/>
      <c r="AO227" s="108"/>
      <c r="AP227" s="108"/>
      <c r="AQ227" s="108"/>
      <c r="AR227" s="108"/>
    </row>
    <row r="228" spans="1:44" ht="51.75" hidden="1" customHeight="1" x14ac:dyDescent="0.3">
      <c r="A228" s="108">
        <v>327</v>
      </c>
      <c r="B228" s="671" t="s">
        <v>37</v>
      </c>
      <c r="C228" s="671" t="s">
        <v>174</v>
      </c>
      <c r="D228" s="760" t="s">
        <v>1224</v>
      </c>
      <c r="E228" s="669" t="e">
        <f>HLOOKUP($D$2,'2020 Data(H)'!$C$1:$CZ$426,94,FALSE)</f>
        <v>#N/A</v>
      </c>
      <c r="F228" s="274">
        <v>0</v>
      </c>
      <c r="G228" s="740"/>
      <c r="H228" s="17"/>
      <c r="I228" s="732"/>
      <c r="Z228" s="108"/>
      <c r="AA228" s="108"/>
      <c r="AB228" s="108"/>
      <c r="AC228" s="108"/>
      <c r="AD228" s="108"/>
      <c r="AE228" s="108"/>
      <c r="AF228" s="108"/>
      <c r="AG228" s="108"/>
      <c r="AH228" s="108"/>
      <c r="AI228" s="108"/>
      <c r="AJ228" s="108"/>
      <c r="AK228" s="108"/>
      <c r="AL228" s="108"/>
      <c r="AM228" s="108"/>
      <c r="AN228" s="108"/>
      <c r="AO228" s="108"/>
      <c r="AP228" s="108"/>
      <c r="AQ228" s="108"/>
      <c r="AR228" s="108"/>
    </row>
    <row r="229" spans="1:44" ht="51.75" hidden="1" customHeight="1" x14ac:dyDescent="0.3">
      <c r="A229" s="108">
        <v>328</v>
      </c>
      <c r="B229" s="671" t="s">
        <v>37</v>
      </c>
      <c r="C229" s="671" t="s">
        <v>174</v>
      </c>
      <c r="D229" s="30" t="s">
        <v>7</v>
      </c>
      <c r="E229" s="669" t="e">
        <f>HLOOKUP($D$2,'2020 Data(H)'!$C$1:$CZ$426,95,FALSE)</f>
        <v>#N/A</v>
      </c>
      <c r="F229" s="274">
        <v>0</v>
      </c>
      <c r="G229" s="740"/>
      <c r="H229" s="17"/>
      <c r="I229" s="732"/>
      <c r="Z229" s="108"/>
      <c r="AA229" s="108"/>
      <c r="AB229" s="108"/>
      <c r="AC229" s="108"/>
      <c r="AD229" s="108"/>
      <c r="AE229" s="108"/>
      <c r="AF229" s="108"/>
      <c r="AG229" s="108"/>
      <c r="AH229" s="108"/>
      <c r="AI229" s="108"/>
      <c r="AJ229" s="108"/>
      <c r="AK229" s="108"/>
      <c r="AL229" s="108"/>
      <c r="AM229" s="108"/>
      <c r="AN229" s="108"/>
      <c r="AO229" s="108"/>
      <c r="AP229" s="108"/>
      <c r="AQ229" s="108"/>
      <c r="AR229" s="108"/>
    </row>
    <row r="230" spans="1:44" ht="42" hidden="1" customHeight="1" x14ac:dyDescent="0.3">
      <c r="A230" s="108"/>
      <c r="B230" s="559"/>
      <c r="C230" s="559"/>
      <c r="D230" s="31" t="s">
        <v>1225</v>
      </c>
      <c r="E230" s="101" t="e">
        <f>SUM(E228:E229)</f>
        <v>#N/A</v>
      </c>
      <c r="F230" s="101">
        <f>SUM(F228:F229)</f>
        <v>0</v>
      </c>
      <c r="G230" s="740"/>
      <c r="H230" s="17"/>
      <c r="I230" s="79"/>
      <c r="Z230" s="108"/>
      <c r="AA230" s="108"/>
      <c r="AB230" s="108"/>
      <c r="AC230" s="108"/>
      <c r="AD230" s="108"/>
      <c r="AE230" s="108"/>
      <c r="AF230" s="108"/>
      <c r="AG230" s="108"/>
      <c r="AH230" s="108"/>
      <c r="AI230" s="108"/>
      <c r="AJ230" s="108"/>
      <c r="AK230" s="108"/>
      <c r="AL230" s="108"/>
      <c r="AM230" s="108"/>
      <c r="AN230" s="108"/>
      <c r="AO230" s="108"/>
      <c r="AP230" s="108"/>
      <c r="AQ230" s="108"/>
      <c r="AR230" s="108"/>
    </row>
    <row r="231" spans="1:44" ht="28.8" hidden="1" x14ac:dyDescent="0.3">
      <c r="A231" s="108"/>
      <c r="B231" s="559"/>
      <c r="C231" s="559"/>
      <c r="D231" s="24" t="s">
        <v>1226</v>
      </c>
      <c r="E231" s="1"/>
      <c r="F231" s="374"/>
      <c r="G231" s="740"/>
      <c r="H231" s="17"/>
      <c r="I231" s="79"/>
      <c r="Z231" s="108"/>
      <c r="AA231" s="108"/>
      <c r="AB231" s="108"/>
      <c r="AC231" s="108"/>
      <c r="AD231" s="108"/>
      <c r="AE231" s="108"/>
      <c r="AF231" s="108"/>
      <c r="AG231" s="108"/>
      <c r="AH231" s="108"/>
      <c r="AI231" s="108"/>
      <c r="AJ231" s="108"/>
      <c r="AK231" s="108"/>
      <c r="AL231" s="108"/>
      <c r="AM231" s="108"/>
      <c r="AN231" s="108"/>
      <c r="AO231" s="108"/>
      <c r="AP231" s="108"/>
      <c r="AQ231" s="108"/>
      <c r="AR231" s="108"/>
    </row>
    <row r="232" spans="1:44" ht="24" hidden="1" customHeight="1" x14ac:dyDescent="0.3">
      <c r="A232" s="108"/>
      <c r="B232" s="559"/>
      <c r="C232" s="559"/>
      <c r="D232" s="28" t="s">
        <v>9</v>
      </c>
      <c r="F232" s="761"/>
      <c r="G232" s="740"/>
      <c r="H232" s="17"/>
      <c r="I232" s="79"/>
      <c r="Z232" s="108"/>
      <c r="AA232" s="108"/>
      <c r="AB232" s="108"/>
      <c r="AC232" s="108"/>
      <c r="AD232" s="108"/>
      <c r="AE232" s="108"/>
      <c r="AF232" s="108"/>
      <c r="AG232" s="108"/>
      <c r="AH232" s="108"/>
      <c r="AI232" s="108"/>
      <c r="AJ232" s="108"/>
      <c r="AK232" s="108"/>
      <c r="AL232" s="108"/>
      <c r="AM232" s="108"/>
      <c r="AN232" s="108"/>
      <c r="AO232" s="108"/>
      <c r="AP232" s="108"/>
      <c r="AQ232" s="108"/>
      <c r="AR232" s="108"/>
    </row>
    <row r="233" spans="1:44" ht="52.5" hidden="1" customHeight="1" x14ac:dyDescent="0.3">
      <c r="A233" s="108">
        <v>515</v>
      </c>
      <c r="B233" s="671" t="s">
        <v>314</v>
      </c>
      <c r="C233" s="671" t="s">
        <v>175</v>
      </c>
      <c r="D233" s="32" t="s">
        <v>3</v>
      </c>
      <c r="E233" s="669" t="e">
        <f>HLOOKUP($D$2,'2020 Data(H)'!$C$1:$CZ$426,165,FALSE)</f>
        <v>#N/A</v>
      </c>
      <c r="F233" s="294">
        <v>0</v>
      </c>
      <c r="G233" s="730"/>
      <c r="H233" s="17"/>
      <c r="I233" s="79"/>
      <c r="Z233" s="108"/>
      <c r="AA233" s="108"/>
      <c r="AB233" s="108"/>
      <c r="AC233" s="108"/>
      <c r="AD233" s="108"/>
      <c r="AE233" s="108"/>
      <c r="AF233" s="108"/>
      <c r="AG233" s="108"/>
      <c r="AH233" s="108"/>
      <c r="AI233" s="108"/>
      <c r="AJ233" s="108"/>
      <c r="AK233" s="108"/>
      <c r="AL233" s="108"/>
      <c r="AM233" s="108"/>
      <c r="AN233" s="108"/>
      <c r="AO233" s="108"/>
      <c r="AP233" s="108"/>
      <c r="AQ233" s="108"/>
      <c r="AR233" s="108"/>
    </row>
    <row r="234" spans="1:44" ht="57" hidden="1" customHeight="1" x14ac:dyDescent="0.3">
      <c r="A234" s="108">
        <v>516</v>
      </c>
      <c r="B234" s="671" t="s">
        <v>314</v>
      </c>
      <c r="C234" s="671" t="s">
        <v>175</v>
      </c>
      <c r="D234" s="32" t="s">
        <v>4</v>
      </c>
      <c r="E234" s="669" t="e">
        <f>HLOOKUP($D$2,'2020 Data(H)'!$C$1:$CZ$426,166,FALSE)</f>
        <v>#N/A</v>
      </c>
      <c r="F234" s="294">
        <v>0</v>
      </c>
      <c r="G234" s="730"/>
      <c r="H234" s="17"/>
      <c r="I234" s="79"/>
      <c r="Z234" s="108"/>
      <c r="AA234" s="108"/>
      <c r="AB234" s="108"/>
      <c r="AC234" s="108"/>
      <c r="AD234" s="108"/>
      <c r="AE234" s="108"/>
      <c r="AF234" s="108"/>
      <c r="AG234" s="108"/>
      <c r="AH234" s="108"/>
      <c r="AI234" s="108"/>
      <c r="AJ234" s="108"/>
      <c r="AK234" s="108"/>
      <c r="AL234" s="108"/>
      <c r="AM234" s="108"/>
      <c r="AN234" s="108"/>
      <c r="AO234" s="108"/>
      <c r="AP234" s="108"/>
      <c r="AQ234" s="108"/>
      <c r="AR234" s="108"/>
    </row>
    <row r="235" spans="1:44" ht="60.75" hidden="1" customHeight="1" x14ac:dyDescent="0.3">
      <c r="A235" s="108">
        <v>517</v>
      </c>
      <c r="B235" s="671" t="s">
        <v>314</v>
      </c>
      <c r="C235" s="671" t="s">
        <v>175</v>
      </c>
      <c r="D235" s="32" t="s">
        <v>5</v>
      </c>
      <c r="E235" s="669" t="e">
        <f>HLOOKUP($D$2,'2020 Data(H)'!$C$1:$CZ$426,167,FALSE)</f>
        <v>#N/A</v>
      </c>
      <c r="F235" s="294">
        <v>0</v>
      </c>
      <c r="G235" s="730"/>
      <c r="H235" s="17"/>
      <c r="I235" s="79"/>
      <c r="Z235" s="108"/>
      <c r="AA235" s="108"/>
      <c r="AB235" s="108"/>
      <c r="AC235" s="108"/>
      <c r="AD235" s="108"/>
      <c r="AE235" s="108"/>
      <c r="AF235" s="108"/>
      <c r="AG235" s="108"/>
      <c r="AH235" s="108"/>
      <c r="AI235" s="108"/>
      <c r="AJ235" s="108"/>
      <c r="AK235" s="108"/>
      <c r="AL235" s="108"/>
      <c r="AM235" s="108"/>
      <c r="AN235" s="108"/>
      <c r="AO235" s="108"/>
      <c r="AP235" s="108"/>
      <c r="AQ235" s="108"/>
      <c r="AR235" s="108"/>
    </row>
    <row r="236" spans="1:44" ht="66" hidden="1" customHeight="1" x14ac:dyDescent="0.3">
      <c r="A236" s="108">
        <v>518</v>
      </c>
      <c r="B236" s="671" t="s">
        <v>314</v>
      </c>
      <c r="C236" s="671" t="s">
        <v>175</v>
      </c>
      <c r="D236" s="32" t="s">
        <v>39</v>
      </c>
      <c r="E236" s="669" t="e">
        <f>HLOOKUP($D$2,'2020 Data(H)'!$C$1:$CZ$426,168,FALSE)</f>
        <v>#N/A</v>
      </c>
      <c r="F236" s="294">
        <v>0</v>
      </c>
      <c r="G236" s="730"/>
      <c r="H236" s="17"/>
      <c r="I236" s="79"/>
      <c r="Z236" s="108"/>
      <c r="AA236" s="108"/>
      <c r="AB236" s="108"/>
      <c r="AC236" s="108"/>
      <c r="AD236" s="108"/>
      <c r="AE236" s="108"/>
      <c r="AF236" s="108"/>
      <c r="AG236" s="108"/>
      <c r="AH236" s="108"/>
      <c r="AI236" s="108"/>
      <c r="AJ236" s="108"/>
      <c r="AK236" s="108"/>
      <c r="AL236" s="108"/>
      <c r="AM236" s="108"/>
      <c r="AN236" s="108"/>
      <c r="AO236" s="108"/>
      <c r="AP236" s="108"/>
      <c r="AQ236" s="108"/>
      <c r="AR236" s="108"/>
    </row>
    <row r="237" spans="1:44" ht="51" hidden="1" customHeight="1" x14ac:dyDescent="0.3">
      <c r="A237" s="298"/>
      <c r="B237" s="559"/>
      <c r="C237" s="559"/>
      <c r="D237" s="762" t="s">
        <v>1227</v>
      </c>
      <c r="E237" s="101" t="e">
        <f>SUM(E233:E236)</f>
        <v>#N/A</v>
      </c>
      <c r="F237" s="101">
        <f>SUM(F233:F236)</f>
        <v>0</v>
      </c>
      <c r="G237" s="740"/>
      <c r="H237" s="17"/>
      <c r="I237" s="79"/>
      <c r="Z237" s="298"/>
      <c r="AA237" s="298"/>
      <c r="AB237" s="298"/>
      <c r="AC237" s="298"/>
      <c r="AD237" s="298"/>
      <c r="AE237" s="298"/>
      <c r="AF237" s="298"/>
      <c r="AG237" s="298"/>
      <c r="AH237" s="298"/>
      <c r="AI237" s="298"/>
      <c r="AJ237" s="298"/>
      <c r="AK237" s="298"/>
      <c r="AL237" s="298"/>
      <c r="AM237" s="298"/>
      <c r="AN237" s="298"/>
      <c r="AO237" s="298"/>
      <c r="AP237" s="298"/>
      <c r="AQ237" s="298"/>
      <c r="AR237" s="298"/>
    </row>
    <row r="238" spans="1:44" ht="30.75" hidden="1" customHeight="1" x14ac:dyDescent="0.3">
      <c r="A238" s="108"/>
      <c r="B238" s="559"/>
      <c r="C238" s="559"/>
      <c r="D238" s="28" t="s">
        <v>48</v>
      </c>
      <c r="E238" s="1"/>
      <c r="F238" s="374"/>
      <c r="G238" s="740"/>
      <c r="H238" s="17"/>
      <c r="I238" s="79"/>
      <c r="Z238" s="108"/>
      <c r="AA238" s="108"/>
      <c r="AB238" s="108"/>
      <c r="AC238" s="108"/>
      <c r="AD238" s="108"/>
      <c r="AE238" s="108"/>
      <c r="AF238" s="108"/>
      <c r="AG238" s="108"/>
      <c r="AH238" s="108"/>
      <c r="AI238" s="108"/>
      <c r="AJ238" s="108"/>
      <c r="AK238" s="108"/>
      <c r="AL238" s="108"/>
      <c r="AM238" s="108"/>
      <c r="AN238" s="108"/>
      <c r="AO238" s="108"/>
      <c r="AP238" s="108"/>
      <c r="AQ238" s="108"/>
      <c r="AR238" s="108"/>
    </row>
    <row r="239" spans="1:44" ht="63" hidden="1" customHeight="1" x14ac:dyDescent="0.3">
      <c r="A239" s="108">
        <v>519</v>
      </c>
      <c r="B239" s="671" t="s">
        <v>37</v>
      </c>
      <c r="C239" s="671" t="s">
        <v>176</v>
      </c>
      <c r="D239" s="32" t="s">
        <v>14</v>
      </c>
      <c r="E239" s="669" t="e">
        <f>HLOOKUP($D$2,'2020 Data(H)'!$C$1:$CZ$426,169,FALSE)</f>
        <v>#N/A</v>
      </c>
      <c r="F239" s="294">
        <v>0</v>
      </c>
      <c r="G239" s="730">
        <f>IF(F239&lt;0,"Error: Enter as positive.",)</f>
        <v>0</v>
      </c>
      <c r="H239" s="17"/>
      <c r="I239" s="79"/>
      <c r="Z239" s="108"/>
      <c r="AA239" s="108"/>
      <c r="AB239" s="108"/>
      <c r="AC239" s="108"/>
      <c r="AD239" s="108"/>
      <c r="AE239" s="108"/>
      <c r="AF239" s="108"/>
      <c r="AG239" s="108"/>
      <c r="AH239" s="108"/>
      <c r="AI239" s="108"/>
      <c r="AJ239" s="108"/>
      <c r="AK239" s="108"/>
      <c r="AL239" s="108"/>
      <c r="AM239" s="108"/>
      <c r="AN239" s="108"/>
      <c r="AO239" s="108"/>
      <c r="AP239" s="108"/>
      <c r="AQ239" s="108"/>
      <c r="AR239" s="108"/>
    </row>
    <row r="240" spans="1:44" ht="69.75" hidden="1" customHeight="1" x14ac:dyDescent="0.3">
      <c r="A240" s="108">
        <v>520</v>
      </c>
      <c r="B240" s="671" t="s">
        <v>37</v>
      </c>
      <c r="C240" s="671" t="s">
        <v>176</v>
      </c>
      <c r="D240" s="32" t="s">
        <v>16</v>
      </c>
      <c r="E240" s="669" t="e">
        <f>HLOOKUP($D$2,'2020 Data(H)'!$C$1:$CZ$426,170,FALSE)</f>
        <v>#N/A</v>
      </c>
      <c r="F240" s="294">
        <v>0</v>
      </c>
      <c r="G240" s="730">
        <f>IF(F240&lt;0,"Error: Enter as positive.",)</f>
        <v>0</v>
      </c>
      <c r="H240" s="17"/>
      <c r="I240" s="79"/>
      <c r="Z240" s="108"/>
      <c r="AA240" s="108"/>
      <c r="AB240" s="108"/>
      <c r="AC240" s="108"/>
      <c r="AD240" s="108"/>
      <c r="AE240" s="108"/>
      <c r="AF240" s="108"/>
      <c r="AG240" s="108"/>
      <c r="AH240" s="108"/>
      <c r="AI240" s="108"/>
      <c r="AJ240" s="108"/>
      <c r="AK240" s="108"/>
      <c r="AL240" s="108"/>
      <c r="AM240" s="108"/>
      <c r="AN240" s="108"/>
      <c r="AO240" s="108"/>
      <c r="AP240" s="108"/>
      <c r="AQ240" s="108"/>
      <c r="AR240" s="108"/>
    </row>
    <row r="241" spans="1:44" ht="72" hidden="1" customHeight="1" x14ac:dyDescent="0.3">
      <c r="A241" s="108">
        <v>521</v>
      </c>
      <c r="B241" s="671" t="s">
        <v>37</v>
      </c>
      <c r="C241" s="671" t="s">
        <v>176</v>
      </c>
      <c r="D241" s="32" t="s">
        <v>18</v>
      </c>
      <c r="E241" s="669" t="e">
        <f>HLOOKUP($D$2,'2020 Data(H)'!$C$1:$CZ$426,171,FALSE)</f>
        <v>#N/A</v>
      </c>
      <c r="F241" s="294">
        <v>0</v>
      </c>
      <c r="G241" s="730">
        <f>IF(F241&lt;0,"Error: Enter as positive.",)</f>
        <v>0</v>
      </c>
      <c r="H241" s="17"/>
      <c r="I241" s="79"/>
      <c r="Z241" s="108"/>
      <c r="AA241" s="108"/>
      <c r="AB241" s="108"/>
      <c r="AC241" s="108"/>
      <c r="AD241" s="108"/>
      <c r="AE241" s="108"/>
      <c r="AF241" s="108"/>
      <c r="AG241" s="108"/>
      <c r="AH241" s="108"/>
      <c r="AI241" s="108"/>
      <c r="AJ241" s="108"/>
      <c r="AK241" s="108"/>
      <c r="AL241" s="108"/>
      <c r="AM241" s="108"/>
      <c r="AN241" s="108"/>
      <c r="AO241" s="108"/>
      <c r="AP241" s="108"/>
      <c r="AQ241" s="108"/>
      <c r="AR241" s="108"/>
    </row>
    <row r="242" spans="1:44" ht="74.25" hidden="1" customHeight="1" x14ac:dyDescent="0.3">
      <c r="A242" s="108">
        <v>522</v>
      </c>
      <c r="B242" s="671" t="s">
        <v>37</v>
      </c>
      <c r="C242" s="671" t="s">
        <v>176</v>
      </c>
      <c r="D242" s="32" t="s">
        <v>40</v>
      </c>
      <c r="E242" s="669" t="e">
        <f>HLOOKUP($D$2,'2020 Data(H)'!$C$1:$CZ$426,172,FALSE)</f>
        <v>#N/A</v>
      </c>
      <c r="F242" s="294">
        <v>0</v>
      </c>
      <c r="G242" s="730">
        <f>IF(F242&lt;0,"Error: Enter as positive.",)</f>
        <v>0</v>
      </c>
      <c r="H242" s="17"/>
      <c r="I242" s="79"/>
      <c r="Z242" s="108"/>
      <c r="AA242" s="108"/>
      <c r="AB242" s="108"/>
      <c r="AC242" s="108"/>
      <c r="AD242" s="108"/>
      <c r="AE242" s="108"/>
      <c r="AF242" s="108"/>
      <c r="AG242" s="108"/>
      <c r="AH242" s="108"/>
      <c r="AI242" s="108"/>
      <c r="AJ242" s="108"/>
      <c r="AK242" s="108"/>
      <c r="AL242" s="108"/>
      <c r="AM242" s="108"/>
      <c r="AN242" s="108"/>
      <c r="AO242" s="108"/>
      <c r="AP242" s="108"/>
      <c r="AQ242" s="108"/>
      <c r="AR242" s="108"/>
    </row>
    <row r="243" spans="1:44" ht="31.5" hidden="1" customHeight="1" x14ac:dyDescent="0.3">
      <c r="A243" s="6"/>
      <c r="B243" s="559"/>
      <c r="C243" s="559"/>
      <c r="D243" s="763" t="s">
        <v>34</v>
      </c>
      <c r="E243" s="101" t="e">
        <f>SUM(E239:E242)</f>
        <v>#N/A</v>
      </c>
      <c r="F243" s="101">
        <f>SUM(F239:F242)</f>
        <v>0</v>
      </c>
      <c r="G243" s="131"/>
      <c r="H243" s="17"/>
      <c r="I243" s="79"/>
      <c r="Z243" s="6"/>
      <c r="AA243" s="6"/>
      <c r="AB243" s="6"/>
      <c r="AC243" s="6"/>
      <c r="AD243" s="6"/>
      <c r="AE243" s="6"/>
      <c r="AF243" s="6"/>
      <c r="AG243" s="6"/>
      <c r="AH243" s="6"/>
      <c r="AI243" s="6"/>
      <c r="AJ243" s="6"/>
      <c r="AK243" s="6"/>
      <c r="AL243" s="6"/>
      <c r="AM243" s="6"/>
      <c r="AN243" s="6"/>
      <c r="AO243" s="6"/>
      <c r="AP243" s="6"/>
      <c r="AQ243" s="6"/>
      <c r="AR243" s="6"/>
    </row>
    <row r="244" spans="1:44" ht="26.25" hidden="1" customHeight="1" x14ac:dyDescent="0.3">
      <c r="A244" s="6"/>
      <c r="B244" s="559"/>
      <c r="C244" s="559"/>
      <c r="D244" s="28" t="s">
        <v>32</v>
      </c>
      <c r="E244" s="6"/>
      <c r="F244" s="764"/>
      <c r="G244" s="131"/>
      <c r="H244" s="17"/>
      <c r="I244" s="79"/>
      <c r="Z244" s="6"/>
      <c r="AA244" s="6"/>
      <c r="AB244" s="6"/>
      <c r="AC244" s="6"/>
      <c r="AD244" s="6"/>
      <c r="AE244" s="6"/>
      <c r="AF244" s="6"/>
      <c r="AG244" s="6"/>
      <c r="AH244" s="6"/>
      <c r="AI244" s="6"/>
      <c r="AJ244" s="6"/>
      <c r="AK244" s="6"/>
      <c r="AL244" s="6"/>
      <c r="AM244" s="6"/>
      <c r="AN244" s="6"/>
      <c r="AO244" s="6"/>
      <c r="AP244" s="6"/>
      <c r="AQ244" s="6"/>
      <c r="AR244" s="6"/>
    </row>
    <row r="245" spans="1:44" ht="89.25" hidden="1" customHeight="1" x14ac:dyDescent="0.3">
      <c r="A245" s="108">
        <v>523</v>
      </c>
      <c r="B245" s="671" t="s">
        <v>314</v>
      </c>
      <c r="C245" s="671" t="s">
        <v>177</v>
      </c>
      <c r="D245" s="32" t="s">
        <v>15</v>
      </c>
      <c r="E245" s="669" t="e">
        <f>HLOOKUP($D$2,'2020 Data(H)'!$C$1:$CZ$426,173,FALSE)</f>
        <v>#N/A</v>
      </c>
      <c r="F245" s="294">
        <v>0</v>
      </c>
      <c r="G245" s="730">
        <f>IF(F245&lt;0,"Error: Enter as positive.",)</f>
        <v>0</v>
      </c>
      <c r="H245" s="17"/>
      <c r="I245" s="79"/>
      <c r="Z245" s="108"/>
      <c r="AA245" s="108"/>
      <c r="AB245" s="108"/>
      <c r="AC245" s="108"/>
      <c r="AD245" s="108"/>
      <c r="AE245" s="108"/>
      <c r="AF245" s="108"/>
      <c r="AG245" s="108"/>
      <c r="AH245" s="108"/>
      <c r="AI245" s="108"/>
      <c r="AJ245" s="108"/>
      <c r="AK245" s="108"/>
      <c r="AL245" s="108"/>
      <c r="AM245" s="108"/>
      <c r="AN245" s="108"/>
      <c r="AO245" s="108"/>
      <c r="AP245" s="108"/>
      <c r="AQ245" s="108"/>
      <c r="AR245" s="108"/>
    </row>
    <row r="246" spans="1:44" ht="75" hidden="1" customHeight="1" x14ac:dyDescent="0.3">
      <c r="A246" s="108">
        <v>524</v>
      </c>
      <c r="B246" s="671" t="s">
        <v>314</v>
      </c>
      <c r="C246" s="671" t="s">
        <v>177</v>
      </c>
      <c r="D246" s="32" t="s">
        <v>17</v>
      </c>
      <c r="E246" s="669" t="e">
        <f>HLOOKUP($D$2,'2020 Data(H)'!$C$1:$CZ$426,174,FALSE)</f>
        <v>#N/A</v>
      </c>
      <c r="F246" s="294">
        <v>0</v>
      </c>
      <c r="G246" s="730">
        <f>IF(F246&lt;0,"Error: Enter as positive.",)</f>
        <v>0</v>
      </c>
      <c r="H246" s="17"/>
      <c r="I246" s="79"/>
      <c r="Z246" s="108"/>
      <c r="AA246" s="108"/>
      <c r="AB246" s="108"/>
      <c r="AC246" s="108"/>
      <c r="AD246" s="108"/>
      <c r="AE246" s="108"/>
      <c r="AF246" s="108"/>
      <c r="AG246" s="108"/>
      <c r="AH246" s="108"/>
      <c r="AI246" s="108"/>
      <c r="AJ246" s="108"/>
      <c r="AK246" s="108"/>
      <c r="AL246" s="108"/>
      <c r="AM246" s="108"/>
      <c r="AN246" s="108"/>
      <c r="AO246" s="108"/>
      <c r="AP246" s="108"/>
      <c r="AQ246" s="108"/>
      <c r="AR246" s="108"/>
    </row>
    <row r="247" spans="1:44" ht="75" hidden="1" customHeight="1" x14ac:dyDescent="0.3">
      <c r="A247" s="108">
        <v>525</v>
      </c>
      <c r="B247" s="671" t="s">
        <v>314</v>
      </c>
      <c r="C247" s="671" t="s">
        <v>177</v>
      </c>
      <c r="D247" s="32" t="s">
        <v>19</v>
      </c>
      <c r="E247" s="669" t="e">
        <f>HLOOKUP($D$2,'2020 Data(H)'!$C$1:$CZ$426,175,FALSE)</f>
        <v>#N/A</v>
      </c>
      <c r="F247" s="294">
        <v>0</v>
      </c>
      <c r="G247" s="730">
        <f>IF(F247&lt;0,"Error: Enter as positive.",)</f>
        <v>0</v>
      </c>
      <c r="H247" s="17"/>
      <c r="I247" s="79"/>
      <c r="Z247" s="108"/>
      <c r="AA247" s="108"/>
      <c r="AB247" s="108"/>
      <c r="AC247" s="108"/>
      <c r="AD247" s="108"/>
      <c r="AE247" s="108"/>
      <c r="AF247" s="108"/>
      <c r="AG247" s="108"/>
      <c r="AH247" s="108"/>
      <c r="AI247" s="108"/>
      <c r="AJ247" s="108"/>
      <c r="AK247" s="108"/>
      <c r="AL247" s="108"/>
      <c r="AM247" s="108"/>
      <c r="AN247" s="108"/>
      <c r="AO247" s="108"/>
      <c r="AP247" s="108"/>
      <c r="AQ247" s="108"/>
      <c r="AR247" s="108"/>
    </row>
    <row r="248" spans="1:44" ht="76.5" hidden="1" customHeight="1" x14ac:dyDescent="0.3">
      <c r="A248" s="108">
        <v>526</v>
      </c>
      <c r="B248" s="671" t="s">
        <v>314</v>
      </c>
      <c r="C248" s="671" t="s">
        <v>177</v>
      </c>
      <c r="D248" s="32" t="s">
        <v>41</v>
      </c>
      <c r="E248" s="669" t="e">
        <f>HLOOKUP($D$2,'2020 Data(H)'!$C$1:$CZ$426,176,FALSE)</f>
        <v>#N/A</v>
      </c>
      <c r="F248" s="294">
        <v>0</v>
      </c>
      <c r="G248" s="730">
        <f>IF(F248&lt;0,"Error: Enter as positive.",)</f>
        <v>0</v>
      </c>
      <c r="H248" s="17"/>
      <c r="I248" s="79"/>
      <c r="Z248" s="108"/>
      <c r="AA248" s="108"/>
      <c r="AB248" s="108"/>
      <c r="AC248" s="108"/>
      <c r="AD248" s="108"/>
      <c r="AE248" s="108"/>
      <c r="AF248" s="108"/>
      <c r="AG248" s="108"/>
      <c r="AH248" s="108"/>
      <c r="AI248" s="108"/>
      <c r="AJ248" s="108"/>
      <c r="AK248" s="108"/>
      <c r="AL248" s="108"/>
      <c r="AM248" s="108"/>
      <c r="AN248" s="108"/>
      <c r="AO248" s="108"/>
      <c r="AP248" s="108"/>
      <c r="AQ248" s="108"/>
      <c r="AR248" s="108"/>
    </row>
    <row r="249" spans="1:44" ht="24.75" hidden="1" customHeight="1" x14ac:dyDescent="0.3">
      <c r="A249" s="108"/>
      <c r="B249" s="830"/>
      <c r="C249" s="830"/>
      <c r="D249" s="763" t="s">
        <v>33</v>
      </c>
      <c r="E249" s="101" t="e">
        <f>SUM(E245:E248)</f>
        <v>#N/A</v>
      </c>
      <c r="F249" s="101">
        <f>SUM(F245:F248)</f>
        <v>0</v>
      </c>
      <c r="G249" s="740"/>
      <c r="H249" s="17"/>
      <c r="I249" s="79"/>
      <c r="Z249" s="108"/>
      <c r="AA249" s="108"/>
      <c r="AB249" s="108"/>
      <c r="AC249" s="108"/>
      <c r="AD249" s="108"/>
      <c r="AE249" s="108"/>
      <c r="AF249" s="108"/>
      <c r="AG249" s="108"/>
      <c r="AH249" s="108"/>
      <c r="AI249" s="108"/>
      <c r="AJ249" s="108"/>
      <c r="AK249" s="108"/>
      <c r="AL249" s="108"/>
      <c r="AM249" s="108"/>
      <c r="AN249" s="108"/>
      <c r="AO249" s="108"/>
      <c r="AP249" s="108"/>
      <c r="AQ249" s="108"/>
      <c r="AR249" s="108"/>
    </row>
    <row r="250" spans="1:44" ht="61.5" hidden="1" customHeight="1" x14ac:dyDescent="0.3">
      <c r="A250" s="108"/>
      <c r="B250" s="830"/>
      <c r="C250" s="830"/>
      <c r="D250" s="765" t="s">
        <v>35</v>
      </c>
      <c r="E250" s="101" t="e">
        <f>E230+E237-E249</f>
        <v>#N/A</v>
      </c>
      <c r="F250" s="101">
        <f>F230+F237-F249</f>
        <v>0</v>
      </c>
      <c r="G250" s="740"/>
      <c r="H250" s="17"/>
      <c r="I250" s="79"/>
      <c r="J250" s="575"/>
      <c r="Z250" s="108"/>
      <c r="AA250" s="108"/>
      <c r="AB250" s="108"/>
      <c r="AC250" s="108"/>
      <c r="AD250" s="108"/>
      <c r="AE250" s="108"/>
      <c r="AF250" s="108"/>
      <c r="AG250" s="108"/>
      <c r="AH250" s="108"/>
      <c r="AI250" s="108"/>
      <c r="AJ250" s="108"/>
      <c r="AK250" s="108"/>
      <c r="AL250" s="108"/>
      <c r="AM250" s="108"/>
      <c r="AN250" s="108"/>
      <c r="AO250" s="108"/>
      <c r="AP250" s="108"/>
      <c r="AQ250" s="108"/>
      <c r="AR250" s="108"/>
    </row>
    <row r="251" spans="1:44" ht="21.6" hidden="1" customHeight="1" x14ac:dyDescent="0.3">
      <c r="A251" s="108"/>
      <c r="B251" s="559"/>
      <c r="C251" s="559"/>
      <c r="D251" s="756"/>
      <c r="E251" s="1"/>
      <c r="F251" s="374"/>
      <c r="G251" s="740"/>
      <c r="H251" s="17"/>
      <c r="I251" s="79"/>
      <c r="J251" s="575"/>
      <c r="Z251" s="108"/>
      <c r="AA251" s="108"/>
      <c r="AB251" s="108"/>
      <c r="AC251" s="108"/>
      <c r="AD251" s="108"/>
      <c r="AE251" s="108"/>
      <c r="AF251" s="108"/>
      <c r="AG251" s="108"/>
      <c r="AH251" s="108"/>
      <c r="AI251" s="108"/>
      <c r="AJ251" s="108"/>
      <c r="AK251" s="108"/>
      <c r="AL251" s="108"/>
      <c r="AM251" s="108"/>
      <c r="AN251" s="108"/>
      <c r="AO251" s="108"/>
      <c r="AP251" s="108"/>
      <c r="AQ251" s="108"/>
      <c r="AR251" s="108"/>
    </row>
    <row r="252" spans="1:44" ht="34.5" hidden="1" customHeight="1" x14ac:dyDescent="0.3">
      <c r="A252" s="108"/>
      <c r="B252" s="875"/>
      <c r="C252" s="875"/>
      <c r="D252" s="866" t="s">
        <v>8</v>
      </c>
      <c r="E252" s="877"/>
      <c r="F252" s="878"/>
      <c r="G252" s="879"/>
      <c r="H252" s="17"/>
      <c r="I252" s="79"/>
      <c r="Z252" s="108"/>
      <c r="AA252" s="108"/>
      <c r="AB252" s="108"/>
      <c r="AC252" s="108"/>
      <c r="AD252" s="108"/>
      <c r="AE252" s="108"/>
      <c r="AF252" s="108"/>
      <c r="AG252" s="108"/>
      <c r="AH252" s="108"/>
      <c r="AI252" s="108"/>
      <c r="AJ252" s="108"/>
      <c r="AK252" s="108"/>
      <c r="AL252" s="108"/>
      <c r="AM252" s="108"/>
      <c r="AN252" s="108"/>
      <c r="AO252" s="108"/>
      <c r="AP252" s="108"/>
      <c r="AQ252" s="108"/>
      <c r="AR252" s="108"/>
    </row>
    <row r="253" spans="1:44" ht="55.5" hidden="1" customHeight="1" x14ac:dyDescent="0.3">
      <c r="A253" s="108">
        <v>527</v>
      </c>
      <c r="B253" s="671" t="s">
        <v>58</v>
      </c>
      <c r="C253" s="671" t="s">
        <v>178</v>
      </c>
      <c r="D253" s="29" t="s">
        <v>1228</v>
      </c>
      <c r="E253" s="669" t="e">
        <f>HLOOKUP($D$2,'2020 Data(H)'!$C$1:$CZ$426,177,FALSE)</f>
        <v>#N/A</v>
      </c>
      <c r="F253" s="294">
        <v>0</v>
      </c>
      <c r="G253" s="740"/>
      <c r="H253" s="17"/>
      <c r="I253" s="732"/>
      <c r="Z253" s="108"/>
      <c r="AA253" s="108"/>
      <c r="AB253" s="108"/>
      <c r="AC253" s="108"/>
      <c r="AD253" s="108"/>
      <c r="AE253" s="108"/>
      <c r="AF253" s="108"/>
      <c r="AG253" s="108"/>
      <c r="AH253" s="108"/>
      <c r="AI253" s="108"/>
      <c r="AJ253" s="108"/>
      <c r="AK253" s="108"/>
      <c r="AL253" s="108"/>
      <c r="AM253" s="108"/>
      <c r="AN253" s="108"/>
      <c r="AO253" s="108"/>
      <c r="AP253" s="108"/>
      <c r="AQ253" s="108"/>
      <c r="AR253" s="108"/>
    </row>
    <row r="254" spans="1:44" ht="55.5" hidden="1" customHeight="1" x14ac:dyDescent="0.3">
      <c r="A254" s="108">
        <v>356</v>
      </c>
      <c r="B254" s="671" t="s">
        <v>66</v>
      </c>
      <c r="C254" s="671" t="s">
        <v>178</v>
      </c>
      <c r="D254" s="107" t="s">
        <v>20</v>
      </c>
      <c r="E254" s="669" t="e">
        <f>HLOOKUP($D$2,'2020 Data(H)'!$C$1:$CZ$426,118,FALSE)</f>
        <v>#N/A</v>
      </c>
      <c r="F254" s="294">
        <v>0</v>
      </c>
      <c r="G254" s="740"/>
      <c r="H254" s="17"/>
      <c r="I254" s="732"/>
      <c r="Z254" s="108"/>
      <c r="AA254" s="108"/>
      <c r="AB254" s="108"/>
      <c r="AC254" s="108"/>
      <c r="AD254" s="108"/>
      <c r="AE254" s="108"/>
      <c r="AF254" s="108"/>
      <c r="AG254" s="108"/>
      <c r="AH254" s="108"/>
      <c r="AI254" s="108"/>
      <c r="AJ254" s="108"/>
      <c r="AK254" s="108"/>
      <c r="AL254" s="108"/>
      <c r="AM254" s="108"/>
      <c r="AN254" s="108"/>
      <c r="AO254" s="108"/>
      <c r="AP254" s="108"/>
      <c r="AQ254" s="108"/>
      <c r="AR254" s="108"/>
    </row>
    <row r="255" spans="1:44" ht="55.5" hidden="1" customHeight="1" x14ac:dyDescent="0.3">
      <c r="A255" s="108">
        <v>357</v>
      </c>
      <c r="B255" s="671" t="s">
        <v>56</v>
      </c>
      <c r="C255" s="671" t="s">
        <v>179</v>
      </c>
      <c r="D255" s="107" t="s">
        <v>21</v>
      </c>
      <c r="E255" s="669" t="e">
        <f>HLOOKUP($D$2,'2020 Data(H)'!$C$1:$CZ$426,119,FALSE)</f>
        <v>#N/A</v>
      </c>
      <c r="F255" s="294">
        <v>0</v>
      </c>
      <c r="G255" s="730">
        <f>IF(F255&lt;0,"Error: Enter as positive.",)</f>
        <v>0</v>
      </c>
      <c r="H255" s="17"/>
      <c r="I255" s="732"/>
      <c r="Z255" s="108"/>
      <c r="AA255" s="108"/>
      <c r="AB255" s="108"/>
      <c r="AC255" s="108"/>
      <c r="AD255" s="108"/>
      <c r="AE255" s="108"/>
      <c r="AF255" s="108"/>
      <c r="AG255" s="108"/>
      <c r="AH255" s="108"/>
      <c r="AI255" s="108"/>
      <c r="AJ255" s="108"/>
      <c r="AK255" s="108"/>
      <c r="AL255" s="108"/>
      <c r="AM255" s="108"/>
      <c r="AN255" s="108"/>
      <c r="AO255" s="108"/>
      <c r="AP255" s="108"/>
      <c r="AQ255" s="108"/>
      <c r="AR255" s="108"/>
    </row>
    <row r="256" spans="1:44" s="18" customFormat="1" ht="35.25" hidden="1" customHeight="1" x14ac:dyDescent="0.3">
      <c r="A256" s="108"/>
      <c r="B256" s="864" t="s">
        <v>10</v>
      </c>
      <c r="C256" s="865"/>
      <c r="D256" s="840"/>
      <c r="E256" s="841"/>
      <c r="F256" s="880"/>
      <c r="G256" s="861"/>
      <c r="H256" s="17"/>
      <c r="I256" s="79"/>
      <c r="N256" s="296"/>
      <c r="Z256" s="108"/>
      <c r="AA256" s="108"/>
      <c r="AB256" s="108"/>
      <c r="AC256" s="108"/>
      <c r="AD256" s="108"/>
      <c r="AE256" s="108"/>
      <c r="AF256" s="108"/>
      <c r="AG256" s="108"/>
      <c r="AH256" s="108"/>
      <c r="AI256" s="108"/>
      <c r="AJ256" s="108"/>
      <c r="AK256" s="108"/>
      <c r="AL256" s="108"/>
      <c r="AM256" s="108"/>
      <c r="AN256" s="108"/>
      <c r="AO256" s="108"/>
      <c r="AP256" s="108"/>
      <c r="AQ256" s="108"/>
      <c r="AR256" s="108"/>
    </row>
    <row r="257" spans="1:1881" s="18" customFormat="1" ht="273.75" hidden="1" customHeight="1" x14ac:dyDescent="0.3">
      <c r="A257" s="108">
        <v>337</v>
      </c>
      <c r="B257" s="4" t="s">
        <v>56</v>
      </c>
      <c r="C257" s="4" t="s">
        <v>1229</v>
      </c>
      <c r="D257" s="24" t="s">
        <v>1024</v>
      </c>
      <c r="E257" s="669" t="e">
        <f>HLOOKUP($D$2,'2020 Data(H)'!$C$1:$CZ$426,103,FALSE)</f>
        <v>#N/A</v>
      </c>
      <c r="F257" s="294">
        <v>0</v>
      </c>
      <c r="G257" s="730">
        <f>IF(F257&lt;0,"Error: Enter as positive.",)</f>
        <v>0</v>
      </c>
      <c r="H257" s="17"/>
      <c r="I257" s="79"/>
      <c r="N257" s="296"/>
      <c r="Z257" s="108"/>
      <c r="AA257" s="108"/>
      <c r="AB257" s="108"/>
      <c r="AC257" s="108"/>
      <c r="AD257" s="108"/>
      <c r="AE257" s="108"/>
      <c r="AF257" s="108"/>
      <c r="AG257" s="108"/>
      <c r="AH257" s="108"/>
      <c r="AI257" s="108"/>
      <c r="AJ257" s="108"/>
      <c r="AK257" s="108"/>
      <c r="AL257" s="108"/>
      <c r="AM257" s="108"/>
      <c r="AN257" s="108"/>
      <c r="AO257" s="108"/>
      <c r="AP257" s="108"/>
      <c r="AQ257" s="108"/>
      <c r="AR257" s="108"/>
    </row>
    <row r="258" spans="1:1881" s="18" customFormat="1" ht="81.75" hidden="1" customHeight="1" x14ac:dyDescent="0.3">
      <c r="A258" s="108">
        <v>343</v>
      </c>
      <c r="B258" s="4" t="s">
        <v>56</v>
      </c>
      <c r="C258" s="4" t="s">
        <v>401</v>
      </c>
      <c r="D258" s="29" t="s">
        <v>1230</v>
      </c>
      <c r="E258" s="669" t="e">
        <f>HLOOKUP($D$2,'2020 Data(H)'!$C$1:$CZ$426,109,FALSE)</f>
        <v>#N/A</v>
      </c>
      <c r="F258" s="294">
        <v>0</v>
      </c>
      <c r="G258" s="730">
        <f>IF(F258&lt;0,"Error: Enter as positive.",)</f>
        <v>0</v>
      </c>
      <c r="H258" s="17"/>
      <c r="I258" s="79"/>
      <c r="M258" s="98"/>
      <c r="N258" s="296"/>
      <c r="Z258" s="108"/>
      <c r="AA258" s="108"/>
      <c r="AB258" s="108"/>
      <c r="AC258" s="108"/>
      <c r="AD258" s="108"/>
      <c r="AE258" s="108"/>
      <c r="AF258" s="108"/>
      <c r="AG258" s="108"/>
      <c r="AH258" s="108"/>
      <c r="AI258" s="108"/>
      <c r="AJ258" s="108"/>
      <c r="AK258" s="108"/>
      <c r="AL258" s="108"/>
      <c r="AM258" s="108"/>
      <c r="AN258" s="108"/>
      <c r="AO258" s="108"/>
      <c r="AP258" s="108"/>
      <c r="AQ258" s="108"/>
      <c r="AR258" s="108"/>
    </row>
    <row r="259" spans="1:1881" ht="274.5" hidden="1" customHeight="1" x14ac:dyDescent="0.3">
      <c r="A259" s="108">
        <v>82</v>
      </c>
      <c r="B259" s="4" t="s">
        <v>61</v>
      </c>
      <c r="C259" s="4" t="s">
        <v>1231</v>
      </c>
      <c r="D259" s="24" t="s">
        <v>577</v>
      </c>
      <c r="E259" s="669" t="e">
        <f>HLOOKUP($D$2,'2020 Data(H)'!$C$1:$CZ$426,46,FALSE)</f>
        <v>#N/A</v>
      </c>
      <c r="F259" s="294">
        <v>0</v>
      </c>
      <c r="G259" s="730">
        <f>IF(F259&lt;0,"Error: Enter as positive.",)</f>
        <v>0</v>
      </c>
      <c r="H259" s="17"/>
      <c r="I259" s="766"/>
      <c r="Z259" s="108"/>
      <c r="AA259" s="108"/>
      <c r="AB259" s="108"/>
      <c r="AC259" s="108"/>
      <c r="AD259" s="108"/>
      <c r="AE259" s="108"/>
      <c r="AF259" s="108"/>
      <c r="AG259" s="108"/>
      <c r="AH259" s="108"/>
      <c r="AI259" s="108"/>
      <c r="AJ259" s="108"/>
      <c r="AK259" s="108"/>
      <c r="AL259" s="108"/>
      <c r="AM259" s="108"/>
      <c r="AN259" s="108"/>
      <c r="AO259" s="108"/>
      <c r="AP259" s="108"/>
      <c r="AQ259" s="108"/>
      <c r="AR259" s="108"/>
    </row>
    <row r="260" spans="1:1881" ht="270.75" hidden="1" customHeight="1" x14ac:dyDescent="0.3">
      <c r="A260" s="108">
        <v>359</v>
      </c>
      <c r="B260" s="4" t="s">
        <v>56</v>
      </c>
      <c r="C260" s="4" t="s">
        <v>1232</v>
      </c>
      <c r="D260" s="24" t="s">
        <v>577</v>
      </c>
      <c r="E260" s="669" t="e">
        <f>HLOOKUP($D$2,'2020 Data(H)'!$C$1:$CZ$426,120,FALSE)</f>
        <v>#N/A</v>
      </c>
      <c r="F260" s="294">
        <v>0</v>
      </c>
      <c r="G260" s="730">
        <f>IF(F260&lt;0,"Error: Enter as positive.",)</f>
        <v>0</v>
      </c>
      <c r="H260" s="17"/>
      <c r="I260" s="766"/>
      <c r="J260" s="575"/>
      <c r="L260" s="767" t="str">
        <f>IF(ISBLANK(K258),"",IF(ISBLANK(K259),"",IF(K260=M260,"","Please review percentage")))</f>
        <v/>
      </c>
      <c r="Z260" s="108"/>
      <c r="AA260" s="108"/>
      <c r="AB260" s="108"/>
      <c r="AC260" s="108"/>
      <c r="AD260" s="108"/>
      <c r="AE260" s="108"/>
      <c r="AF260" s="108"/>
      <c r="AG260" s="108"/>
      <c r="AH260" s="108"/>
      <c r="AI260" s="108"/>
      <c r="AJ260" s="108"/>
      <c r="AK260" s="108"/>
      <c r="AL260" s="108"/>
      <c r="AM260" s="108"/>
      <c r="AN260" s="108"/>
      <c r="AO260" s="108"/>
      <c r="AP260" s="108"/>
      <c r="AQ260" s="108"/>
      <c r="AR260" s="108"/>
    </row>
    <row r="261" spans="1:1881" s="769" customFormat="1" ht="33" customHeight="1" x14ac:dyDescent="0.3">
      <c r="A261" s="108"/>
      <c r="B261" s="826" t="s">
        <v>434</v>
      </c>
      <c r="C261" s="827"/>
      <c r="D261" s="96"/>
      <c r="E261" s="768"/>
      <c r="F261" s="754"/>
      <c r="G261" s="729"/>
      <c r="H261" s="17"/>
      <c r="I261" s="766"/>
      <c r="J261" s="18"/>
      <c r="K261" s="18"/>
      <c r="L261" s="18"/>
      <c r="M261" s="18"/>
      <c r="N261" s="296"/>
      <c r="O261" s="18"/>
      <c r="P261" s="18"/>
      <c r="Q261" s="18"/>
      <c r="R261" s="18"/>
      <c r="S261" s="18"/>
      <c r="T261" s="18"/>
      <c r="U261" s="18"/>
      <c r="V261" s="18"/>
      <c r="W261" s="18"/>
      <c r="X261" s="18"/>
      <c r="Y261" s="18"/>
      <c r="Z261" s="108"/>
      <c r="AA261" s="108"/>
      <c r="AB261" s="108"/>
      <c r="AC261" s="108"/>
      <c r="AD261" s="108"/>
      <c r="AE261" s="108"/>
      <c r="AF261" s="108"/>
      <c r="AG261" s="108"/>
      <c r="AH261" s="108"/>
      <c r="AI261" s="108"/>
      <c r="AJ261" s="108"/>
      <c r="AK261" s="108"/>
      <c r="AL261" s="108"/>
      <c r="AM261" s="108"/>
      <c r="AN261" s="108"/>
      <c r="AO261" s="108"/>
      <c r="AP261" s="108"/>
      <c r="AQ261" s="108"/>
      <c r="AR261" s="10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c r="GU261" s="18"/>
      <c r="GV261" s="18"/>
      <c r="GW261" s="18"/>
      <c r="GX261" s="18"/>
      <c r="GY261" s="18"/>
      <c r="GZ261" s="18"/>
      <c r="HA261" s="18"/>
      <c r="HB261" s="18"/>
      <c r="HC261" s="18"/>
      <c r="HD261" s="18"/>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c r="JI261" s="18"/>
      <c r="JJ261" s="18"/>
      <c r="JK261" s="18"/>
      <c r="JL261" s="18"/>
      <c r="JM261" s="18"/>
      <c r="JN261" s="18"/>
      <c r="JO261" s="18"/>
      <c r="JP261" s="18"/>
      <c r="JQ261" s="18"/>
      <c r="JR261" s="18"/>
      <c r="JS261" s="18"/>
      <c r="JT261" s="18"/>
      <c r="JU261" s="18"/>
      <c r="JV261" s="18"/>
      <c r="JW261" s="18"/>
      <c r="JX261" s="18"/>
      <c r="JY261" s="18"/>
      <c r="JZ261" s="18"/>
      <c r="KA261" s="18"/>
      <c r="KB261" s="18"/>
      <c r="KC261" s="18"/>
      <c r="KD261" s="18"/>
      <c r="KE261" s="18"/>
      <c r="KF261" s="18"/>
      <c r="KG261" s="18"/>
      <c r="KH261" s="18"/>
      <c r="KI261" s="18"/>
      <c r="KJ261" s="18"/>
      <c r="KK261" s="18"/>
      <c r="KL261" s="18"/>
      <c r="KM261" s="18"/>
      <c r="KN261" s="18"/>
      <c r="KO261" s="18"/>
      <c r="KP261" s="18"/>
      <c r="KQ261" s="18"/>
      <c r="KR261" s="18"/>
      <c r="KS261" s="18"/>
      <c r="KT261" s="18"/>
      <c r="KU261" s="18"/>
      <c r="KV261" s="18"/>
      <c r="KW261" s="18"/>
      <c r="KX261" s="18"/>
      <c r="KY261" s="18"/>
      <c r="KZ261" s="18"/>
      <c r="LA261" s="18"/>
      <c r="LB261" s="18"/>
      <c r="LC261" s="18"/>
      <c r="LD261" s="18"/>
      <c r="LE261" s="18"/>
      <c r="LF261" s="18"/>
      <c r="LG261" s="18"/>
      <c r="LH261" s="18"/>
      <c r="LI261" s="18"/>
      <c r="LJ261" s="18"/>
      <c r="LK261" s="18"/>
      <c r="LL261" s="18"/>
      <c r="LM261" s="18"/>
      <c r="LN261" s="18"/>
      <c r="LO261" s="18"/>
      <c r="LP261" s="18"/>
      <c r="LQ261" s="18"/>
      <c r="LR261" s="18"/>
      <c r="LS261" s="18"/>
      <c r="LT261" s="18"/>
      <c r="LU261" s="18"/>
      <c r="LV261" s="18"/>
      <c r="LW261" s="18"/>
      <c r="LX261" s="18"/>
      <c r="LY261" s="18"/>
      <c r="LZ261" s="18"/>
      <c r="MA261" s="18"/>
      <c r="MB261" s="18"/>
      <c r="MC261" s="18"/>
      <c r="MD261" s="18"/>
      <c r="ME261" s="18"/>
      <c r="MF261" s="18"/>
      <c r="MG261" s="18"/>
      <c r="MH261" s="18"/>
      <c r="MI261" s="18"/>
      <c r="MJ261" s="18"/>
      <c r="MK261" s="18"/>
      <c r="ML261" s="18"/>
      <c r="MM261" s="18"/>
      <c r="MN261" s="18"/>
      <c r="MO261" s="18"/>
      <c r="MP261" s="18"/>
      <c r="MQ261" s="18"/>
      <c r="MR261" s="18"/>
      <c r="MS261" s="18"/>
      <c r="MT261" s="18"/>
      <c r="MU261" s="18"/>
      <c r="MV261" s="18"/>
      <c r="MW261" s="18"/>
      <c r="MX261" s="18"/>
      <c r="MY261" s="18"/>
      <c r="MZ261" s="18"/>
      <c r="NA261" s="18"/>
      <c r="NB261" s="18"/>
      <c r="NC261" s="18"/>
      <c r="ND261" s="18"/>
      <c r="NE261" s="18"/>
      <c r="NF261" s="18"/>
      <c r="NG261" s="18"/>
      <c r="NH261" s="18"/>
      <c r="NI261" s="18"/>
      <c r="NJ261" s="18"/>
      <c r="NK261" s="18"/>
      <c r="NL261" s="18"/>
      <c r="NM261" s="18"/>
      <c r="NN261" s="18"/>
      <c r="NO261" s="18"/>
      <c r="NP261" s="18"/>
      <c r="NQ261" s="18"/>
      <c r="NR261" s="18"/>
      <c r="NS261" s="18"/>
      <c r="NT261" s="18"/>
      <c r="NU261" s="18"/>
      <c r="NV261" s="18"/>
      <c r="NW261" s="18"/>
      <c r="NX261" s="18"/>
      <c r="NY261" s="18"/>
      <c r="NZ261" s="18"/>
      <c r="OA261" s="18"/>
      <c r="OB261" s="18"/>
      <c r="OC261" s="18"/>
      <c r="OD261" s="18"/>
      <c r="OE261" s="18"/>
      <c r="OF261" s="18"/>
      <c r="OG261" s="18"/>
      <c r="OH261" s="18"/>
      <c r="OI261" s="18"/>
      <c r="OJ261" s="18"/>
      <c r="OK261" s="18"/>
      <c r="OL261" s="18"/>
      <c r="OM261" s="18"/>
      <c r="ON261" s="18"/>
      <c r="OO261" s="18"/>
      <c r="OP261" s="18"/>
      <c r="OQ261" s="18"/>
      <c r="OR261" s="18"/>
      <c r="OS261" s="18"/>
      <c r="OT261" s="18"/>
      <c r="OU261" s="18"/>
      <c r="OV261" s="18"/>
      <c r="OW261" s="18"/>
      <c r="OX261" s="18"/>
      <c r="OY261" s="18"/>
      <c r="OZ261" s="18"/>
      <c r="PA261" s="18"/>
      <c r="PB261" s="18"/>
      <c r="PC261" s="18"/>
      <c r="PD261" s="18"/>
      <c r="PE261" s="18"/>
      <c r="PF261" s="18"/>
      <c r="PG261" s="18"/>
      <c r="PH261" s="18"/>
      <c r="PI261" s="18"/>
      <c r="PJ261" s="18"/>
      <c r="PK261" s="18"/>
      <c r="PL261" s="18"/>
      <c r="PM261" s="18"/>
      <c r="PN261" s="18"/>
      <c r="PO261" s="18"/>
      <c r="PP261" s="18"/>
      <c r="PQ261" s="18"/>
      <c r="PR261" s="18"/>
      <c r="PS261" s="18"/>
      <c r="PT261" s="18"/>
      <c r="PU261" s="18"/>
      <c r="PV261" s="18"/>
      <c r="PW261" s="18"/>
      <c r="PX261" s="18"/>
      <c r="PY261" s="18"/>
      <c r="PZ261" s="18"/>
      <c r="QA261" s="18"/>
      <c r="QB261" s="18"/>
      <c r="QC261" s="18"/>
      <c r="QD261" s="18"/>
      <c r="QE261" s="18"/>
      <c r="QF261" s="18"/>
      <c r="QG261" s="18"/>
      <c r="QH261" s="18"/>
      <c r="QI261" s="18"/>
      <c r="QJ261" s="18"/>
      <c r="QK261" s="18"/>
      <c r="QL261" s="18"/>
      <c r="QM261" s="18"/>
      <c r="QN261" s="18"/>
      <c r="QO261" s="18"/>
      <c r="QP261" s="18"/>
      <c r="QQ261" s="18"/>
      <c r="QR261" s="18"/>
      <c r="QS261" s="18"/>
      <c r="QT261" s="18"/>
      <c r="QU261" s="18"/>
      <c r="QV261" s="18"/>
      <c r="QW261" s="18"/>
      <c r="QX261" s="18"/>
      <c r="QY261" s="18"/>
      <c r="QZ261" s="18"/>
      <c r="RA261" s="18"/>
      <c r="RB261" s="18"/>
      <c r="RC261" s="18"/>
      <c r="RD261" s="18"/>
      <c r="RE261" s="18"/>
      <c r="RF261" s="18"/>
      <c r="RG261" s="18"/>
      <c r="RH261" s="18"/>
      <c r="RI261" s="18"/>
      <c r="RJ261" s="18"/>
      <c r="RK261" s="18"/>
      <c r="RL261" s="18"/>
      <c r="RM261" s="18"/>
      <c r="RN261" s="18"/>
      <c r="RO261" s="18"/>
      <c r="RP261" s="18"/>
      <c r="RQ261" s="18"/>
      <c r="RR261" s="18"/>
      <c r="RS261" s="18"/>
      <c r="RT261" s="18"/>
      <c r="RU261" s="18"/>
      <c r="RV261" s="18"/>
      <c r="RW261" s="18"/>
      <c r="RX261" s="18"/>
      <c r="RY261" s="18"/>
      <c r="RZ261" s="18"/>
      <c r="SA261" s="18"/>
      <c r="SB261" s="18"/>
      <c r="SC261" s="18"/>
      <c r="SD261" s="18"/>
      <c r="SE261" s="18"/>
      <c r="SF261" s="18"/>
      <c r="SG261" s="18"/>
      <c r="SH261" s="18"/>
      <c r="SI261" s="18"/>
      <c r="SJ261" s="18"/>
      <c r="SK261" s="18"/>
      <c r="SL261" s="18"/>
      <c r="SM261" s="18"/>
      <c r="SN261" s="18"/>
      <c r="SO261" s="18"/>
      <c r="SP261" s="18"/>
      <c r="SQ261" s="18"/>
      <c r="SR261" s="18"/>
      <c r="SS261" s="18"/>
      <c r="ST261" s="18"/>
      <c r="SU261" s="18"/>
      <c r="SV261" s="18"/>
      <c r="SW261" s="18"/>
      <c r="SX261" s="18"/>
      <c r="SY261" s="18"/>
      <c r="SZ261" s="18"/>
      <c r="TA261" s="18"/>
      <c r="TB261" s="18"/>
      <c r="TC261" s="18"/>
      <c r="TD261" s="18"/>
      <c r="TE261" s="18"/>
      <c r="TF261" s="18"/>
      <c r="TG261" s="18"/>
      <c r="TH261" s="18"/>
      <c r="TI261" s="18"/>
      <c r="TJ261" s="18"/>
      <c r="TK261" s="18"/>
      <c r="TL261" s="18"/>
      <c r="TM261" s="18"/>
      <c r="TN261" s="18"/>
      <c r="TO261" s="18"/>
      <c r="TP261" s="18"/>
      <c r="TQ261" s="18"/>
      <c r="TR261" s="18"/>
      <c r="TS261" s="18"/>
      <c r="TT261" s="18"/>
      <c r="TU261" s="18"/>
      <c r="TV261" s="18"/>
      <c r="TW261" s="18"/>
      <c r="TX261" s="18"/>
      <c r="TY261" s="18"/>
      <c r="TZ261" s="18"/>
      <c r="UA261" s="18"/>
      <c r="UB261" s="18"/>
      <c r="UC261" s="18"/>
      <c r="UD261" s="18"/>
      <c r="UE261" s="18"/>
      <c r="UF261" s="18"/>
      <c r="UG261" s="18"/>
      <c r="UH261" s="18"/>
      <c r="UI261" s="18"/>
      <c r="UJ261" s="18"/>
      <c r="UK261" s="18"/>
      <c r="UL261" s="18"/>
      <c r="UM261" s="18"/>
      <c r="UN261" s="18"/>
      <c r="UO261" s="18"/>
      <c r="UP261" s="18"/>
      <c r="UQ261" s="18"/>
      <c r="UR261" s="18"/>
      <c r="US261" s="18"/>
      <c r="UT261" s="18"/>
      <c r="UU261" s="18"/>
      <c r="UV261" s="18"/>
      <c r="UW261" s="18"/>
      <c r="UX261" s="18"/>
      <c r="UY261" s="18"/>
      <c r="UZ261" s="18"/>
      <c r="VA261" s="18"/>
      <c r="VB261" s="18"/>
      <c r="VC261" s="18"/>
      <c r="VD261" s="18"/>
      <c r="VE261" s="18"/>
      <c r="VF261" s="18"/>
      <c r="VG261" s="18"/>
      <c r="VH261" s="18"/>
      <c r="VI261" s="18"/>
      <c r="VJ261" s="18"/>
      <c r="VK261" s="18"/>
      <c r="VL261" s="18"/>
      <c r="VM261" s="18"/>
      <c r="VN261" s="18"/>
      <c r="VO261" s="18"/>
      <c r="VP261" s="18"/>
      <c r="VQ261" s="18"/>
      <c r="VR261" s="18"/>
      <c r="VS261" s="18"/>
      <c r="VT261" s="18"/>
      <c r="VU261" s="18"/>
      <c r="VV261" s="18"/>
      <c r="VW261" s="18"/>
      <c r="VX261" s="18"/>
      <c r="VY261" s="18"/>
      <c r="VZ261" s="18"/>
      <c r="WA261" s="18"/>
      <c r="WB261" s="18"/>
      <c r="WC261" s="18"/>
      <c r="WD261" s="18"/>
      <c r="WE261" s="18"/>
      <c r="WF261" s="18"/>
      <c r="WG261" s="18"/>
      <c r="WH261" s="18"/>
      <c r="WI261" s="18"/>
      <c r="WJ261" s="18"/>
      <c r="WK261" s="18"/>
      <c r="WL261" s="18"/>
      <c r="WM261" s="18"/>
      <c r="WN261" s="18"/>
      <c r="WO261" s="18"/>
      <c r="WP261" s="18"/>
      <c r="WQ261" s="18"/>
      <c r="WR261" s="18"/>
      <c r="WS261" s="18"/>
      <c r="WT261" s="18"/>
      <c r="WU261" s="18"/>
      <c r="WV261" s="18"/>
      <c r="WW261" s="18"/>
      <c r="WX261" s="18"/>
      <c r="WY261" s="18"/>
      <c r="WZ261" s="18"/>
      <c r="XA261" s="18"/>
      <c r="XB261" s="18"/>
      <c r="XC261" s="18"/>
      <c r="XD261" s="18"/>
      <c r="XE261" s="18"/>
      <c r="XF261" s="18"/>
      <c r="XG261" s="18"/>
      <c r="XH261" s="18"/>
      <c r="XI261" s="18"/>
      <c r="XJ261" s="18"/>
      <c r="XK261" s="18"/>
      <c r="XL261" s="18"/>
      <c r="XM261" s="18"/>
      <c r="XN261" s="18"/>
      <c r="XO261" s="18"/>
      <c r="XP261" s="18"/>
      <c r="XQ261" s="18"/>
      <c r="XR261" s="18"/>
      <c r="XS261" s="18"/>
      <c r="XT261" s="18"/>
      <c r="XU261" s="18"/>
      <c r="XV261" s="18"/>
      <c r="XW261" s="18"/>
      <c r="XX261" s="18"/>
      <c r="XY261" s="18"/>
      <c r="XZ261" s="18"/>
      <c r="YA261" s="18"/>
      <c r="YB261" s="18"/>
      <c r="YC261" s="18"/>
      <c r="YD261" s="18"/>
      <c r="YE261" s="18"/>
      <c r="YF261" s="18"/>
      <c r="YG261" s="18"/>
      <c r="YH261" s="18"/>
      <c r="YI261" s="18"/>
      <c r="YJ261" s="18"/>
      <c r="YK261" s="18"/>
      <c r="YL261" s="18"/>
      <c r="YM261" s="18"/>
      <c r="YN261" s="18"/>
      <c r="YO261" s="18"/>
      <c r="YP261" s="18"/>
      <c r="YQ261" s="18"/>
      <c r="YR261" s="18"/>
      <c r="YS261" s="18"/>
      <c r="YT261" s="18"/>
      <c r="YU261" s="18"/>
      <c r="YV261" s="18"/>
      <c r="YW261" s="18"/>
      <c r="YX261" s="18"/>
      <c r="YY261" s="18"/>
      <c r="YZ261" s="18"/>
      <c r="ZA261" s="18"/>
      <c r="ZB261" s="18"/>
      <c r="ZC261" s="18"/>
      <c r="ZD261" s="18"/>
      <c r="ZE261" s="18"/>
      <c r="ZF261" s="18"/>
      <c r="ZG261" s="18"/>
      <c r="ZH261" s="18"/>
      <c r="ZI261" s="18"/>
      <c r="ZJ261" s="18"/>
      <c r="ZK261" s="18"/>
      <c r="ZL261" s="18"/>
      <c r="ZM261" s="18"/>
      <c r="ZN261" s="18"/>
      <c r="ZO261" s="18"/>
      <c r="ZP261" s="18"/>
      <c r="ZQ261" s="18"/>
      <c r="ZR261" s="18"/>
      <c r="ZS261" s="18"/>
      <c r="ZT261" s="18"/>
      <c r="ZU261" s="18"/>
      <c r="ZV261" s="18"/>
      <c r="ZW261" s="18"/>
      <c r="ZX261" s="18"/>
      <c r="ZY261" s="18"/>
      <c r="ZZ261" s="18"/>
      <c r="AAA261" s="18"/>
      <c r="AAB261" s="18"/>
      <c r="AAC261" s="18"/>
      <c r="AAD261" s="18"/>
      <c r="AAE261" s="18"/>
      <c r="AAF261" s="18"/>
      <c r="AAG261" s="18"/>
      <c r="AAH261" s="18"/>
      <c r="AAI261" s="18"/>
      <c r="AAJ261" s="18"/>
      <c r="AAK261" s="18"/>
      <c r="AAL261" s="18"/>
      <c r="AAM261" s="18"/>
      <c r="AAN261" s="18"/>
      <c r="AAO261" s="18"/>
      <c r="AAP261" s="18"/>
      <c r="AAQ261" s="18"/>
      <c r="AAR261" s="18"/>
      <c r="AAS261" s="18"/>
      <c r="AAT261" s="18"/>
      <c r="AAU261" s="18"/>
      <c r="AAV261" s="18"/>
      <c r="AAW261" s="18"/>
      <c r="AAX261" s="18"/>
      <c r="AAY261" s="18"/>
      <c r="AAZ261" s="18"/>
      <c r="ABA261" s="18"/>
      <c r="ABB261" s="18"/>
      <c r="ABC261" s="18"/>
      <c r="ABD261" s="18"/>
      <c r="ABE261" s="18"/>
      <c r="ABF261" s="18"/>
      <c r="ABG261" s="18"/>
      <c r="ABH261" s="18"/>
      <c r="ABI261" s="18"/>
      <c r="ABJ261" s="18"/>
      <c r="ABK261" s="18"/>
      <c r="ABL261" s="18"/>
      <c r="ABM261" s="18"/>
      <c r="ABN261" s="18"/>
      <c r="ABO261" s="18"/>
      <c r="ABP261" s="18"/>
      <c r="ABQ261" s="18"/>
      <c r="ABR261" s="18"/>
      <c r="ABS261" s="18"/>
      <c r="ABT261" s="18"/>
      <c r="ABU261" s="18"/>
      <c r="ABV261" s="18"/>
      <c r="ABW261" s="18"/>
      <c r="ABX261" s="18"/>
      <c r="ABY261" s="18"/>
      <c r="ABZ261" s="18"/>
      <c r="ACA261" s="18"/>
      <c r="ACB261" s="18"/>
      <c r="ACC261" s="18"/>
      <c r="ACD261" s="18"/>
      <c r="ACE261" s="18"/>
      <c r="ACF261" s="18"/>
      <c r="ACG261" s="18"/>
      <c r="ACH261" s="18"/>
      <c r="ACI261" s="18"/>
      <c r="ACJ261" s="18"/>
      <c r="ACK261" s="18"/>
      <c r="ACL261" s="18"/>
      <c r="ACM261" s="18"/>
      <c r="ACN261" s="18"/>
      <c r="ACO261" s="18"/>
      <c r="ACP261" s="18"/>
      <c r="ACQ261" s="18"/>
      <c r="ACR261" s="18"/>
      <c r="ACS261" s="18"/>
      <c r="ACT261" s="18"/>
      <c r="ACU261" s="18"/>
      <c r="ACV261" s="18"/>
      <c r="ACW261" s="18"/>
      <c r="ACX261" s="18"/>
      <c r="ACY261" s="18"/>
      <c r="ACZ261" s="18"/>
      <c r="ADA261" s="18"/>
      <c r="ADB261" s="18"/>
      <c r="ADC261" s="18"/>
      <c r="ADD261" s="18"/>
      <c r="ADE261" s="18"/>
      <c r="ADF261" s="18"/>
      <c r="ADG261" s="18"/>
      <c r="ADH261" s="18"/>
      <c r="ADI261" s="18"/>
      <c r="ADJ261" s="18"/>
      <c r="ADK261" s="18"/>
      <c r="ADL261" s="18"/>
      <c r="ADM261" s="18"/>
      <c r="ADN261" s="18"/>
      <c r="ADO261" s="18"/>
      <c r="ADP261" s="18"/>
      <c r="ADQ261" s="18"/>
      <c r="ADR261" s="18"/>
      <c r="ADS261" s="18"/>
      <c r="ADT261" s="18"/>
      <c r="ADU261" s="18"/>
      <c r="ADV261" s="18"/>
      <c r="ADW261" s="18"/>
      <c r="ADX261" s="18"/>
      <c r="ADY261" s="18"/>
      <c r="ADZ261" s="18"/>
      <c r="AEA261" s="18"/>
      <c r="AEB261" s="18"/>
      <c r="AEC261" s="18"/>
      <c r="AED261" s="18"/>
      <c r="AEE261" s="18"/>
      <c r="AEF261" s="18"/>
      <c r="AEG261" s="18"/>
      <c r="AEH261" s="18"/>
      <c r="AEI261" s="18"/>
      <c r="AEJ261" s="18"/>
      <c r="AEK261" s="18"/>
      <c r="AEL261" s="18"/>
      <c r="AEM261" s="18"/>
      <c r="AEN261" s="18"/>
      <c r="AEO261" s="18"/>
      <c r="AEP261" s="18"/>
      <c r="AEQ261" s="18"/>
      <c r="AER261" s="18"/>
      <c r="AES261" s="18"/>
      <c r="AET261" s="18"/>
      <c r="AEU261" s="18"/>
      <c r="AEV261" s="18"/>
      <c r="AEW261" s="18"/>
      <c r="AEX261" s="18"/>
      <c r="AEY261" s="18"/>
      <c r="AEZ261" s="18"/>
      <c r="AFA261" s="18"/>
      <c r="AFB261" s="18"/>
      <c r="AFC261" s="18"/>
      <c r="AFD261" s="18"/>
      <c r="AFE261" s="18"/>
      <c r="AFF261" s="18"/>
      <c r="AFG261" s="18"/>
      <c r="AFH261" s="18"/>
      <c r="AFI261" s="18"/>
      <c r="AFJ261" s="18"/>
      <c r="AFK261" s="18"/>
      <c r="AFL261" s="18"/>
      <c r="AFM261" s="18"/>
      <c r="AFN261" s="18"/>
      <c r="AFO261" s="18"/>
      <c r="AFP261" s="18"/>
      <c r="AFQ261" s="18"/>
      <c r="AFR261" s="18"/>
      <c r="AFS261" s="18"/>
      <c r="AFT261" s="18"/>
      <c r="AFU261" s="18"/>
      <c r="AFV261" s="18"/>
      <c r="AFW261" s="18"/>
      <c r="AFX261" s="18"/>
      <c r="AFY261" s="18"/>
      <c r="AFZ261" s="18"/>
      <c r="AGA261" s="18"/>
      <c r="AGB261" s="18"/>
      <c r="AGC261" s="18"/>
      <c r="AGD261" s="18"/>
      <c r="AGE261" s="18"/>
      <c r="AGF261" s="18"/>
      <c r="AGG261" s="18"/>
      <c r="AGH261" s="18"/>
      <c r="AGI261" s="18"/>
      <c r="AGJ261" s="18"/>
      <c r="AGK261" s="18"/>
      <c r="AGL261" s="18"/>
      <c r="AGM261" s="18"/>
      <c r="AGN261" s="18"/>
      <c r="AGO261" s="18"/>
      <c r="AGP261" s="18"/>
      <c r="AGQ261" s="18"/>
      <c r="AGR261" s="18"/>
      <c r="AGS261" s="18"/>
      <c r="AGT261" s="18"/>
      <c r="AGU261" s="18"/>
      <c r="AGV261" s="18"/>
      <c r="AGW261" s="18"/>
      <c r="AGX261" s="18"/>
      <c r="AGY261" s="18"/>
      <c r="AGZ261" s="18"/>
      <c r="AHA261" s="18"/>
      <c r="AHB261" s="18"/>
      <c r="AHC261" s="18"/>
      <c r="AHD261" s="18"/>
      <c r="AHE261" s="18"/>
      <c r="AHF261" s="18"/>
      <c r="AHG261" s="18"/>
      <c r="AHH261" s="18"/>
      <c r="AHI261" s="18"/>
      <c r="AHJ261" s="18"/>
      <c r="AHK261" s="18"/>
      <c r="AHL261" s="18"/>
      <c r="AHM261" s="18"/>
      <c r="AHN261" s="18"/>
      <c r="AHO261" s="18"/>
      <c r="AHP261" s="18"/>
      <c r="AHQ261" s="18"/>
      <c r="AHR261" s="18"/>
      <c r="AHS261" s="18"/>
      <c r="AHT261" s="18"/>
      <c r="AHU261" s="18"/>
      <c r="AHV261" s="18"/>
      <c r="AHW261" s="18"/>
      <c r="AHX261" s="18"/>
      <c r="AHY261" s="18"/>
      <c r="AHZ261" s="18"/>
      <c r="AIA261" s="18"/>
      <c r="AIB261" s="18"/>
      <c r="AIC261" s="18"/>
      <c r="AID261" s="18"/>
      <c r="AIE261" s="18"/>
      <c r="AIF261" s="18"/>
      <c r="AIG261" s="18"/>
      <c r="AIH261" s="18"/>
      <c r="AII261" s="18"/>
      <c r="AIJ261" s="18"/>
      <c r="AIK261" s="18"/>
      <c r="AIL261" s="18"/>
      <c r="AIM261" s="18"/>
      <c r="AIN261" s="18"/>
      <c r="AIO261" s="18"/>
      <c r="AIP261" s="18"/>
      <c r="AIQ261" s="18"/>
      <c r="AIR261" s="18"/>
      <c r="AIS261" s="18"/>
      <c r="AIT261" s="18"/>
      <c r="AIU261" s="18"/>
      <c r="AIV261" s="18"/>
      <c r="AIW261" s="18"/>
      <c r="AIX261" s="18"/>
      <c r="AIY261" s="18"/>
      <c r="AIZ261" s="18"/>
      <c r="AJA261" s="18"/>
      <c r="AJB261" s="18"/>
      <c r="AJC261" s="18"/>
      <c r="AJD261" s="18"/>
      <c r="AJE261" s="18"/>
      <c r="AJF261" s="18"/>
      <c r="AJG261" s="18"/>
      <c r="AJH261" s="18"/>
      <c r="AJI261" s="18"/>
      <c r="AJJ261" s="18"/>
      <c r="AJK261" s="18"/>
      <c r="AJL261" s="18"/>
      <c r="AJM261" s="18"/>
      <c r="AJN261" s="18"/>
      <c r="AJO261" s="18"/>
      <c r="AJP261" s="18"/>
      <c r="AJQ261" s="18"/>
      <c r="AJR261" s="18"/>
      <c r="AJS261" s="18"/>
      <c r="AJT261" s="18"/>
      <c r="AJU261" s="18"/>
      <c r="AJV261" s="18"/>
      <c r="AJW261" s="18"/>
      <c r="AJX261" s="18"/>
      <c r="AJY261" s="18"/>
      <c r="AJZ261" s="18"/>
      <c r="AKA261" s="18"/>
      <c r="AKB261" s="18"/>
      <c r="AKC261" s="18"/>
      <c r="AKD261" s="18"/>
      <c r="AKE261" s="18"/>
      <c r="AKF261" s="18"/>
      <c r="AKG261" s="18"/>
      <c r="AKH261" s="18"/>
      <c r="AKI261" s="18"/>
      <c r="AKJ261" s="18"/>
      <c r="AKK261" s="18"/>
      <c r="AKL261" s="18"/>
      <c r="AKM261" s="18"/>
      <c r="AKN261" s="18"/>
      <c r="AKO261" s="18"/>
      <c r="AKP261" s="18"/>
      <c r="AKQ261" s="18"/>
      <c r="AKR261" s="18"/>
      <c r="AKS261" s="18"/>
      <c r="AKT261" s="18"/>
      <c r="AKU261" s="18"/>
      <c r="AKV261" s="18"/>
      <c r="AKW261" s="18"/>
      <c r="AKX261" s="18"/>
      <c r="AKY261" s="18"/>
      <c r="AKZ261" s="18"/>
      <c r="ALA261" s="18"/>
      <c r="ALB261" s="18"/>
      <c r="ALC261" s="18"/>
      <c r="ALD261" s="18"/>
      <c r="ALE261" s="18"/>
      <c r="ALF261" s="18"/>
      <c r="ALG261" s="18"/>
      <c r="ALH261" s="18"/>
      <c r="ALI261" s="18"/>
      <c r="ALJ261" s="18"/>
      <c r="ALK261" s="18"/>
      <c r="ALL261" s="18"/>
      <c r="ALM261" s="18"/>
      <c r="ALN261" s="18"/>
      <c r="ALO261" s="18"/>
      <c r="ALP261" s="18"/>
      <c r="ALQ261" s="18"/>
      <c r="ALR261" s="18"/>
      <c r="ALS261" s="18"/>
      <c r="ALT261" s="18"/>
      <c r="ALU261" s="18"/>
      <c r="ALV261" s="18"/>
      <c r="ALW261" s="18"/>
      <c r="ALX261" s="18"/>
      <c r="ALY261" s="18"/>
      <c r="ALZ261" s="18"/>
      <c r="AMA261" s="18"/>
      <c r="AMB261" s="18"/>
      <c r="AMC261" s="18"/>
      <c r="AMD261" s="18"/>
      <c r="AME261" s="18"/>
      <c r="AMF261" s="18"/>
      <c r="AMG261" s="18"/>
      <c r="AMH261" s="18"/>
      <c r="AMI261" s="18"/>
      <c r="AMJ261" s="18"/>
      <c r="AMK261" s="18"/>
      <c r="AML261" s="18"/>
      <c r="AMM261" s="18"/>
      <c r="AMN261" s="18"/>
      <c r="AMO261" s="18"/>
      <c r="AMP261" s="18"/>
      <c r="AMQ261" s="18"/>
      <c r="AMR261" s="18"/>
      <c r="AMS261" s="18"/>
      <c r="AMT261" s="18"/>
      <c r="AMU261" s="18"/>
      <c r="AMV261" s="18"/>
      <c r="AMW261" s="18"/>
      <c r="AMX261" s="18"/>
      <c r="AMY261" s="18"/>
      <c r="AMZ261" s="18"/>
      <c r="ANA261" s="18"/>
      <c r="ANB261" s="18"/>
      <c r="ANC261" s="18"/>
      <c r="AND261" s="18"/>
      <c r="ANE261" s="18"/>
      <c r="ANF261" s="18"/>
      <c r="ANG261" s="18"/>
      <c r="ANH261" s="18"/>
      <c r="ANI261" s="18"/>
      <c r="ANJ261" s="18"/>
      <c r="ANK261" s="18"/>
      <c r="ANL261" s="18"/>
      <c r="ANM261" s="18"/>
      <c r="ANN261" s="18"/>
      <c r="ANO261" s="18"/>
      <c r="ANP261" s="18"/>
      <c r="ANQ261" s="18"/>
      <c r="ANR261" s="18"/>
      <c r="ANS261" s="18"/>
      <c r="ANT261" s="18"/>
      <c r="ANU261" s="18"/>
      <c r="ANV261" s="18"/>
      <c r="ANW261" s="18"/>
      <c r="ANX261" s="18"/>
      <c r="ANY261" s="18"/>
      <c r="ANZ261" s="18"/>
      <c r="AOA261" s="18"/>
      <c r="AOB261" s="18"/>
      <c r="AOC261" s="18"/>
      <c r="AOD261" s="18"/>
      <c r="AOE261" s="18"/>
      <c r="AOF261" s="18"/>
      <c r="AOG261" s="18"/>
      <c r="AOH261" s="18"/>
      <c r="AOI261" s="18"/>
      <c r="AOJ261" s="18"/>
      <c r="AOK261" s="18"/>
      <c r="AOL261" s="18"/>
      <c r="AOM261" s="18"/>
      <c r="AON261" s="18"/>
      <c r="AOO261" s="18"/>
      <c r="AOP261" s="18"/>
      <c r="AOQ261" s="18"/>
      <c r="AOR261" s="18"/>
      <c r="AOS261" s="18"/>
      <c r="AOT261" s="18"/>
      <c r="AOU261" s="18"/>
      <c r="AOV261" s="18"/>
      <c r="AOW261" s="18"/>
      <c r="AOX261" s="18"/>
      <c r="AOY261" s="18"/>
      <c r="AOZ261" s="18"/>
      <c r="APA261" s="18"/>
      <c r="APB261" s="18"/>
      <c r="APC261" s="18"/>
      <c r="APD261" s="18"/>
      <c r="APE261" s="18"/>
      <c r="APF261" s="18"/>
      <c r="APG261" s="18"/>
      <c r="APH261" s="18"/>
      <c r="API261" s="18"/>
      <c r="APJ261" s="18"/>
      <c r="APK261" s="18"/>
      <c r="APL261" s="18"/>
      <c r="APM261" s="18"/>
      <c r="APN261" s="18"/>
      <c r="APO261" s="18"/>
      <c r="APP261" s="18"/>
      <c r="APQ261" s="18"/>
      <c r="APR261" s="18"/>
      <c r="APS261" s="18"/>
      <c r="APT261" s="18"/>
      <c r="APU261" s="18"/>
      <c r="APV261" s="18"/>
      <c r="APW261" s="18"/>
      <c r="APX261" s="18"/>
      <c r="APY261" s="18"/>
      <c r="APZ261" s="18"/>
      <c r="AQA261" s="18"/>
      <c r="AQB261" s="18"/>
      <c r="AQC261" s="18"/>
      <c r="AQD261" s="18"/>
      <c r="AQE261" s="18"/>
      <c r="AQF261" s="18"/>
      <c r="AQG261" s="18"/>
      <c r="AQH261" s="18"/>
      <c r="AQI261" s="18"/>
      <c r="AQJ261" s="18"/>
      <c r="AQK261" s="18"/>
      <c r="AQL261" s="18"/>
      <c r="AQM261" s="18"/>
      <c r="AQN261" s="18"/>
      <c r="AQO261" s="18"/>
      <c r="AQP261" s="18"/>
      <c r="AQQ261" s="18"/>
      <c r="AQR261" s="18"/>
      <c r="AQS261" s="18"/>
      <c r="AQT261" s="18"/>
      <c r="AQU261" s="18"/>
      <c r="AQV261" s="18"/>
      <c r="AQW261" s="18"/>
      <c r="AQX261" s="18"/>
      <c r="AQY261" s="18"/>
      <c r="AQZ261" s="18"/>
      <c r="ARA261" s="18"/>
      <c r="ARB261" s="18"/>
      <c r="ARC261" s="18"/>
      <c r="ARD261" s="18"/>
      <c r="ARE261" s="18"/>
      <c r="ARF261" s="18"/>
      <c r="ARG261" s="18"/>
      <c r="ARH261" s="18"/>
      <c r="ARI261" s="18"/>
      <c r="ARJ261" s="18"/>
      <c r="ARK261" s="18"/>
      <c r="ARL261" s="18"/>
      <c r="ARM261" s="18"/>
      <c r="ARN261" s="18"/>
      <c r="ARO261" s="18"/>
      <c r="ARP261" s="18"/>
      <c r="ARQ261" s="18"/>
      <c r="ARR261" s="18"/>
      <c r="ARS261" s="18"/>
      <c r="ART261" s="18"/>
      <c r="ARU261" s="18"/>
      <c r="ARV261" s="18"/>
      <c r="ARW261" s="18"/>
      <c r="ARX261" s="18"/>
      <c r="ARY261" s="18"/>
      <c r="ARZ261" s="18"/>
      <c r="ASA261" s="18"/>
      <c r="ASB261" s="18"/>
      <c r="ASC261" s="18"/>
      <c r="ASD261" s="18"/>
      <c r="ASE261" s="18"/>
      <c r="ASF261" s="18"/>
      <c r="ASG261" s="18"/>
      <c r="ASH261" s="18"/>
      <c r="ASI261" s="18"/>
      <c r="ASJ261" s="18"/>
      <c r="ASK261" s="18"/>
      <c r="ASL261" s="18"/>
      <c r="ASM261" s="18"/>
      <c r="ASN261" s="18"/>
      <c r="ASO261" s="18"/>
      <c r="ASP261" s="18"/>
      <c r="ASQ261" s="18"/>
      <c r="ASR261" s="18"/>
      <c r="ASS261" s="18"/>
      <c r="AST261" s="18"/>
      <c r="ASU261" s="18"/>
      <c r="ASV261" s="18"/>
      <c r="ASW261" s="18"/>
      <c r="ASX261" s="18"/>
      <c r="ASY261" s="18"/>
      <c r="ASZ261" s="18"/>
      <c r="ATA261" s="18"/>
      <c r="ATB261" s="18"/>
      <c r="ATC261" s="18"/>
      <c r="ATD261" s="18"/>
      <c r="ATE261" s="18"/>
      <c r="ATF261" s="18"/>
      <c r="ATG261" s="18"/>
      <c r="ATH261" s="18"/>
      <c r="ATI261" s="18"/>
      <c r="ATJ261" s="18"/>
      <c r="ATK261" s="18"/>
      <c r="ATL261" s="18"/>
      <c r="ATM261" s="18"/>
      <c r="ATN261" s="18"/>
      <c r="ATO261" s="18"/>
      <c r="ATP261" s="18"/>
      <c r="ATQ261" s="18"/>
      <c r="ATR261" s="18"/>
      <c r="ATS261" s="18"/>
      <c r="ATT261" s="18"/>
      <c r="ATU261" s="18"/>
      <c r="ATV261" s="18"/>
      <c r="ATW261" s="18"/>
      <c r="ATX261" s="18"/>
      <c r="ATY261" s="18"/>
      <c r="ATZ261" s="18"/>
      <c r="AUA261" s="18"/>
      <c r="AUB261" s="18"/>
      <c r="AUC261" s="18"/>
      <c r="AUD261" s="18"/>
      <c r="AUE261" s="18"/>
      <c r="AUF261" s="18"/>
      <c r="AUG261" s="18"/>
      <c r="AUH261" s="18"/>
      <c r="AUI261" s="18"/>
      <c r="AUJ261" s="18"/>
      <c r="AUK261" s="18"/>
      <c r="AUL261" s="18"/>
      <c r="AUM261" s="18"/>
      <c r="AUN261" s="18"/>
      <c r="AUO261" s="18"/>
      <c r="AUP261" s="18"/>
      <c r="AUQ261" s="18"/>
      <c r="AUR261" s="18"/>
      <c r="AUS261" s="18"/>
      <c r="AUT261" s="18"/>
      <c r="AUU261" s="18"/>
      <c r="AUV261" s="18"/>
      <c r="AUW261" s="18"/>
      <c r="AUX261" s="18"/>
      <c r="AUY261" s="18"/>
      <c r="AUZ261" s="18"/>
      <c r="AVA261" s="18"/>
      <c r="AVB261" s="18"/>
      <c r="AVC261" s="18"/>
      <c r="AVD261" s="18"/>
      <c r="AVE261" s="18"/>
      <c r="AVF261" s="18"/>
      <c r="AVG261" s="18"/>
      <c r="AVH261" s="18"/>
      <c r="AVI261" s="18"/>
      <c r="AVJ261" s="18"/>
      <c r="AVK261" s="18"/>
      <c r="AVL261" s="18"/>
      <c r="AVM261" s="18"/>
      <c r="AVN261" s="18"/>
      <c r="AVO261" s="18"/>
      <c r="AVP261" s="18"/>
      <c r="AVQ261" s="18"/>
      <c r="AVR261" s="18"/>
      <c r="AVS261" s="18"/>
      <c r="AVT261" s="18"/>
      <c r="AVU261" s="18"/>
      <c r="AVV261" s="18"/>
      <c r="AVW261" s="18"/>
      <c r="AVX261" s="18"/>
      <c r="AVY261" s="18"/>
      <c r="AVZ261" s="18"/>
      <c r="AWA261" s="18"/>
      <c r="AWB261" s="18"/>
      <c r="AWC261" s="18"/>
      <c r="AWD261" s="18"/>
      <c r="AWE261" s="18"/>
      <c r="AWF261" s="18"/>
      <c r="AWG261" s="18"/>
      <c r="AWH261" s="18"/>
      <c r="AWI261" s="18"/>
      <c r="AWJ261" s="18"/>
      <c r="AWK261" s="18"/>
      <c r="AWL261" s="18"/>
      <c r="AWM261" s="18"/>
      <c r="AWN261" s="18"/>
      <c r="AWO261" s="18"/>
      <c r="AWP261" s="18"/>
      <c r="AWQ261" s="18"/>
      <c r="AWR261" s="18"/>
      <c r="AWS261" s="18"/>
      <c r="AWT261" s="18"/>
      <c r="AWU261" s="18"/>
      <c r="AWV261" s="18"/>
      <c r="AWW261" s="18"/>
      <c r="AWX261" s="18"/>
      <c r="AWY261" s="18"/>
      <c r="AWZ261" s="18"/>
      <c r="AXA261" s="18"/>
      <c r="AXB261" s="18"/>
      <c r="AXC261" s="18"/>
      <c r="AXD261" s="18"/>
      <c r="AXE261" s="18"/>
      <c r="AXF261" s="18"/>
      <c r="AXG261" s="18"/>
      <c r="AXH261" s="18"/>
      <c r="AXI261" s="18"/>
      <c r="AXJ261" s="18"/>
      <c r="AXK261" s="18"/>
      <c r="AXL261" s="18"/>
      <c r="AXM261" s="18"/>
      <c r="AXN261" s="18"/>
      <c r="AXO261" s="18"/>
      <c r="AXP261" s="18"/>
      <c r="AXQ261" s="18"/>
      <c r="AXR261" s="18"/>
      <c r="AXS261" s="18"/>
      <c r="AXT261" s="18"/>
      <c r="AXU261" s="18"/>
      <c r="AXV261" s="18"/>
      <c r="AXW261" s="18"/>
      <c r="AXX261" s="18"/>
      <c r="AXY261" s="18"/>
      <c r="AXZ261" s="18"/>
      <c r="AYA261" s="18"/>
      <c r="AYB261" s="18"/>
      <c r="AYC261" s="18"/>
      <c r="AYD261" s="18"/>
      <c r="AYE261" s="18"/>
      <c r="AYF261" s="18"/>
      <c r="AYG261" s="18"/>
      <c r="AYH261" s="18"/>
      <c r="AYI261" s="18"/>
      <c r="AYJ261" s="18"/>
      <c r="AYK261" s="18"/>
      <c r="AYL261" s="18"/>
      <c r="AYM261" s="18"/>
      <c r="AYN261" s="18"/>
      <c r="AYO261" s="18"/>
      <c r="AYP261" s="18"/>
      <c r="AYQ261" s="18"/>
      <c r="AYR261" s="18"/>
      <c r="AYS261" s="18"/>
      <c r="AYT261" s="18"/>
      <c r="AYU261" s="18"/>
      <c r="AYV261" s="18"/>
      <c r="AYW261" s="18"/>
      <c r="AYX261" s="18"/>
      <c r="AYY261" s="18"/>
      <c r="AYZ261" s="18"/>
      <c r="AZA261" s="18"/>
      <c r="AZB261" s="18"/>
      <c r="AZC261" s="18"/>
      <c r="AZD261" s="18"/>
      <c r="AZE261" s="18"/>
      <c r="AZF261" s="18"/>
      <c r="AZG261" s="18"/>
      <c r="AZH261" s="18"/>
      <c r="AZI261" s="18"/>
      <c r="AZJ261" s="18"/>
      <c r="AZK261" s="18"/>
      <c r="AZL261" s="18"/>
      <c r="AZM261" s="18"/>
      <c r="AZN261" s="18"/>
      <c r="AZO261" s="18"/>
      <c r="AZP261" s="18"/>
      <c r="AZQ261" s="18"/>
      <c r="AZR261" s="18"/>
      <c r="AZS261" s="18"/>
      <c r="AZT261" s="18"/>
      <c r="AZU261" s="18"/>
      <c r="AZV261" s="18"/>
      <c r="AZW261" s="18"/>
      <c r="AZX261" s="18"/>
      <c r="AZY261" s="18"/>
      <c r="AZZ261" s="18"/>
      <c r="BAA261" s="18"/>
      <c r="BAB261" s="18"/>
      <c r="BAC261" s="18"/>
      <c r="BAD261" s="18"/>
      <c r="BAE261" s="18"/>
      <c r="BAF261" s="18"/>
      <c r="BAG261" s="18"/>
      <c r="BAH261" s="18"/>
      <c r="BAI261" s="18"/>
      <c r="BAJ261" s="18"/>
      <c r="BAK261" s="18"/>
      <c r="BAL261" s="18"/>
      <c r="BAM261" s="18"/>
      <c r="BAN261" s="18"/>
      <c r="BAO261" s="18"/>
      <c r="BAP261" s="18"/>
      <c r="BAQ261" s="18"/>
      <c r="BAR261" s="18"/>
      <c r="BAS261" s="18"/>
      <c r="BAT261" s="18"/>
      <c r="BAU261" s="18"/>
      <c r="BAV261" s="18"/>
      <c r="BAW261" s="18"/>
      <c r="BAX261" s="18"/>
      <c r="BAY261" s="18"/>
      <c r="BAZ261" s="18"/>
      <c r="BBA261" s="18"/>
      <c r="BBB261" s="18"/>
      <c r="BBC261" s="18"/>
      <c r="BBD261" s="18"/>
      <c r="BBE261" s="18"/>
      <c r="BBF261" s="18"/>
      <c r="BBG261" s="18"/>
      <c r="BBH261" s="18"/>
      <c r="BBI261" s="18"/>
      <c r="BBJ261" s="18"/>
      <c r="BBK261" s="18"/>
      <c r="BBL261" s="18"/>
      <c r="BBM261" s="18"/>
      <c r="BBN261" s="18"/>
      <c r="BBO261" s="18"/>
      <c r="BBP261" s="18"/>
      <c r="BBQ261" s="18"/>
      <c r="BBR261" s="18"/>
      <c r="BBS261" s="18"/>
      <c r="BBT261" s="18"/>
      <c r="BBU261" s="18"/>
      <c r="BBV261" s="18"/>
      <c r="BBW261" s="18"/>
      <c r="BBX261" s="18"/>
      <c r="BBY261" s="18"/>
      <c r="BBZ261" s="18"/>
      <c r="BCA261" s="18"/>
      <c r="BCB261" s="18"/>
      <c r="BCC261" s="18"/>
      <c r="BCD261" s="18"/>
      <c r="BCE261" s="18"/>
      <c r="BCF261" s="18"/>
      <c r="BCG261" s="18"/>
      <c r="BCH261" s="18"/>
      <c r="BCI261" s="18"/>
      <c r="BCJ261" s="18"/>
      <c r="BCK261" s="18"/>
      <c r="BCL261" s="18"/>
      <c r="BCM261" s="18"/>
      <c r="BCN261" s="18"/>
      <c r="BCO261" s="18"/>
      <c r="BCP261" s="18"/>
      <c r="BCQ261" s="18"/>
      <c r="BCR261" s="18"/>
      <c r="BCS261" s="18"/>
      <c r="BCT261" s="18"/>
      <c r="BCU261" s="18"/>
      <c r="BCV261" s="18"/>
      <c r="BCW261" s="18"/>
      <c r="BCX261" s="18"/>
      <c r="BCY261" s="18"/>
      <c r="BCZ261" s="18"/>
      <c r="BDA261" s="18"/>
      <c r="BDB261" s="18"/>
      <c r="BDC261" s="18"/>
      <c r="BDD261" s="18"/>
      <c r="BDE261" s="18"/>
      <c r="BDF261" s="18"/>
      <c r="BDG261" s="18"/>
      <c r="BDH261" s="18"/>
      <c r="BDI261" s="18"/>
      <c r="BDJ261" s="18"/>
      <c r="BDK261" s="18"/>
      <c r="BDL261" s="18"/>
      <c r="BDM261" s="18"/>
      <c r="BDN261" s="18"/>
      <c r="BDO261" s="18"/>
      <c r="BDP261" s="18"/>
      <c r="BDQ261" s="18"/>
      <c r="BDR261" s="18"/>
      <c r="BDS261" s="18"/>
      <c r="BDT261" s="18"/>
      <c r="BDU261" s="18"/>
      <c r="BDV261" s="18"/>
      <c r="BDW261" s="18"/>
      <c r="BDX261" s="18"/>
      <c r="BDY261" s="18"/>
      <c r="BDZ261" s="18"/>
      <c r="BEA261" s="18"/>
      <c r="BEB261" s="18"/>
      <c r="BEC261" s="18"/>
      <c r="BED261" s="18"/>
      <c r="BEE261" s="18"/>
      <c r="BEF261" s="18"/>
      <c r="BEG261" s="18"/>
      <c r="BEH261" s="18"/>
      <c r="BEI261" s="18"/>
      <c r="BEJ261" s="18"/>
      <c r="BEK261" s="18"/>
      <c r="BEL261" s="18"/>
      <c r="BEM261" s="18"/>
      <c r="BEN261" s="18"/>
      <c r="BEO261" s="18"/>
      <c r="BEP261" s="18"/>
      <c r="BEQ261" s="18"/>
      <c r="BER261" s="18"/>
      <c r="BES261" s="18"/>
      <c r="BET261" s="18"/>
      <c r="BEU261" s="18"/>
      <c r="BEV261" s="18"/>
      <c r="BEW261" s="18"/>
      <c r="BEX261" s="18"/>
      <c r="BEY261" s="18"/>
      <c r="BEZ261" s="18"/>
      <c r="BFA261" s="18"/>
      <c r="BFB261" s="18"/>
      <c r="BFC261" s="18"/>
      <c r="BFD261" s="18"/>
      <c r="BFE261" s="18"/>
      <c r="BFF261" s="18"/>
      <c r="BFG261" s="18"/>
      <c r="BFH261" s="18"/>
      <c r="BFI261" s="18"/>
      <c r="BFJ261" s="18"/>
      <c r="BFK261" s="18"/>
      <c r="BFL261" s="18"/>
      <c r="BFM261" s="18"/>
      <c r="BFN261" s="18"/>
      <c r="BFO261" s="18"/>
      <c r="BFP261" s="18"/>
      <c r="BFQ261" s="18"/>
      <c r="BFR261" s="18"/>
      <c r="BFS261" s="18"/>
      <c r="BFT261" s="18"/>
      <c r="BFU261" s="18"/>
      <c r="BFV261" s="18"/>
      <c r="BFW261" s="18"/>
      <c r="BFX261" s="18"/>
      <c r="BFY261" s="18"/>
      <c r="BFZ261" s="18"/>
      <c r="BGA261" s="18"/>
      <c r="BGB261" s="18"/>
      <c r="BGC261" s="18"/>
      <c r="BGD261" s="18"/>
      <c r="BGE261" s="18"/>
      <c r="BGF261" s="18"/>
      <c r="BGG261" s="18"/>
      <c r="BGH261" s="18"/>
      <c r="BGI261" s="18"/>
      <c r="BGJ261" s="18"/>
      <c r="BGK261" s="18"/>
      <c r="BGL261" s="18"/>
      <c r="BGM261" s="18"/>
      <c r="BGN261" s="18"/>
      <c r="BGO261" s="18"/>
      <c r="BGP261" s="18"/>
      <c r="BGQ261" s="18"/>
      <c r="BGR261" s="18"/>
      <c r="BGS261" s="18"/>
      <c r="BGT261" s="18"/>
      <c r="BGU261" s="18"/>
      <c r="BGV261" s="18"/>
      <c r="BGW261" s="18"/>
      <c r="BGX261" s="18"/>
      <c r="BGY261" s="18"/>
      <c r="BGZ261" s="18"/>
      <c r="BHA261" s="18"/>
      <c r="BHB261" s="18"/>
      <c r="BHC261" s="18"/>
      <c r="BHD261" s="18"/>
      <c r="BHE261" s="18"/>
      <c r="BHF261" s="18"/>
      <c r="BHG261" s="18"/>
      <c r="BHH261" s="18"/>
      <c r="BHI261" s="18"/>
      <c r="BHJ261" s="18"/>
      <c r="BHK261" s="18"/>
      <c r="BHL261" s="18"/>
      <c r="BHM261" s="18"/>
      <c r="BHN261" s="18"/>
      <c r="BHO261" s="18"/>
      <c r="BHP261" s="18"/>
      <c r="BHQ261" s="18"/>
      <c r="BHR261" s="18"/>
      <c r="BHS261" s="18"/>
      <c r="BHT261" s="18"/>
      <c r="BHU261" s="18"/>
      <c r="BHV261" s="18"/>
      <c r="BHW261" s="18"/>
      <c r="BHX261" s="18"/>
      <c r="BHY261" s="18"/>
      <c r="BHZ261" s="18"/>
      <c r="BIA261" s="18"/>
      <c r="BIB261" s="18"/>
      <c r="BIC261" s="18"/>
      <c r="BID261" s="18"/>
      <c r="BIE261" s="18"/>
      <c r="BIF261" s="18"/>
      <c r="BIG261" s="18"/>
      <c r="BIH261" s="18"/>
      <c r="BII261" s="18"/>
      <c r="BIJ261" s="18"/>
      <c r="BIK261" s="18"/>
      <c r="BIL261" s="18"/>
      <c r="BIM261" s="18"/>
      <c r="BIN261" s="18"/>
      <c r="BIO261" s="18"/>
      <c r="BIP261" s="18"/>
      <c r="BIQ261" s="18"/>
      <c r="BIR261" s="18"/>
      <c r="BIS261" s="18"/>
      <c r="BIT261" s="18"/>
      <c r="BIU261" s="18"/>
      <c r="BIV261" s="18"/>
      <c r="BIW261" s="18"/>
      <c r="BIX261" s="18"/>
      <c r="BIY261" s="18"/>
      <c r="BIZ261" s="18"/>
      <c r="BJA261" s="18"/>
      <c r="BJB261" s="18"/>
      <c r="BJC261" s="18"/>
      <c r="BJD261" s="18"/>
      <c r="BJE261" s="18"/>
      <c r="BJF261" s="18"/>
      <c r="BJG261" s="18"/>
      <c r="BJH261" s="18"/>
      <c r="BJI261" s="18"/>
      <c r="BJJ261" s="18"/>
      <c r="BJK261" s="18"/>
      <c r="BJL261" s="18"/>
      <c r="BJM261" s="18"/>
      <c r="BJN261" s="18"/>
      <c r="BJO261" s="18"/>
      <c r="BJP261" s="18"/>
      <c r="BJQ261" s="18"/>
      <c r="BJR261" s="18"/>
      <c r="BJS261" s="18"/>
      <c r="BJT261" s="18"/>
      <c r="BJU261" s="18"/>
      <c r="BJV261" s="18"/>
      <c r="BJW261" s="18"/>
      <c r="BJX261" s="18"/>
      <c r="BJY261" s="18"/>
      <c r="BJZ261" s="18"/>
      <c r="BKA261" s="18"/>
      <c r="BKB261" s="18"/>
      <c r="BKC261" s="18"/>
      <c r="BKD261" s="18"/>
      <c r="BKE261" s="18"/>
      <c r="BKF261" s="18"/>
      <c r="BKG261" s="18"/>
      <c r="BKH261" s="18"/>
      <c r="BKI261" s="18"/>
      <c r="BKJ261" s="18"/>
      <c r="BKK261" s="18"/>
      <c r="BKL261" s="18"/>
      <c r="BKM261" s="18"/>
      <c r="BKN261" s="18"/>
      <c r="BKO261" s="18"/>
      <c r="BKP261" s="18"/>
      <c r="BKQ261" s="18"/>
      <c r="BKR261" s="18"/>
      <c r="BKS261" s="18"/>
      <c r="BKT261" s="18"/>
      <c r="BKU261" s="18"/>
      <c r="BKV261" s="18"/>
      <c r="BKW261" s="18"/>
      <c r="BKX261" s="18"/>
      <c r="BKY261" s="18"/>
      <c r="BKZ261" s="18"/>
      <c r="BLA261" s="18"/>
      <c r="BLB261" s="18"/>
      <c r="BLC261" s="18"/>
      <c r="BLD261" s="18"/>
      <c r="BLE261" s="18"/>
      <c r="BLF261" s="18"/>
      <c r="BLG261" s="18"/>
      <c r="BLH261" s="18"/>
      <c r="BLI261" s="18"/>
      <c r="BLJ261" s="18"/>
      <c r="BLK261" s="18"/>
      <c r="BLL261" s="18"/>
      <c r="BLM261" s="18"/>
      <c r="BLN261" s="18"/>
      <c r="BLO261" s="18"/>
      <c r="BLP261" s="18"/>
      <c r="BLQ261" s="18"/>
      <c r="BLR261" s="18"/>
      <c r="BLS261" s="18"/>
      <c r="BLT261" s="18"/>
      <c r="BLU261" s="18"/>
      <c r="BLV261" s="18"/>
      <c r="BLW261" s="18"/>
      <c r="BLX261" s="18"/>
      <c r="BLY261" s="18"/>
      <c r="BLZ261" s="18"/>
      <c r="BMA261" s="18"/>
      <c r="BMB261" s="18"/>
      <c r="BMC261" s="18"/>
      <c r="BMD261" s="18"/>
      <c r="BME261" s="18"/>
      <c r="BMF261" s="18"/>
      <c r="BMG261" s="18"/>
      <c r="BMH261" s="18"/>
      <c r="BMI261" s="18"/>
      <c r="BMJ261" s="18"/>
      <c r="BMK261" s="18"/>
      <c r="BML261" s="18"/>
      <c r="BMM261" s="18"/>
      <c r="BMN261" s="18"/>
      <c r="BMO261" s="18"/>
      <c r="BMP261" s="18"/>
      <c r="BMQ261" s="18"/>
      <c r="BMR261" s="18"/>
      <c r="BMS261" s="18"/>
      <c r="BMT261" s="18"/>
      <c r="BMU261" s="18"/>
      <c r="BMV261" s="18"/>
      <c r="BMW261" s="18"/>
      <c r="BMX261" s="18"/>
      <c r="BMY261" s="18"/>
      <c r="BMZ261" s="18"/>
      <c r="BNA261" s="18"/>
      <c r="BNB261" s="18"/>
      <c r="BNC261" s="18"/>
      <c r="BND261" s="18"/>
      <c r="BNE261" s="18"/>
      <c r="BNF261" s="18"/>
      <c r="BNG261" s="18"/>
      <c r="BNH261" s="18"/>
      <c r="BNI261" s="18"/>
      <c r="BNJ261" s="18"/>
      <c r="BNK261" s="18"/>
      <c r="BNL261" s="18"/>
      <c r="BNM261" s="18"/>
      <c r="BNN261" s="18"/>
      <c r="BNO261" s="18"/>
      <c r="BNP261" s="18"/>
      <c r="BNQ261" s="18"/>
      <c r="BNR261" s="18"/>
      <c r="BNS261" s="18"/>
      <c r="BNT261" s="18"/>
      <c r="BNU261" s="18"/>
      <c r="BNV261" s="18"/>
      <c r="BNW261" s="18"/>
      <c r="BNX261" s="18"/>
      <c r="BNY261" s="18"/>
      <c r="BNZ261" s="18"/>
      <c r="BOA261" s="18"/>
      <c r="BOB261" s="18"/>
      <c r="BOC261" s="18"/>
      <c r="BOD261" s="18"/>
      <c r="BOE261" s="18"/>
      <c r="BOF261" s="18"/>
      <c r="BOG261" s="18"/>
      <c r="BOH261" s="18"/>
      <c r="BOI261" s="18"/>
      <c r="BOJ261" s="18"/>
      <c r="BOK261" s="18"/>
      <c r="BOL261" s="18"/>
      <c r="BOM261" s="18"/>
      <c r="BON261" s="18"/>
      <c r="BOO261" s="18"/>
      <c r="BOP261" s="18"/>
      <c r="BOQ261" s="18"/>
      <c r="BOR261" s="18"/>
      <c r="BOS261" s="18"/>
      <c r="BOT261" s="18"/>
      <c r="BOU261" s="18"/>
      <c r="BOV261" s="18"/>
      <c r="BOW261" s="18"/>
      <c r="BOX261" s="18"/>
      <c r="BOY261" s="18"/>
      <c r="BOZ261" s="18"/>
      <c r="BPA261" s="18"/>
      <c r="BPB261" s="18"/>
      <c r="BPC261" s="18"/>
      <c r="BPD261" s="18"/>
      <c r="BPE261" s="18"/>
      <c r="BPF261" s="18"/>
      <c r="BPG261" s="18"/>
      <c r="BPH261" s="18"/>
      <c r="BPI261" s="18"/>
      <c r="BPJ261" s="18"/>
      <c r="BPK261" s="18"/>
      <c r="BPL261" s="18"/>
      <c r="BPM261" s="18"/>
      <c r="BPN261" s="18"/>
      <c r="BPO261" s="18"/>
      <c r="BPP261" s="18"/>
      <c r="BPQ261" s="18"/>
      <c r="BPR261" s="18"/>
      <c r="BPS261" s="18"/>
      <c r="BPT261" s="18"/>
      <c r="BPU261" s="18"/>
      <c r="BPV261" s="18"/>
      <c r="BPW261" s="18"/>
      <c r="BPX261" s="18"/>
      <c r="BPY261" s="18"/>
      <c r="BPZ261" s="18"/>
      <c r="BQA261" s="18"/>
      <c r="BQB261" s="18"/>
      <c r="BQC261" s="18"/>
      <c r="BQD261" s="18"/>
      <c r="BQE261" s="18"/>
      <c r="BQF261" s="18"/>
      <c r="BQG261" s="18"/>
      <c r="BQH261" s="18"/>
      <c r="BQI261" s="18"/>
      <c r="BQJ261" s="18"/>
      <c r="BQK261" s="18"/>
      <c r="BQL261" s="18"/>
      <c r="BQM261" s="18"/>
      <c r="BQN261" s="18"/>
      <c r="BQO261" s="18"/>
      <c r="BQP261" s="18"/>
      <c r="BQQ261" s="18"/>
      <c r="BQR261" s="18"/>
      <c r="BQS261" s="18"/>
      <c r="BQT261" s="18"/>
      <c r="BQU261" s="18"/>
      <c r="BQV261" s="18"/>
      <c r="BQW261" s="18"/>
      <c r="BQX261" s="18"/>
      <c r="BQY261" s="18"/>
      <c r="BQZ261" s="18"/>
      <c r="BRA261" s="18"/>
      <c r="BRB261" s="18"/>
      <c r="BRC261" s="18"/>
      <c r="BRD261" s="18"/>
      <c r="BRE261" s="18"/>
      <c r="BRF261" s="18"/>
      <c r="BRG261" s="18"/>
      <c r="BRH261" s="18"/>
      <c r="BRI261" s="18"/>
      <c r="BRJ261" s="18"/>
      <c r="BRK261" s="18"/>
      <c r="BRL261" s="18"/>
      <c r="BRM261" s="18"/>
      <c r="BRN261" s="18"/>
      <c r="BRO261" s="18"/>
      <c r="BRP261" s="18"/>
      <c r="BRQ261" s="18"/>
      <c r="BRR261" s="18"/>
      <c r="BRS261" s="18"/>
      <c r="BRT261" s="18"/>
      <c r="BRU261" s="18"/>
      <c r="BRV261" s="18"/>
      <c r="BRW261" s="18"/>
      <c r="BRX261" s="18"/>
      <c r="BRY261" s="18"/>
      <c r="BRZ261" s="18"/>
      <c r="BSA261" s="18"/>
      <c r="BSB261" s="18"/>
      <c r="BSC261" s="18"/>
      <c r="BSD261" s="18"/>
      <c r="BSE261" s="18"/>
      <c r="BSF261" s="18"/>
      <c r="BSG261" s="18"/>
      <c r="BSH261" s="18"/>
      <c r="BSI261" s="18"/>
      <c r="BSJ261" s="18"/>
      <c r="BSK261" s="18"/>
      <c r="BSL261" s="18"/>
      <c r="BSM261" s="18"/>
      <c r="BSN261" s="18"/>
      <c r="BSO261" s="18"/>
      <c r="BSP261" s="18"/>
      <c r="BSQ261" s="18"/>
      <c r="BSR261" s="18"/>
      <c r="BSS261" s="18"/>
      <c r="BST261" s="18"/>
      <c r="BSU261" s="18"/>
      <c r="BSV261" s="18"/>
      <c r="BSW261" s="18"/>
      <c r="BSX261" s="18"/>
      <c r="BSY261" s="18"/>
      <c r="BSZ261" s="18"/>
      <c r="BTA261" s="18"/>
      <c r="BTB261" s="18"/>
      <c r="BTC261" s="18"/>
      <c r="BTD261" s="18"/>
      <c r="BTE261" s="18"/>
      <c r="BTF261" s="18"/>
      <c r="BTG261" s="18"/>
      <c r="BTH261" s="18"/>
      <c r="BTI261" s="18"/>
    </row>
    <row r="262" spans="1:1881" s="769" customFormat="1" ht="110.25" customHeight="1" x14ac:dyDescent="0.3">
      <c r="A262" s="124">
        <v>622</v>
      </c>
      <c r="B262" s="770" t="s">
        <v>362</v>
      </c>
      <c r="C262" s="124" t="s">
        <v>433</v>
      </c>
      <c r="D262" s="124" t="s">
        <v>1125</v>
      </c>
      <c r="E262" s="669" t="e">
        <f>HLOOKUP($D$2,'2020 Data(H)'!$C$1:$CZ$426,282,FALSE)</f>
        <v>#N/A</v>
      </c>
      <c r="F262" s="294">
        <v>0</v>
      </c>
      <c r="G262" s="730"/>
      <c r="H262" s="17"/>
      <c r="I262" s="766"/>
      <c r="J262" s="18"/>
      <c r="K262" s="18"/>
      <c r="L262" s="18"/>
      <c r="M262" s="18"/>
      <c r="N262" s="296"/>
      <c r="O262" s="18"/>
      <c r="P262" s="18"/>
      <c r="Q262" s="18"/>
      <c r="R262" s="18"/>
      <c r="S262" s="18"/>
      <c r="T262" s="18"/>
      <c r="U262" s="18"/>
      <c r="V262" s="18"/>
      <c r="W262" s="18"/>
      <c r="X262" s="18"/>
      <c r="Y262" s="18"/>
      <c r="Z262" s="124"/>
      <c r="AA262" s="124"/>
      <c r="AB262" s="124"/>
      <c r="AC262" s="124"/>
      <c r="AD262" s="124"/>
      <c r="AE262" s="124"/>
      <c r="AF262" s="124"/>
      <c r="AG262" s="124"/>
      <c r="AH262" s="124"/>
      <c r="AI262" s="124"/>
      <c r="AJ262" s="124"/>
      <c r="AK262" s="124"/>
      <c r="AL262" s="124"/>
      <c r="AM262" s="124"/>
      <c r="AN262" s="124"/>
      <c r="AO262" s="124"/>
      <c r="AP262" s="124"/>
      <c r="AQ262" s="124"/>
      <c r="AR262" s="124"/>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8"/>
      <c r="HB262" s="18"/>
      <c r="HC262" s="18"/>
      <c r="HD262" s="18"/>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c r="JI262" s="18"/>
      <c r="JJ262" s="18"/>
      <c r="JK262" s="18"/>
      <c r="JL262" s="18"/>
      <c r="JM262" s="18"/>
      <c r="JN262" s="18"/>
      <c r="JO262" s="18"/>
      <c r="JP262" s="18"/>
      <c r="JQ262" s="18"/>
      <c r="JR262" s="18"/>
      <c r="JS262" s="18"/>
      <c r="JT262" s="18"/>
      <c r="JU262" s="18"/>
      <c r="JV262" s="18"/>
      <c r="JW262" s="18"/>
      <c r="JX262" s="18"/>
      <c r="JY262" s="18"/>
      <c r="JZ262" s="18"/>
      <c r="KA262" s="18"/>
      <c r="KB262" s="18"/>
      <c r="KC262" s="18"/>
      <c r="KD262" s="18"/>
      <c r="KE262" s="18"/>
      <c r="KF262" s="18"/>
      <c r="KG262" s="18"/>
      <c r="KH262" s="18"/>
      <c r="KI262" s="18"/>
      <c r="KJ262" s="18"/>
      <c r="KK262" s="18"/>
      <c r="KL262" s="18"/>
      <c r="KM262" s="18"/>
      <c r="KN262" s="18"/>
      <c r="KO262" s="18"/>
      <c r="KP262" s="18"/>
      <c r="KQ262" s="18"/>
      <c r="KR262" s="18"/>
      <c r="KS262" s="18"/>
      <c r="KT262" s="18"/>
      <c r="KU262" s="18"/>
      <c r="KV262" s="18"/>
      <c r="KW262" s="18"/>
      <c r="KX262" s="18"/>
      <c r="KY262" s="18"/>
      <c r="KZ262" s="18"/>
      <c r="LA262" s="18"/>
      <c r="LB262" s="18"/>
      <c r="LC262" s="18"/>
      <c r="LD262" s="18"/>
      <c r="LE262" s="18"/>
      <c r="LF262" s="18"/>
      <c r="LG262" s="18"/>
      <c r="LH262" s="18"/>
      <c r="LI262" s="18"/>
      <c r="LJ262" s="18"/>
      <c r="LK262" s="18"/>
      <c r="LL262" s="18"/>
      <c r="LM262" s="18"/>
      <c r="LN262" s="18"/>
      <c r="LO262" s="18"/>
      <c r="LP262" s="18"/>
      <c r="LQ262" s="18"/>
      <c r="LR262" s="18"/>
      <c r="LS262" s="18"/>
      <c r="LT262" s="18"/>
      <c r="LU262" s="18"/>
      <c r="LV262" s="18"/>
      <c r="LW262" s="18"/>
      <c r="LX262" s="18"/>
      <c r="LY262" s="18"/>
      <c r="LZ262" s="18"/>
      <c r="MA262" s="18"/>
      <c r="MB262" s="18"/>
      <c r="MC262" s="18"/>
      <c r="MD262" s="18"/>
      <c r="ME262" s="18"/>
      <c r="MF262" s="18"/>
      <c r="MG262" s="18"/>
      <c r="MH262" s="18"/>
      <c r="MI262" s="18"/>
      <c r="MJ262" s="18"/>
      <c r="MK262" s="18"/>
      <c r="ML262" s="18"/>
      <c r="MM262" s="18"/>
      <c r="MN262" s="18"/>
      <c r="MO262" s="18"/>
      <c r="MP262" s="18"/>
      <c r="MQ262" s="18"/>
      <c r="MR262" s="18"/>
      <c r="MS262" s="18"/>
      <c r="MT262" s="18"/>
      <c r="MU262" s="18"/>
      <c r="MV262" s="18"/>
      <c r="MW262" s="18"/>
      <c r="MX262" s="18"/>
      <c r="MY262" s="18"/>
      <c r="MZ262" s="18"/>
      <c r="NA262" s="18"/>
      <c r="NB262" s="18"/>
      <c r="NC262" s="18"/>
      <c r="ND262" s="18"/>
      <c r="NE262" s="18"/>
      <c r="NF262" s="18"/>
      <c r="NG262" s="18"/>
      <c r="NH262" s="18"/>
      <c r="NI262" s="18"/>
      <c r="NJ262" s="18"/>
      <c r="NK262" s="18"/>
      <c r="NL262" s="18"/>
      <c r="NM262" s="18"/>
      <c r="NN262" s="18"/>
      <c r="NO262" s="18"/>
      <c r="NP262" s="18"/>
      <c r="NQ262" s="18"/>
      <c r="NR262" s="18"/>
      <c r="NS262" s="18"/>
      <c r="NT262" s="18"/>
      <c r="NU262" s="18"/>
      <c r="NV262" s="18"/>
      <c r="NW262" s="18"/>
      <c r="NX262" s="18"/>
      <c r="NY262" s="18"/>
      <c r="NZ262" s="18"/>
      <c r="OA262" s="18"/>
      <c r="OB262" s="18"/>
      <c r="OC262" s="18"/>
      <c r="OD262" s="18"/>
      <c r="OE262" s="18"/>
      <c r="OF262" s="18"/>
      <c r="OG262" s="18"/>
      <c r="OH262" s="18"/>
      <c r="OI262" s="18"/>
      <c r="OJ262" s="18"/>
      <c r="OK262" s="18"/>
      <c r="OL262" s="18"/>
      <c r="OM262" s="18"/>
      <c r="ON262" s="18"/>
      <c r="OO262" s="18"/>
      <c r="OP262" s="18"/>
      <c r="OQ262" s="18"/>
      <c r="OR262" s="18"/>
      <c r="OS262" s="18"/>
      <c r="OT262" s="18"/>
      <c r="OU262" s="18"/>
      <c r="OV262" s="18"/>
      <c r="OW262" s="18"/>
      <c r="OX262" s="18"/>
      <c r="OY262" s="18"/>
      <c r="OZ262" s="18"/>
      <c r="PA262" s="18"/>
      <c r="PB262" s="18"/>
      <c r="PC262" s="18"/>
      <c r="PD262" s="18"/>
      <c r="PE262" s="18"/>
      <c r="PF262" s="18"/>
      <c r="PG262" s="18"/>
      <c r="PH262" s="18"/>
      <c r="PI262" s="18"/>
      <c r="PJ262" s="18"/>
      <c r="PK262" s="18"/>
      <c r="PL262" s="18"/>
      <c r="PM262" s="18"/>
      <c r="PN262" s="18"/>
      <c r="PO262" s="18"/>
      <c r="PP262" s="18"/>
      <c r="PQ262" s="18"/>
      <c r="PR262" s="18"/>
      <c r="PS262" s="18"/>
      <c r="PT262" s="18"/>
      <c r="PU262" s="18"/>
      <c r="PV262" s="18"/>
      <c r="PW262" s="18"/>
      <c r="PX262" s="18"/>
      <c r="PY262" s="18"/>
      <c r="PZ262" s="18"/>
      <c r="QA262" s="18"/>
      <c r="QB262" s="18"/>
      <c r="QC262" s="18"/>
      <c r="QD262" s="18"/>
      <c r="QE262" s="18"/>
      <c r="QF262" s="18"/>
      <c r="QG262" s="18"/>
      <c r="QH262" s="18"/>
      <c r="QI262" s="18"/>
      <c r="QJ262" s="18"/>
      <c r="QK262" s="18"/>
      <c r="QL262" s="18"/>
      <c r="QM262" s="18"/>
      <c r="QN262" s="18"/>
      <c r="QO262" s="18"/>
      <c r="QP262" s="18"/>
      <c r="QQ262" s="18"/>
      <c r="QR262" s="18"/>
      <c r="QS262" s="18"/>
      <c r="QT262" s="18"/>
      <c r="QU262" s="18"/>
      <c r="QV262" s="18"/>
      <c r="QW262" s="18"/>
      <c r="QX262" s="18"/>
      <c r="QY262" s="18"/>
      <c r="QZ262" s="18"/>
      <c r="RA262" s="18"/>
      <c r="RB262" s="18"/>
      <c r="RC262" s="18"/>
      <c r="RD262" s="18"/>
      <c r="RE262" s="18"/>
      <c r="RF262" s="18"/>
      <c r="RG262" s="18"/>
      <c r="RH262" s="18"/>
      <c r="RI262" s="18"/>
      <c r="RJ262" s="18"/>
      <c r="RK262" s="18"/>
      <c r="RL262" s="18"/>
      <c r="RM262" s="18"/>
      <c r="RN262" s="18"/>
      <c r="RO262" s="18"/>
      <c r="RP262" s="18"/>
      <c r="RQ262" s="18"/>
      <c r="RR262" s="18"/>
      <c r="RS262" s="18"/>
      <c r="RT262" s="18"/>
      <c r="RU262" s="18"/>
      <c r="RV262" s="18"/>
      <c r="RW262" s="18"/>
      <c r="RX262" s="18"/>
      <c r="RY262" s="18"/>
      <c r="RZ262" s="18"/>
      <c r="SA262" s="18"/>
      <c r="SB262" s="18"/>
      <c r="SC262" s="18"/>
      <c r="SD262" s="18"/>
      <c r="SE262" s="18"/>
      <c r="SF262" s="18"/>
      <c r="SG262" s="18"/>
      <c r="SH262" s="18"/>
      <c r="SI262" s="18"/>
      <c r="SJ262" s="18"/>
      <c r="SK262" s="18"/>
      <c r="SL262" s="18"/>
      <c r="SM262" s="18"/>
      <c r="SN262" s="18"/>
      <c r="SO262" s="18"/>
      <c r="SP262" s="18"/>
      <c r="SQ262" s="18"/>
      <c r="SR262" s="18"/>
      <c r="SS262" s="18"/>
      <c r="ST262" s="18"/>
      <c r="SU262" s="18"/>
      <c r="SV262" s="18"/>
      <c r="SW262" s="18"/>
      <c r="SX262" s="18"/>
      <c r="SY262" s="18"/>
      <c r="SZ262" s="18"/>
      <c r="TA262" s="18"/>
      <c r="TB262" s="18"/>
      <c r="TC262" s="18"/>
      <c r="TD262" s="18"/>
      <c r="TE262" s="18"/>
      <c r="TF262" s="18"/>
      <c r="TG262" s="18"/>
      <c r="TH262" s="18"/>
      <c r="TI262" s="18"/>
      <c r="TJ262" s="18"/>
      <c r="TK262" s="18"/>
      <c r="TL262" s="18"/>
      <c r="TM262" s="18"/>
      <c r="TN262" s="18"/>
      <c r="TO262" s="18"/>
      <c r="TP262" s="18"/>
      <c r="TQ262" s="18"/>
      <c r="TR262" s="18"/>
      <c r="TS262" s="18"/>
      <c r="TT262" s="18"/>
      <c r="TU262" s="18"/>
      <c r="TV262" s="18"/>
      <c r="TW262" s="18"/>
      <c r="TX262" s="18"/>
      <c r="TY262" s="18"/>
      <c r="TZ262" s="18"/>
      <c r="UA262" s="18"/>
      <c r="UB262" s="18"/>
      <c r="UC262" s="18"/>
      <c r="UD262" s="18"/>
      <c r="UE262" s="18"/>
      <c r="UF262" s="18"/>
      <c r="UG262" s="18"/>
      <c r="UH262" s="18"/>
      <c r="UI262" s="18"/>
      <c r="UJ262" s="18"/>
      <c r="UK262" s="18"/>
      <c r="UL262" s="18"/>
      <c r="UM262" s="18"/>
      <c r="UN262" s="18"/>
      <c r="UO262" s="18"/>
      <c r="UP262" s="18"/>
      <c r="UQ262" s="18"/>
      <c r="UR262" s="18"/>
      <c r="US262" s="18"/>
      <c r="UT262" s="18"/>
      <c r="UU262" s="18"/>
      <c r="UV262" s="18"/>
      <c r="UW262" s="18"/>
      <c r="UX262" s="18"/>
      <c r="UY262" s="18"/>
      <c r="UZ262" s="18"/>
      <c r="VA262" s="18"/>
      <c r="VB262" s="18"/>
      <c r="VC262" s="18"/>
      <c r="VD262" s="18"/>
      <c r="VE262" s="18"/>
      <c r="VF262" s="18"/>
      <c r="VG262" s="18"/>
      <c r="VH262" s="18"/>
      <c r="VI262" s="18"/>
      <c r="VJ262" s="18"/>
      <c r="VK262" s="18"/>
      <c r="VL262" s="18"/>
      <c r="VM262" s="18"/>
      <c r="VN262" s="18"/>
      <c r="VO262" s="18"/>
      <c r="VP262" s="18"/>
      <c r="VQ262" s="18"/>
      <c r="VR262" s="18"/>
      <c r="VS262" s="18"/>
      <c r="VT262" s="18"/>
      <c r="VU262" s="18"/>
      <c r="VV262" s="18"/>
      <c r="VW262" s="18"/>
      <c r="VX262" s="18"/>
      <c r="VY262" s="18"/>
      <c r="VZ262" s="18"/>
      <c r="WA262" s="18"/>
      <c r="WB262" s="18"/>
      <c r="WC262" s="18"/>
      <c r="WD262" s="18"/>
      <c r="WE262" s="18"/>
      <c r="WF262" s="18"/>
      <c r="WG262" s="18"/>
      <c r="WH262" s="18"/>
      <c r="WI262" s="18"/>
      <c r="WJ262" s="18"/>
      <c r="WK262" s="18"/>
      <c r="WL262" s="18"/>
      <c r="WM262" s="18"/>
      <c r="WN262" s="18"/>
      <c r="WO262" s="18"/>
      <c r="WP262" s="18"/>
      <c r="WQ262" s="18"/>
      <c r="WR262" s="18"/>
      <c r="WS262" s="18"/>
      <c r="WT262" s="18"/>
      <c r="WU262" s="18"/>
      <c r="WV262" s="18"/>
      <c r="WW262" s="18"/>
      <c r="WX262" s="18"/>
      <c r="WY262" s="18"/>
      <c r="WZ262" s="18"/>
      <c r="XA262" s="18"/>
      <c r="XB262" s="18"/>
      <c r="XC262" s="18"/>
      <c r="XD262" s="18"/>
      <c r="XE262" s="18"/>
      <c r="XF262" s="18"/>
      <c r="XG262" s="18"/>
      <c r="XH262" s="18"/>
      <c r="XI262" s="18"/>
      <c r="XJ262" s="18"/>
      <c r="XK262" s="18"/>
      <c r="XL262" s="18"/>
      <c r="XM262" s="18"/>
      <c r="XN262" s="18"/>
      <c r="XO262" s="18"/>
      <c r="XP262" s="18"/>
      <c r="XQ262" s="18"/>
      <c r="XR262" s="18"/>
      <c r="XS262" s="18"/>
      <c r="XT262" s="18"/>
      <c r="XU262" s="18"/>
      <c r="XV262" s="18"/>
      <c r="XW262" s="18"/>
      <c r="XX262" s="18"/>
      <c r="XY262" s="18"/>
      <c r="XZ262" s="18"/>
      <c r="YA262" s="18"/>
      <c r="YB262" s="18"/>
      <c r="YC262" s="18"/>
      <c r="YD262" s="18"/>
      <c r="YE262" s="18"/>
      <c r="YF262" s="18"/>
      <c r="YG262" s="18"/>
      <c r="YH262" s="18"/>
      <c r="YI262" s="18"/>
      <c r="YJ262" s="18"/>
      <c r="YK262" s="18"/>
      <c r="YL262" s="18"/>
      <c r="YM262" s="18"/>
      <c r="YN262" s="18"/>
      <c r="YO262" s="18"/>
      <c r="YP262" s="18"/>
      <c r="YQ262" s="18"/>
      <c r="YR262" s="18"/>
      <c r="YS262" s="18"/>
      <c r="YT262" s="18"/>
      <c r="YU262" s="18"/>
      <c r="YV262" s="18"/>
      <c r="YW262" s="18"/>
      <c r="YX262" s="18"/>
      <c r="YY262" s="18"/>
      <c r="YZ262" s="18"/>
      <c r="ZA262" s="18"/>
      <c r="ZB262" s="18"/>
      <c r="ZC262" s="18"/>
      <c r="ZD262" s="18"/>
      <c r="ZE262" s="18"/>
      <c r="ZF262" s="18"/>
      <c r="ZG262" s="18"/>
      <c r="ZH262" s="18"/>
      <c r="ZI262" s="18"/>
      <c r="ZJ262" s="18"/>
      <c r="ZK262" s="18"/>
      <c r="ZL262" s="18"/>
      <c r="ZM262" s="18"/>
      <c r="ZN262" s="18"/>
      <c r="ZO262" s="18"/>
      <c r="ZP262" s="18"/>
      <c r="ZQ262" s="18"/>
      <c r="ZR262" s="18"/>
      <c r="ZS262" s="18"/>
      <c r="ZT262" s="18"/>
      <c r="ZU262" s="18"/>
      <c r="ZV262" s="18"/>
      <c r="ZW262" s="18"/>
      <c r="ZX262" s="18"/>
      <c r="ZY262" s="18"/>
      <c r="ZZ262" s="18"/>
      <c r="AAA262" s="18"/>
      <c r="AAB262" s="18"/>
      <c r="AAC262" s="18"/>
      <c r="AAD262" s="18"/>
      <c r="AAE262" s="18"/>
      <c r="AAF262" s="18"/>
      <c r="AAG262" s="18"/>
      <c r="AAH262" s="18"/>
      <c r="AAI262" s="18"/>
      <c r="AAJ262" s="18"/>
      <c r="AAK262" s="18"/>
      <c r="AAL262" s="18"/>
      <c r="AAM262" s="18"/>
      <c r="AAN262" s="18"/>
      <c r="AAO262" s="18"/>
      <c r="AAP262" s="18"/>
      <c r="AAQ262" s="18"/>
      <c r="AAR262" s="18"/>
      <c r="AAS262" s="18"/>
      <c r="AAT262" s="18"/>
      <c r="AAU262" s="18"/>
      <c r="AAV262" s="18"/>
      <c r="AAW262" s="18"/>
      <c r="AAX262" s="18"/>
      <c r="AAY262" s="18"/>
      <c r="AAZ262" s="18"/>
      <c r="ABA262" s="18"/>
      <c r="ABB262" s="18"/>
      <c r="ABC262" s="18"/>
      <c r="ABD262" s="18"/>
      <c r="ABE262" s="18"/>
      <c r="ABF262" s="18"/>
      <c r="ABG262" s="18"/>
      <c r="ABH262" s="18"/>
      <c r="ABI262" s="18"/>
      <c r="ABJ262" s="18"/>
      <c r="ABK262" s="18"/>
      <c r="ABL262" s="18"/>
      <c r="ABM262" s="18"/>
      <c r="ABN262" s="18"/>
      <c r="ABO262" s="18"/>
      <c r="ABP262" s="18"/>
      <c r="ABQ262" s="18"/>
      <c r="ABR262" s="18"/>
      <c r="ABS262" s="18"/>
      <c r="ABT262" s="18"/>
      <c r="ABU262" s="18"/>
      <c r="ABV262" s="18"/>
      <c r="ABW262" s="18"/>
      <c r="ABX262" s="18"/>
      <c r="ABY262" s="18"/>
      <c r="ABZ262" s="18"/>
      <c r="ACA262" s="18"/>
      <c r="ACB262" s="18"/>
      <c r="ACC262" s="18"/>
      <c r="ACD262" s="18"/>
      <c r="ACE262" s="18"/>
      <c r="ACF262" s="18"/>
      <c r="ACG262" s="18"/>
      <c r="ACH262" s="18"/>
      <c r="ACI262" s="18"/>
      <c r="ACJ262" s="18"/>
      <c r="ACK262" s="18"/>
      <c r="ACL262" s="18"/>
      <c r="ACM262" s="18"/>
      <c r="ACN262" s="18"/>
      <c r="ACO262" s="18"/>
      <c r="ACP262" s="18"/>
      <c r="ACQ262" s="18"/>
      <c r="ACR262" s="18"/>
      <c r="ACS262" s="18"/>
      <c r="ACT262" s="18"/>
      <c r="ACU262" s="18"/>
      <c r="ACV262" s="18"/>
      <c r="ACW262" s="18"/>
      <c r="ACX262" s="18"/>
      <c r="ACY262" s="18"/>
      <c r="ACZ262" s="18"/>
      <c r="ADA262" s="18"/>
      <c r="ADB262" s="18"/>
      <c r="ADC262" s="18"/>
      <c r="ADD262" s="18"/>
      <c r="ADE262" s="18"/>
      <c r="ADF262" s="18"/>
      <c r="ADG262" s="18"/>
      <c r="ADH262" s="18"/>
      <c r="ADI262" s="18"/>
      <c r="ADJ262" s="18"/>
      <c r="ADK262" s="18"/>
      <c r="ADL262" s="18"/>
      <c r="ADM262" s="18"/>
      <c r="ADN262" s="18"/>
      <c r="ADO262" s="18"/>
      <c r="ADP262" s="18"/>
      <c r="ADQ262" s="18"/>
      <c r="ADR262" s="18"/>
      <c r="ADS262" s="18"/>
      <c r="ADT262" s="18"/>
      <c r="ADU262" s="18"/>
      <c r="ADV262" s="18"/>
      <c r="ADW262" s="18"/>
      <c r="ADX262" s="18"/>
      <c r="ADY262" s="18"/>
      <c r="ADZ262" s="18"/>
      <c r="AEA262" s="18"/>
      <c r="AEB262" s="18"/>
      <c r="AEC262" s="18"/>
      <c r="AED262" s="18"/>
      <c r="AEE262" s="18"/>
      <c r="AEF262" s="18"/>
      <c r="AEG262" s="18"/>
      <c r="AEH262" s="18"/>
      <c r="AEI262" s="18"/>
      <c r="AEJ262" s="18"/>
      <c r="AEK262" s="18"/>
      <c r="AEL262" s="18"/>
      <c r="AEM262" s="18"/>
      <c r="AEN262" s="18"/>
      <c r="AEO262" s="18"/>
      <c r="AEP262" s="18"/>
      <c r="AEQ262" s="18"/>
      <c r="AER262" s="18"/>
      <c r="AES262" s="18"/>
      <c r="AET262" s="18"/>
      <c r="AEU262" s="18"/>
      <c r="AEV262" s="18"/>
      <c r="AEW262" s="18"/>
      <c r="AEX262" s="18"/>
      <c r="AEY262" s="18"/>
      <c r="AEZ262" s="18"/>
      <c r="AFA262" s="18"/>
      <c r="AFB262" s="18"/>
      <c r="AFC262" s="18"/>
      <c r="AFD262" s="18"/>
      <c r="AFE262" s="18"/>
      <c r="AFF262" s="18"/>
      <c r="AFG262" s="18"/>
      <c r="AFH262" s="18"/>
      <c r="AFI262" s="18"/>
      <c r="AFJ262" s="18"/>
      <c r="AFK262" s="18"/>
      <c r="AFL262" s="18"/>
      <c r="AFM262" s="18"/>
      <c r="AFN262" s="18"/>
      <c r="AFO262" s="18"/>
      <c r="AFP262" s="18"/>
      <c r="AFQ262" s="18"/>
      <c r="AFR262" s="18"/>
      <c r="AFS262" s="18"/>
      <c r="AFT262" s="18"/>
      <c r="AFU262" s="18"/>
      <c r="AFV262" s="18"/>
      <c r="AFW262" s="18"/>
      <c r="AFX262" s="18"/>
      <c r="AFY262" s="18"/>
      <c r="AFZ262" s="18"/>
      <c r="AGA262" s="18"/>
      <c r="AGB262" s="18"/>
      <c r="AGC262" s="18"/>
      <c r="AGD262" s="18"/>
      <c r="AGE262" s="18"/>
      <c r="AGF262" s="18"/>
      <c r="AGG262" s="18"/>
      <c r="AGH262" s="18"/>
      <c r="AGI262" s="18"/>
      <c r="AGJ262" s="18"/>
      <c r="AGK262" s="18"/>
      <c r="AGL262" s="18"/>
      <c r="AGM262" s="18"/>
      <c r="AGN262" s="18"/>
      <c r="AGO262" s="18"/>
      <c r="AGP262" s="18"/>
      <c r="AGQ262" s="18"/>
      <c r="AGR262" s="18"/>
      <c r="AGS262" s="18"/>
      <c r="AGT262" s="18"/>
      <c r="AGU262" s="18"/>
      <c r="AGV262" s="18"/>
      <c r="AGW262" s="18"/>
      <c r="AGX262" s="18"/>
      <c r="AGY262" s="18"/>
      <c r="AGZ262" s="18"/>
      <c r="AHA262" s="18"/>
      <c r="AHB262" s="18"/>
      <c r="AHC262" s="18"/>
      <c r="AHD262" s="18"/>
      <c r="AHE262" s="18"/>
      <c r="AHF262" s="18"/>
      <c r="AHG262" s="18"/>
      <c r="AHH262" s="18"/>
      <c r="AHI262" s="18"/>
      <c r="AHJ262" s="18"/>
      <c r="AHK262" s="18"/>
      <c r="AHL262" s="18"/>
      <c r="AHM262" s="18"/>
      <c r="AHN262" s="18"/>
      <c r="AHO262" s="18"/>
      <c r="AHP262" s="18"/>
      <c r="AHQ262" s="18"/>
      <c r="AHR262" s="18"/>
      <c r="AHS262" s="18"/>
      <c r="AHT262" s="18"/>
      <c r="AHU262" s="18"/>
      <c r="AHV262" s="18"/>
      <c r="AHW262" s="18"/>
      <c r="AHX262" s="18"/>
      <c r="AHY262" s="18"/>
      <c r="AHZ262" s="18"/>
      <c r="AIA262" s="18"/>
      <c r="AIB262" s="18"/>
      <c r="AIC262" s="18"/>
      <c r="AID262" s="18"/>
      <c r="AIE262" s="18"/>
      <c r="AIF262" s="18"/>
      <c r="AIG262" s="18"/>
      <c r="AIH262" s="18"/>
      <c r="AII262" s="18"/>
      <c r="AIJ262" s="18"/>
      <c r="AIK262" s="18"/>
      <c r="AIL262" s="18"/>
      <c r="AIM262" s="18"/>
      <c r="AIN262" s="18"/>
      <c r="AIO262" s="18"/>
      <c r="AIP262" s="18"/>
      <c r="AIQ262" s="18"/>
      <c r="AIR262" s="18"/>
      <c r="AIS262" s="18"/>
      <c r="AIT262" s="18"/>
      <c r="AIU262" s="18"/>
      <c r="AIV262" s="18"/>
      <c r="AIW262" s="18"/>
      <c r="AIX262" s="18"/>
      <c r="AIY262" s="18"/>
      <c r="AIZ262" s="18"/>
      <c r="AJA262" s="18"/>
      <c r="AJB262" s="18"/>
      <c r="AJC262" s="18"/>
      <c r="AJD262" s="18"/>
      <c r="AJE262" s="18"/>
      <c r="AJF262" s="18"/>
      <c r="AJG262" s="18"/>
      <c r="AJH262" s="18"/>
      <c r="AJI262" s="18"/>
      <c r="AJJ262" s="18"/>
      <c r="AJK262" s="18"/>
      <c r="AJL262" s="18"/>
      <c r="AJM262" s="18"/>
      <c r="AJN262" s="18"/>
      <c r="AJO262" s="18"/>
      <c r="AJP262" s="18"/>
      <c r="AJQ262" s="18"/>
      <c r="AJR262" s="18"/>
      <c r="AJS262" s="18"/>
      <c r="AJT262" s="18"/>
      <c r="AJU262" s="18"/>
      <c r="AJV262" s="18"/>
      <c r="AJW262" s="18"/>
      <c r="AJX262" s="18"/>
      <c r="AJY262" s="18"/>
      <c r="AJZ262" s="18"/>
      <c r="AKA262" s="18"/>
      <c r="AKB262" s="18"/>
      <c r="AKC262" s="18"/>
      <c r="AKD262" s="18"/>
      <c r="AKE262" s="18"/>
      <c r="AKF262" s="18"/>
      <c r="AKG262" s="18"/>
      <c r="AKH262" s="18"/>
      <c r="AKI262" s="18"/>
      <c r="AKJ262" s="18"/>
      <c r="AKK262" s="18"/>
      <c r="AKL262" s="18"/>
      <c r="AKM262" s="18"/>
      <c r="AKN262" s="18"/>
      <c r="AKO262" s="18"/>
      <c r="AKP262" s="18"/>
      <c r="AKQ262" s="18"/>
      <c r="AKR262" s="18"/>
      <c r="AKS262" s="18"/>
      <c r="AKT262" s="18"/>
      <c r="AKU262" s="18"/>
      <c r="AKV262" s="18"/>
      <c r="AKW262" s="18"/>
      <c r="AKX262" s="18"/>
      <c r="AKY262" s="18"/>
      <c r="AKZ262" s="18"/>
      <c r="ALA262" s="18"/>
      <c r="ALB262" s="18"/>
      <c r="ALC262" s="18"/>
      <c r="ALD262" s="18"/>
      <c r="ALE262" s="18"/>
      <c r="ALF262" s="18"/>
      <c r="ALG262" s="18"/>
      <c r="ALH262" s="18"/>
      <c r="ALI262" s="18"/>
      <c r="ALJ262" s="18"/>
      <c r="ALK262" s="18"/>
      <c r="ALL262" s="18"/>
      <c r="ALM262" s="18"/>
      <c r="ALN262" s="18"/>
      <c r="ALO262" s="18"/>
      <c r="ALP262" s="18"/>
      <c r="ALQ262" s="18"/>
      <c r="ALR262" s="18"/>
      <c r="ALS262" s="18"/>
      <c r="ALT262" s="18"/>
      <c r="ALU262" s="18"/>
      <c r="ALV262" s="18"/>
      <c r="ALW262" s="18"/>
      <c r="ALX262" s="18"/>
      <c r="ALY262" s="18"/>
      <c r="ALZ262" s="18"/>
      <c r="AMA262" s="18"/>
      <c r="AMB262" s="18"/>
      <c r="AMC262" s="18"/>
      <c r="AMD262" s="18"/>
      <c r="AME262" s="18"/>
      <c r="AMF262" s="18"/>
      <c r="AMG262" s="18"/>
      <c r="AMH262" s="18"/>
      <c r="AMI262" s="18"/>
      <c r="AMJ262" s="18"/>
      <c r="AMK262" s="18"/>
      <c r="AML262" s="18"/>
      <c r="AMM262" s="18"/>
      <c r="AMN262" s="18"/>
      <c r="AMO262" s="18"/>
      <c r="AMP262" s="18"/>
      <c r="AMQ262" s="18"/>
      <c r="AMR262" s="18"/>
      <c r="AMS262" s="18"/>
      <c r="AMT262" s="18"/>
      <c r="AMU262" s="18"/>
      <c r="AMV262" s="18"/>
      <c r="AMW262" s="18"/>
      <c r="AMX262" s="18"/>
      <c r="AMY262" s="18"/>
      <c r="AMZ262" s="18"/>
      <c r="ANA262" s="18"/>
      <c r="ANB262" s="18"/>
      <c r="ANC262" s="18"/>
      <c r="AND262" s="18"/>
      <c r="ANE262" s="18"/>
      <c r="ANF262" s="18"/>
      <c r="ANG262" s="18"/>
      <c r="ANH262" s="18"/>
      <c r="ANI262" s="18"/>
      <c r="ANJ262" s="18"/>
      <c r="ANK262" s="18"/>
      <c r="ANL262" s="18"/>
      <c r="ANM262" s="18"/>
      <c r="ANN262" s="18"/>
      <c r="ANO262" s="18"/>
      <c r="ANP262" s="18"/>
      <c r="ANQ262" s="18"/>
      <c r="ANR262" s="18"/>
      <c r="ANS262" s="18"/>
      <c r="ANT262" s="18"/>
      <c r="ANU262" s="18"/>
      <c r="ANV262" s="18"/>
      <c r="ANW262" s="18"/>
      <c r="ANX262" s="18"/>
      <c r="ANY262" s="18"/>
      <c r="ANZ262" s="18"/>
      <c r="AOA262" s="18"/>
      <c r="AOB262" s="18"/>
      <c r="AOC262" s="18"/>
      <c r="AOD262" s="18"/>
      <c r="AOE262" s="18"/>
      <c r="AOF262" s="18"/>
      <c r="AOG262" s="18"/>
      <c r="AOH262" s="18"/>
      <c r="AOI262" s="18"/>
      <c r="AOJ262" s="18"/>
      <c r="AOK262" s="18"/>
      <c r="AOL262" s="18"/>
      <c r="AOM262" s="18"/>
      <c r="AON262" s="18"/>
      <c r="AOO262" s="18"/>
      <c r="AOP262" s="18"/>
      <c r="AOQ262" s="18"/>
      <c r="AOR262" s="18"/>
      <c r="AOS262" s="18"/>
      <c r="AOT262" s="18"/>
      <c r="AOU262" s="18"/>
      <c r="AOV262" s="18"/>
      <c r="AOW262" s="18"/>
      <c r="AOX262" s="18"/>
      <c r="AOY262" s="18"/>
      <c r="AOZ262" s="18"/>
      <c r="APA262" s="18"/>
      <c r="APB262" s="18"/>
      <c r="APC262" s="18"/>
      <c r="APD262" s="18"/>
      <c r="APE262" s="18"/>
      <c r="APF262" s="18"/>
      <c r="APG262" s="18"/>
      <c r="APH262" s="18"/>
      <c r="API262" s="18"/>
      <c r="APJ262" s="18"/>
      <c r="APK262" s="18"/>
      <c r="APL262" s="18"/>
      <c r="APM262" s="18"/>
      <c r="APN262" s="18"/>
      <c r="APO262" s="18"/>
      <c r="APP262" s="18"/>
      <c r="APQ262" s="18"/>
      <c r="APR262" s="18"/>
      <c r="APS262" s="18"/>
      <c r="APT262" s="18"/>
      <c r="APU262" s="18"/>
      <c r="APV262" s="18"/>
      <c r="APW262" s="18"/>
      <c r="APX262" s="18"/>
      <c r="APY262" s="18"/>
      <c r="APZ262" s="18"/>
      <c r="AQA262" s="18"/>
      <c r="AQB262" s="18"/>
      <c r="AQC262" s="18"/>
      <c r="AQD262" s="18"/>
      <c r="AQE262" s="18"/>
      <c r="AQF262" s="18"/>
      <c r="AQG262" s="18"/>
      <c r="AQH262" s="18"/>
      <c r="AQI262" s="18"/>
      <c r="AQJ262" s="18"/>
      <c r="AQK262" s="18"/>
      <c r="AQL262" s="18"/>
      <c r="AQM262" s="18"/>
      <c r="AQN262" s="18"/>
      <c r="AQO262" s="18"/>
      <c r="AQP262" s="18"/>
      <c r="AQQ262" s="18"/>
      <c r="AQR262" s="18"/>
      <c r="AQS262" s="18"/>
      <c r="AQT262" s="18"/>
      <c r="AQU262" s="18"/>
      <c r="AQV262" s="18"/>
      <c r="AQW262" s="18"/>
      <c r="AQX262" s="18"/>
      <c r="AQY262" s="18"/>
      <c r="AQZ262" s="18"/>
      <c r="ARA262" s="18"/>
      <c r="ARB262" s="18"/>
      <c r="ARC262" s="18"/>
      <c r="ARD262" s="18"/>
      <c r="ARE262" s="18"/>
      <c r="ARF262" s="18"/>
      <c r="ARG262" s="18"/>
      <c r="ARH262" s="18"/>
      <c r="ARI262" s="18"/>
      <c r="ARJ262" s="18"/>
      <c r="ARK262" s="18"/>
      <c r="ARL262" s="18"/>
      <c r="ARM262" s="18"/>
      <c r="ARN262" s="18"/>
      <c r="ARO262" s="18"/>
      <c r="ARP262" s="18"/>
      <c r="ARQ262" s="18"/>
      <c r="ARR262" s="18"/>
      <c r="ARS262" s="18"/>
      <c r="ART262" s="18"/>
      <c r="ARU262" s="18"/>
      <c r="ARV262" s="18"/>
      <c r="ARW262" s="18"/>
      <c r="ARX262" s="18"/>
      <c r="ARY262" s="18"/>
      <c r="ARZ262" s="18"/>
      <c r="ASA262" s="18"/>
      <c r="ASB262" s="18"/>
      <c r="ASC262" s="18"/>
      <c r="ASD262" s="18"/>
      <c r="ASE262" s="18"/>
      <c r="ASF262" s="18"/>
      <c r="ASG262" s="18"/>
      <c r="ASH262" s="18"/>
      <c r="ASI262" s="18"/>
      <c r="ASJ262" s="18"/>
      <c r="ASK262" s="18"/>
      <c r="ASL262" s="18"/>
      <c r="ASM262" s="18"/>
      <c r="ASN262" s="18"/>
      <c r="ASO262" s="18"/>
      <c r="ASP262" s="18"/>
      <c r="ASQ262" s="18"/>
      <c r="ASR262" s="18"/>
      <c r="ASS262" s="18"/>
      <c r="AST262" s="18"/>
      <c r="ASU262" s="18"/>
      <c r="ASV262" s="18"/>
      <c r="ASW262" s="18"/>
      <c r="ASX262" s="18"/>
      <c r="ASY262" s="18"/>
      <c r="ASZ262" s="18"/>
      <c r="ATA262" s="18"/>
      <c r="ATB262" s="18"/>
      <c r="ATC262" s="18"/>
      <c r="ATD262" s="18"/>
      <c r="ATE262" s="18"/>
      <c r="ATF262" s="18"/>
      <c r="ATG262" s="18"/>
      <c r="ATH262" s="18"/>
      <c r="ATI262" s="18"/>
      <c r="ATJ262" s="18"/>
      <c r="ATK262" s="18"/>
      <c r="ATL262" s="18"/>
      <c r="ATM262" s="18"/>
      <c r="ATN262" s="18"/>
      <c r="ATO262" s="18"/>
      <c r="ATP262" s="18"/>
      <c r="ATQ262" s="18"/>
      <c r="ATR262" s="18"/>
      <c r="ATS262" s="18"/>
      <c r="ATT262" s="18"/>
      <c r="ATU262" s="18"/>
      <c r="ATV262" s="18"/>
      <c r="ATW262" s="18"/>
      <c r="ATX262" s="18"/>
      <c r="ATY262" s="18"/>
      <c r="ATZ262" s="18"/>
      <c r="AUA262" s="18"/>
      <c r="AUB262" s="18"/>
      <c r="AUC262" s="18"/>
      <c r="AUD262" s="18"/>
      <c r="AUE262" s="18"/>
      <c r="AUF262" s="18"/>
      <c r="AUG262" s="18"/>
      <c r="AUH262" s="18"/>
      <c r="AUI262" s="18"/>
      <c r="AUJ262" s="18"/>
      <c r="AUK262" s="18"/>
      <c r="AUL262" s="18"/>
      <c r="AUM262" s="18"/>
      <c r="AUN262" s="18"/>
      <c r="AUO262" s="18"/>
      <c r="AUP262" s="18"/>
      <c r="AUQ262" s="18"/>
      <c r="AUR262" s="18"/>
      <c r="AUS262" s="18"/>
      <c r="AUT262" s="18"/>
      <c r="AUU262" s="18"/>
      <c r="AUV262" s="18"/>
      <c r="AUW262" s="18"/>
      <c r="AUX262" s="18"/>
      <c r="AUY262" s="18"/>
      <c r="AUZ262" s="18"/>
      <c r="AVA262" s="18"/>
      <c r="AVB262" s="18"/>
      <c r="AVC262" s="18"/>
      <c r="AVD262" s="18"/>
      <c r="AVE262" s="18"/>
      <c r="AVF262" s="18"/>
      <c r="AVG262" s="18"/>
      <c r="AVH262" s="18"/>
      <c r="AVI262" s="18"/>
      <c r="AVJ262" s="18"/>
      <c r="AVK262" s="18"/>
      <c r="AVL262" s="18"/>
      <c r="AVM262" s="18"/>
      <c r="AVN262" s="18"/>
      <c r="AVO262" s="18"/>
      <c r="AVP262" s="18"/>
      <c r="AVQ262" s="18"/>
      <c r="AVR262" s="18"/>
      <c r="AVS262" s="18"/>
      <c r="AVT262" s="18"/>
      <c r="AVU262" s="18"/>
      <c r="AVV262" s="18"/>
      <c r="AVW262" s="18"/>
      <c r="AVX262" s="18"/>
      <c r="AVY262" s="18"/>
      <c r="AVZ262" s="18"/>
      <c r="AWA262" s="18"/>
      <c r="AWB262" s="18"/>
      <c r="AWC262" s="18"/>
      <c r="AWD262" s="18"/>
      <c r="AWE262" s="18"/>
      <c r="AWF262" s="18"/>
      <c r="AWG262" s="18"/>
      <c r="AWH262" s="18"/>
      <c r="AWI262" s="18"/>
      <c r="AWJ262" s="18"/>
      <c r="AWK262" s="18"/>
      <c r="AWL262" s="18"/>
      <c r="AWM262" s="18"/>
      <c r="AWN262" s="18"/>
      <c r="AWO262" s="18"/>
      <c r="AWP262" s="18"/>
      <c r="AWQ262" s="18"/>
      <c r="AWR262" s="18"/>
      <c r="AWS262" s="18"/>
      <c r="AWT262" s="18"/>
      <c r="AWU262" s="18"/>
      <c r="AWV262" s="18"/>
      <c r="AWW262" s="18"/>
      <c r="AWX262" s="18"/>
      <c r="AWY262" s="18"/>
      <c r="AWZ262" s="18"/>
      <c r="AXA262" s="18"/>
      <c r="AXB262" s="18"/>
      <c r="AXC262" s="18"/>
      <c r="AXD262" s="18"/>
      <c r="AXE262" s="18"/>
      <c r="AXF262" s="18"/>
      <c r="AXG262" s="18"/>
      <c r="AXH262" s="18"/>
      <c r="AXI262" s="18"/>
      <c r="AXJ262" s="18"/>
      <c r="AXK262" s="18"/>
      <c r="AXL262" s="18"/>
      <c r="AXM262" s="18"/>
      <c r="AXN262" s="18"/>
      <c r="AXO262" s="18"/>
      <c r="AXP262" s="18"/>
      <c r="AXQ262" s="18"/>
      <c r="AXR262" s="18"/>
      <c r="AXS262" s="18"/>
      <c r="AXT262" s="18"/>
      <c r="AXU262" s="18"/>
      <c r="AXV262" s="18"/>
      <c r="AXW262" s="18"/>
      <c r="AXX262" s="18"/>
      <c r="AXY262" s="18"/>
      <c r="AXZ262" s="18"/>
      <c r="AYA262" s="18"/>
      <c r="AYB262" s="18"/>
      <c r="AYC262" s="18"/>
      <c r="AYD262" s="18"/>
      <c r="AYE262" s="18"/>
      <c r="AYF262" s="18"/>
      <c r="AYG262" s="18"/>
      <c r="AYH262" s="18"/>
      <c r="AYI262" s="18"/>
      <c r="AYJ262" s="18"/>
      <c r="AYK262" s="18"/>
      <c r="AYL262" s="18"/>
      <c r="AYM262" s="18"/>
      <c r="AYN262" s="18"/>
      <c r="AYO262" s="18"/>
      <c r="AYP262" s="18"/>
      <c r="AYQ262" s="18"/>
      <c r="AYR262" s="18"/>
      <c r="AYS262" s="18"/>
      <c r="AYT262" s="18"/>
      <c r="AYU262" s="18"/>
      <c r="AYV262" s="18"/>
      <c r="AYW262" s="18"/>
      <c r="AYX262" s="18"/>
      <c r="AYY262" s="18"/>
      <c r="AYZ262" s="18"/>
      <c r="AZA262" s="18"/>
      <c r="AZB262" s="18"/>
      <c r="AZC262" s="18"/>
      <c r="AZD262" s="18"/>
      <c r="AZE262" s="18"/>
      <c r="AZF262" s="18"/>
      <c r="AZG262" s="18"/>
      <c r="AZH262" s="18"/>
      <c r="AZI262" s="18"/>
      <c r="AZJ262" s="18"/>
      <c r="AZK262" s="18"/>
      <c r="AZL262" s="18"/>
      <c r="AZM262" s="18"/>
      <c r="AZN262" s="18"/>
      <c r="AZO262" s="18"/>
      <c r="AZP262" s="18"/>
      <c r="AZQ262" s="18"/>
      <c r="AZR262" s="18"/>
      <c r="AZS262" s="18"/>
      <c r="AZT262" s="18"/>
      <c r="AZU262" s="18"/>
      <c r="AZV262" s="18"/>
      <c r="AZW262" s="18"/>
      <c r="AZX262" s="18"/>
      <c r="AZY262" s="18"/>
      <c r="AZZ262" s="18"/>
      <c r="BAA262" s="18"/>
      <c r="BAB262" s="18"/>
      <c r="BAC262" s="18"/>
      <c r="BAD262" s="18"/>
      <c r="BAE262" s="18"/>
      <c r="BAF262" s="18"/>
      <c r="BAG262" s="18"/>
      <c r="BAH262" s="18"/>
      <c r="BAI262" s="18"/>
      <c r="BAJ262" s="18"/>
      <c r="BAK262" s="18"/>
      <c r="BAL262" s="18"/>
      <c r="BAM262" s="18"/>
      <c r="BAN262" s="18"/>
      <c r="BAO262" s="18"/>
      <c r="BAP262" s="18"/>
      <c r="BAQ262" s="18"/>
      <c r="BAR262" s="18"/>
      <c r="BAS262" s="18"/>
      <c r="BAT262" s="18"/>
      <c r="BAU262" s="18"/>
      <c r="BAV262" s="18"/>
      <c r="BAW262" s="18"/>
      <c r="BAX262" s="18"/>
      <c r="BAY262" s="18"/>
      <c r="BAZ262" s="18"/>
      <c r="BBA262" s="18"/>
      <c r="BBB262" s="18"/>
      <c r="BBC262" s="18"/>
      <c r="BBD262" s="18"/>
      <c r="BBE262" s="18"/>
      <c r="BBF262" s="18"/>
      <c r="BBG262" s="18"/>
      <c r="BBH262" s="18"/>
      <c r="BBI262" s="18"/>
      <c r="BBJ262" s="18"/>
      <c r="BBK262" s="18"/>
      <c r="BBL262" s="18"/>
      <c r="BBM262" s="18"/>
      <c r="BBN262" s="18"/>
      <c r="BBO262" s="18"/>
      <c r="BBP262" s="18"/>
      <c r="BBQ262" s="18"/>
      <c r="BBR262" s="18"/>
      <c r="BBS262" s="18"/>
      <c r="BBT262" s="18"/>
      <c r="BBU262" s="18"/>
      <c r="BBV262" s="18"/>
      <c r="BBW262" s="18"/>
      <c r="BBX262" s="18"/>
      <c r="BBY262" s="18"/>
      <c r="BBZ262" s="18"/>
      <c r="BCA262" s="18"/>
      <c r="BCB262" s="18"/>
      <c r="BCC262" s="18"/>
      <c r="BCD262" s="18"/>
      <c r="BCE262" s="18"/>
      <c r="BCF262" s="18"/>
      <c r="BCG262" s="18"/>
      <c r="BCH262" s="18"/>
      <c r="BCI262" s="18"/>
      <c r="BCJ262" s="18"/>
      <c r="BCK262" s="18"/>
      <c r="BCL262" s="18"/>
      <c r="BCM262" s="18"/>
      <c r="BCN262" s="18"/>
      <c r="BCO262" s="18"/>
      <c r="BCP262" s="18"/>
      <c r="BCQ262" s="18"/>
      <c r="BCR262" s="18"/>
      <c r="BCS262" s="18"/>
      <c r="BCT262" s="18"/>
      <c r="BCU262" s="18"/>
      <c r="BCV262" s="18"/>
      <c r="BCW262" s="18"/>
      <c r="BCX262" s="18"/>
      <c r="BCY262" s="18"/>
      <c r="BCZ262" s="18"/>
      <c r="BDA262" s="18"/>
      <c r="BDB262" s="18"/>
      <c r="BDC262" s="18"/>
      <c r="BDD262" s="18"/>
      <c r="BDE262" s="18"/>
      <c r="BDF262" s="18"/>
      <c r="BDG262" s="18"/>
      <c r="BDH262" s="18"/>
      <c r="BDI262" s="18"/>
      <c r="BDJ262" s="18"/>
      <c r="BDK262" s="18"/>
      <c r="BDL262" s="18"/>
      <c r="BDM262" s="18"/>
      <c r="BDN262" s="18"/>
      <c r="BDO262" s="18"/>
      <c r="BDP262" s="18"/>
      <c r="BDQ262" s="18"/>
      <c r="BDR262" s="18"/>
      <c r="BDS262" s="18"/>
      <c r="BDT262" s="18"/>
      <c r="BDU262" s="18"/>
      <c r="BDV262" s="18"/>
      <c r="BDW262" s="18"/>
      <c r="BDX262" s="18"/>
      <c r="BDY262" s="18"/>
      <c r="BDZ262" s="18"/>
      <c r="BEA262" s="18"/>
      <c r="BEB262" s="18"/>
      <c r="BEC262" s="18"/>
      <c r="BED262" s="18"/>
      <c r="BEE262" s="18"/>
      <c r="BEF262" s="18"/>
      <c r="BEG262" s="18"/>
      <c r="BEH262" s="18"/>
      <c r="BEI262" s="18"/>
      <c r="BEJ262" s="18"/>
      <c r="BEK262" s="18"/>
      <c r="BEL262" s="18"/>
      <c r="BEM262" s="18"/>
      <c r="BEN262" s="18"/>
      <c r="BEO262" s="18"/>
      <c r="BEP262" s="18"/>
      <c r="BEQ262" s="18"/>
      <c r="BER262" s="18"/>
      <c r="BES262" s="18"/>
      <c r="BET262" s="18"/>
      <c r="BEU262" s="18"/>
      <c r="BEV262" s="18"/>
      <c r="BEW262" s="18"/>
      <c r="BEX262" s="18"/>
      <c r="BEY262" s="18"/>
      <c r="BEZ262" s="18"/>
      <c r="BFA262" s="18"/>
      <c r="BFB262" s="18"/>
      <c r="BFC262" s="18"/>
      <c r="BFD262" s="18"/>
      <c r="BFE262" s="18"/>
      <c r="BFF262" s="18"/>
      <c r="BFG262" s="18"/>
      <c r="BFH262" s="18"/>
      <c r="BFI262" s="18"/>
      <c r="BFJ262" s="18"/>
      <c r="BFK262" s="18"/>
      <c r="BFL262" s="18"/>
      <c r="BFM262" s="18"/>
      <c r="BFN262" s="18"/>
      <c r="BFO262" s="18"/>
      <c r="BFP262" s="18"/>
      <c r="BFQ262" s="18"/>
      <c r="BFR262" s="18"/>
      <c r="BFS262" s="18"/>
      <c r="BFT262" s="18"/>
      <c r="BFU262" s="18"/>
      <c r="BFV262" s="18"/>
      <c r="BFW262" s="18"/>
      <c r="BFX262" s="18"/>
      <c r="BFY262" s="18"/>
      <c r="BFZ262" s="18"/>
      <c r="BGA262" s="18"/>
      <c r="BGB262" s="18"/>
      <c r="BGC262" s="18"/>
      <c r="BGD262" s="18"/>
      <c r="BGE262" s="18"/>
      <c r="BGF262" s="18"/>
      <c r="BGG262" s="18"/>
      <c r="BGH262" s="18"/>
      <c r="BGI262" s="18"/>
      <c r="BGJ262" s="18"/>
      <c r="BGK262" s="18"/>
      <c r="BGL262" s="18"/>
      <c r="BGM262" s="18"/>
      <c r="BGN262" s="18"/>
      <c r="BGO262" s="18"/>
      <c r="BGP262" s="18"/>
      <c r="BGQ262" s="18"/>
      <c r="BGR262" s="18"/>
      <c r="BGS262" s="18"/>
      <c r="BGT262" s="18"/>
      <c r="BGU262" s="18"/>
      <c r="BGV262" s="18"/>
      <c r="BGW262" s="18"/>
      <c r="BGX262" s="18"/>
      <c r="BGY262" s="18"/>
      <c r="BGZ262" s="18"/>
      <c r="BHA262" s="18"/>
      <c r="BHB262" s="18"/>
      <c r="BHC262" s="18"/>
      <c r="BHD262" s="18"/>
      <c r="BHE262" s="18"/>
      <c r="BHF262" s="18"/>
      <c r="BHG262" s="18"/>
      <c r="BHH262" s="18"/>
      <c r="BHI262" s="18"/>
      <c r="BHJ262" s="18"/>
      <c r="BHK262" s="18"/>
      <c r="BHL262" s="18"/>
      <c r="BHM262" s="18"/>
      <c r="BHN262" s="18"/>
      <c r="BHO262" s="18"/>
      <c r="BHP262" s="18"/>
      <c r="BHQ262" s="18"/>
      <c r="BHR262" s="18"/>
      <c r="BHS262" s="18"/>
      <c r="BHT262" s="18"/>
      <c r="BHU262" s="18"/>
      <c r="BHV262" s="18"/>
      <c r="BHW262" s="18"/>
      <c r="BHX262" s="18"/>
      <c r="BHY262" s="18"/>
      <c r="BHZ262" s="18"/>
      <c r="BIA262" s="18"/>
      <c r="BIB262" s="18"/>
      <c r="BIC262" s="18"/>
      <c r="BID262" s="18"/>
      <c r="BIE262" s="18"/>
      <c r="BIF262" s="18"/>
      <c r="BIG262" s="18"/>
      <c r="BIH262" s="18"/>
      <c r="BII262" s="18"/>
      <c r="BIJ262" s="18"/>
      <c r="BIK262" s="18"/>
      <c r="BIL262" s="18"/>
      <c r="BIM262" s="18"/>
      <c r="BIN262" s="18"/>
      <c r="BIO262" s="18"/>
      <c r="BIP262" s="18"/>
      <c r="BIQ262" s="18"/>
      <c r="BIR262" s="18"/>
      <c r="BIS262" s="18"/>
      <c r="BIT262" s="18"/>
      <c r="BIU262" s="18"/>
      <c r="BIV262" s="18"/>
      <c r="BIW262" s="18"/>
      <c r="BIX262" s="18"/>
      <c r="BIY262" s="18"/>
      <c r="BIZ262" s="18"/>
      <c r="BJA262" s="18"/>
      <c r="BJB262" s="18"/>
      <c r="BJC262" s="18"/>
      <c r="BJD262" s="18"/>
      <c r="BJE262" s="18"/>
      <c r="BJF262" s="18"/>
      <c r="BJG262" s="18"/>
      <c r="BJH262" s="18"/>
      <c r="BJI262" s="18"/>
      <c r="BJJ262" s="18"/>
      <c r="BJK262" s="18"/>
      <c r="BJL262" s="18"/>
      <c r="BJM262" s="18"/>
      <c r="BJN262" s="18"/>
      <c r="BJO262" s="18"/>
      <c r="BJP262" s="18"/>
      <c r="BJQ262" s="18"/>
      <c r="BJR262" s="18"/>
      <c r="BJS262" s="18"/>
      <c r="BJT262" s="18"/>
      <c r="BJU262" s="18"/>
      <c r="BJV262" s="18"/>
      <c r="BJW262" s="18"/>
      <c r="BJX262" s="18"/>
      <c r="BJY262" s="18"/>
      <c r="BJZ262" s="18"/>
      <c r="BKA262" s="18"/>
      <c r="BKB262" s="18"/>
      <c r="BKC262" s="18"/>
      <c r="BKD262" s="18"/>
      <c r="BKE262" s="18"/>
      <c r="BKF262" s="18"/>
      <c r="BKG262" s="18"/>
      <c r="BKH262" s="18"/>
      <c r="BKI262" s="18"/>
      <c r="BKJ262" s="18"/>
      <c r="BKK262" s="18"/>
      <c r="BKL262" s="18"/>
      <c r="BKM262" s="18"/>
      <c r="BKN262" s="18"/>
      <c r="BKO262" s="18"/>
      <c r="BKP262" s="18"/>
      <c r="BKQ262" s="18"/>
      <c r="BKR262" s="18"/>
      <c r="BKS262" s="18"/>
      <c r="BKT262" s="18"/>
      <c r="BKU262" s="18"/>
      <c r="BKV262" s="18"/>
      <c r="BKW262" s="18"/>
      <c r="BKX262" s="18"/>
      <c r="BKY262" s="18"/>
      <c r="BKZ262" s="18"/>
      <c r="BLA262" s="18"/>
      <c r="BLB262" s="18"/>
      <c r="BLC262" s="18"/>
      <c r="BLD262" s="18"/>
      <c r="BLE262" s="18"/>
      <c r="BLF262" s="18"/>
      <c r="BLG262" s="18"/>
      <c r="BLH262" s="18"/>
      <c r="BLI262" s="18"/>
      <c r="BLJ262" s="18"/>
      <c r="BLK262" s="18"/>
      <c r="BLL262" s="18"/>
      <c r="BLM262" s="18"/>
      <c r="BLN262" s="18"/>
      <c r="BLO262" s="18"/>
      <c r="BLP262" s="18"/>
      <c r="BLQ262" s="18"/>
      <c r="BLR262" s="18"/>
      <c r="BLS262" s="18"/>
      <c r="BLT262" s="18"/>
      <c r="BLU262" s="18"/>
      <c r="BLV262" s="18"/>
      <c r="BLW262" s="18"/>
      <c r="BLX262" s="18"/>
      <c r="BLY262" s="18"/>
      <c r="BLZ262" s="18"/>
      <c r="BMA262" s="18"/>
      <c r="BMB262" s="18"/>
      <c r="BMC262" s="18"/>
      <c r="BMD262" s="18"/>
      <c r="BME262" s="18"/>
      <c r="BMF262" s="18"/>
      <c r="BMG262" s="18"/>
      <c r="BMH262" s="18"/>
      <c r="BMI262" s="18"/>
      <c r="BMJ262" s="18"/>
      <c r="BMK262" s="18"/>
      <c r="BML262" s="18"/>
      <c r="BMM262" s="18"/>
      <c r="BMN262" s="18"/>
      <c r="BMO262" s="18"/>
      <c r="BMP262" s="18"/>
      <c r="BMQ262" s="18"/>
      <c r="BMR262" s="18"/>
      <c r="BMS262" s="18"/>
      <c r="BMT262" s="18"/>
      <c r="BMU262" s="18"/>
      <c r="BMV262" s="18"/>
      <c r="BMW262" s="18"/>
      <c r="BMX262" s="18"/>
      <c r="BMY262" s="18"/>
      <c r="BMZ262" s="18"/>
      <c r="BNA262" s="18"/>
      <c r="BNB262" s="18"/>
      <c r="BNC262" s="18"/>
      <c r="BND262" s="18"/>
      <c r="BNE262" s="18"/>
      <c r="BNF262" s="18"/>
      <c r="BNG262" s="18"/>
      <c r="BNH262" s="18"/>
      <c r="BNI262" s="18"/>
      <c r="BNJ262" s="18"/>
      <c r="BNK262" s="18"/>
      <c r="BNL262" s="18"/>
      <c r="BNM262" s="18"/>
      <c r="BNN262" s="18"/>
      <c r="BNO262" s="18"/>
      <c r="BNP262" s="18"/>
      <c r="BNQ262" s="18"/>
      <c r="BNR262" s="18"/>
      <c r="BNS262" s="18"/>
      <c r="BNT262" s="18"/>
      <c r="BNU262" s="18"/>
      <c r="BNV262" s="18"/>
      <c r="BNW262" s="18"/>
      <c r="BNX262" s="18"/>
      <c r="BNY262" s="18"/>
      <c r="BNZ262" s="18"/>
      <c r="BOA262" s="18"/>
      <c r="BOB262" s="18"/>
      <c r="BOC262" s="18"/>
      <c r="BOD262" s="18"/>
      <c r="BOE262" s="18"/>
      <c r="BOF262" s="18"/>
      <c r="BOG262" s="18"/>
      <c r="BOH262" s="18"/>
      <c r="BOI262" s="18"/>
      <c r="BOJ262" s="18"/>
      <c r="BOK262" s="18"/>
      <c r="BOL262" s="18"/>
      <c r="BOM262" s="18"/>
      <c r="BON262" s="18"/>
      <c r="BOO262" s="18"/>
      <c r="BOP262" s="18"/>
      <c r="BOQ262" s="18"/>
      <c r="BOR262" s="18"/>
      <c r="BOS262" s="18"/>
      <c r="BOT262" s="18"/>
      <c r="BOU262" s="18"/>
      <c r="BOV262" s="18"/>
      <c r="BOW262" s="18"/>
      <c r="BOX262" s="18"/>
      <c r="BOY262" s="18"/>
      <c r="BOZ262" s="18"/>
      <c r="BPA262" s="18"/>
      <c r="BPB262" s="18"/>
      <c r="BPC262" s="18"/>
      <c r="BPD262" s="18"/>
      <c r="BPE262" s="18"/>
      <c r="BPF262" s="18"/>
      <c r="BPG262" s="18"/>
      <c r="BPH262" s="18"/>
      <c r="BPI262" s="18"/>
      <c r="BPJ262" s="18"/>
      <c r="BPK262" s="18"/>
      <c r="BPL262" s="18"/>
      <c r="BPM262" s="18"/>
      <c r="BPN262" s="18"/>
      <c r="BPO262" s="18"/>
      <c r="BPP262" s="18"/>
      <c r="BPQ262" s="18"/>
      <c r="BPR262" s="18"/>
      <c r="BPS262" s="18"/>
      <c r="BPT262" s="18"/>
      <c r="BPU262" s="18"/>
      <c r="BPV262" s="18"/>
      <c r="BPW262" s="18"/>
      <c r="BPX262" s="18"/>
      <c r="BPY262" s="18"/>
      <c r="BPZ262" s="18"/>
      <c r="BQA262" s="18"/>
      <c r="BQB262" s="18"/>
      <c r="BQC262" s="18"/>
      <c r="BQD262" s="18"/>
      <c r="BQE262" s="18"/>
      <c r="BQF262" s="18"/>
      <c r="BQG262" s="18"/>
      <c r="BQH262" s="18"/>
      <c r="BQI262" s="18"/>
      <c r="BQJ262" s="18"/>
      <c r="BQK262" s="18"/>
      <c r="BQL262" s="18"/>
      <c r="BQM262" s="18"/>
      <c r="BQN262" s="18"/>
      <c r="BQO262" s="18"/>
      <c r="BQP262" s="18"/>
      <c r="BQQ262" s="18"/>
      <c r="BQR262" s="18"/>
      <c r="BQS262" s="18"/>
      <c r="BQT262" s="18"/>
      <c r="BQU262" s="18"/>
      <c r="BQV262" s="18"/>
      <c r="BQW262" s="18"/>
      <c r="BQX262" s="18"/>
      <c r="BQY262" s="18"/>
      <c r="BQZ262" s="18"/>
      <c r="BRA262" s="18"/>
      <c r="BRB262" s="18"/>
      <c r="BRC262" s="18"/>
      <c r="BRD262" s="18"/>
      <c r="BRE262" s="18"/>
      <c r="BRF262" s="18"/>
      <c r="BRG262" s="18"/>
      <c r="BRH262" s="18"/>
      <c r="BRI262" s="18"/>
      <c r="BRJ262" s="18"/>
      <c r="BRK262" s="18"/>
      <c r="BRL262" s="18"/>
      <c r="BRM262" s="18"/>
      <c r="BRN262" s="18"/>
      <c r="BRO262" s="18"/>
      <c r="BRP262" s="18"/>
      <c r="BRQ262" s="18"/>
      <c r="BRR262" s="18"/>
      <c r="BRS262" s="18"/>
      <c r="BRT262" s="18"/>
      <c r="BRU262" s="18"/>
      <c r="BRV262" s="18"/>
      <c r="BRW262" s="18"/>
      <c r="BRX262" s="18"/>
      <c r="BRY262" s="18"/>
      <c r="BRZ262" s="18"/>
      <c r="BSA262" s="18"/>
      <c r="BSB262" s="18"/>
      <c r="BSC262" s="18"/>
      <c r="BSD262" s="18"/>
      <c r="BSE262" s="18"/>
      <c r="BSF262" s="18"/>
      <c r="BSG262" s="18"/>
      <c r="BSH262" s="18"/>
      <c r="BSI262" s="18"/>
      <c r="BSJ262" s="18"/>
      <c r="BSK262" s="18"/>
      <c r="BSL262" s="18"/>
      <c r="BSM262" s="18"/>
      <c r="BSN262" s="18"/>
      <c r="BSO262" s="18"/>
      <c r="BSP262" s="18"/>
      <c r="BSQ262" s="18"/>
      <c r="BSR262" s="18"/>
      <c r="BSS262" s="18"/>
      <c r="BST262" s="18"/>
      <c r="BSU262" s="18"/>
      <c r="BSV262" s="18"/>
      <c r="BSW262" s="18"/>
      <c r="BSX262" s="18"/>
      <c r="BSY262" s="18"/>
      <c r="BSZ262" s="18"/>
      <c r="BTA262" s="18"/>
      <c r="BTB262" s="18"/>
      <c r="BTC262" s="18"/>
      <c r="BTD262" s="18"/>
      <c r="BTE262" s="18"/>
      <c r="BTF262" s="18"/>
      <c r="BTG262" s="18"/>
      <c r="BTH262" s="18"/>
      <c r="BTI262" s="18"/>
    </row>
    <row r="263" spans="1:1881" s="769" customFormat="1" ht="225" customHeight="1" x14ac:dyDescent="0.3">
      <c r="A263" s="108">
        <v>577</v>
      </c>
      <c r="B263" s="671"/>
      <c r="C263" s="671" t="s">
        <v>329</v>
      </c>
      <c r="D263" s="351" t="s">
        <v>398</v>
      </c>
      <c r="E263" s="1133"/>
      <c r="F263" s="294"/>
      <c r="G263" s="1134" t="str">
        <f>IF(F263="Yes","In this cell - Please include the name of the plan, a brief description of the benefit and the population group that received the benefits."," ")</f>
        <v xml:space="preserve"> </v>
      </c>
      <c r="H263" s="17"/>
      <c r="I263" s="766"/>
      <c r="J263" s="575"/>
      <c r="K263" s="18"/>
      <c r="L263" s="18"/>
      <c r="M263" s="18"/>
      <c r="N263" s="296"/>
      <c r="O263" s="18"/>
      <c r="P263" s="18"/>
      <c r="Q263" s="18"/>
      <c r="R263" s="18"/>
      <c r="S263" s="18"/>
      <c r="T263" s="18"/>
      <c r="U263" s="18"/>
      <c r="V263" s="18"/>
      <c r="W263" s="18"/>
      <c r="X263" s="18"/>
      <c r="Y263" s="18"/>
      <c r="Z263" s="108"/>
      <c r="AA263" s="108"/>
      <c r="AB263" s="108"/>
      <c r="AC263" s="108"/>
      <c r="AD263" s="108"/>
      <c r="AE263" s="108"/>
      <c r="AF263" s="108"/>
      <c r="AG263" s="108"/>
      <c r="AH263" s="108"/>
      <c r="AI263" s="108"/>
      <c r="AJ263" s="108"/>
      <c r="AK263" s="108"/>
      <c r="AL263" s="108"/>
      <c r="AM263" s="108"/>
      <c r="AN263" s="108"/>
      <c r="AO263" s="108"/>
      <c r="AP263" s="108"/>
      <c r="AQ263" s="108"/>
      <c r="AR263" s="10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c r="GU263" s="18"/>
      <c r="GV263" s="18"/>
      <c r="GW263" s="18"/>
      <c r="GX263" s="18"/>
      <c r="GY263" s="18"/>
      <c r="GZ263" s="18"/>
      <c r="HA263" s="18"/>
      <c r="HB263" s="18"/>
      <c r="HC263" s="18"/>
      <c r="HD263" s="18"/>
      <c r="HE263" s="18"/>
      <c r="HF263" s="18"/>
      <c r="HG263" s="18"/>
      <c r="HH263" s="18"/>
      <c r="HI263" s="18"/>
      <c r="HJ263" s="18"/>
      <c r="HK263" s="18"/>
      <c r="HL263" s="18"/>
      <c r="HM263" s="18"/>
      <c r="HN263" s="18"/>
      <c r="HO263" s="18"/>
      <c r="HP263" s="18"/>
      <c r="HQ263" s="18"/>
      <c r="HR263" s="18"/>
      <c r="HS263" s="18"/>
      <c r="HT263" s="18"/>
      <c r="HU263" s="18"/>
      <c r="HV263" s="18"/>
      <c r="HW263" s="18"/>
      <c r="HX263" s="18"/>
      <c r="HY263" s="18"/>
      <c r="HZ263" s="18"/>
      <c r="IA263" s="18"/>
      <c r="IB263" s="18"/>
      <c r="IC263" s="18"/>
      <c r="ID263" s="18"/>
      <c r="IE263" s="18"/>
      <c r="IF263" s="18"/>
      <c r="IG263" s="18"/>
      <c r="IH263" s="18"/>
      <c r="II263" s="18"/>
      <c r="IJ263" s="18"/>
      <c r="IK263" s="18"/>
      <c r="IL263" s="18"/>
      <c r="IM263" s="18"/>
      <c r="IN263" s="18"/>
      <c r="IO263" s="18"/>
      <c r="IP263" s="18"/>
      <c r="IQ263" s="18"/>
      <c r="IR263" s="18"/>
      <c r="IS263" s="18"/>
      <c r="IT263" s="18"/>
      <c r="IU263" s="18"/>
      <c r="IV263" s="18"/>
      <c r="IW263" s="18"/>
      <c r="IX263" s="18"/>
      <c r="IY263" s="18"/>
      <c r="IZ263" s="18"/>
      <c r="JA263" s="18"/>
      <c r="JB263" s="18"/>
      <c r="JC263" s="18"/>
      <c r="JD263" s="18"/>
      <c r="JE263" s="18"/>
      <c r="JF263" s="18"/>
      <c r="JG263" s="18"/>
      <c r="JH263" s="18"/>
      <c r="JI263" s="18"/>
      <c r="JJ263" s="18"/>
      <c r="JK263" s="18"/>
      <c r="JL263" s="18"/>
      <c r="JM263" s="18"/>
      <c r="JN263" s="18"/>
      <c r="JO263" s="18"/>
      <c r="JP263" s="18"/>
      <c r="JQ263" s="18"/>
      <c r="JR263" s="18"/>
      <c r="JS263" s="18"/>
      <c r="JT263" s="18"/>
      <c r="JU263" s="18"/>
      <c r="JV263" s="18"/>
      <c r="JW263" s="18"/>
      <c r="JX263" s="18"/>
      <c r="JY263" s="18"/>
      <c r="JZ263" s="18"/>
      <c r="KA263" s="18"/>
      <c r="KB263" s="18"/>
      <c r="KC263" s="18"/>
      <c r="KD263" s="18"/>
      <c r="KE263" s="18"/>
      <c r="KF263" s="18"/>
      <c r="KG263" s="18"/>
      <c r="KH263" s="18"/>
      <c r="KI263" s="18"/>
      <c r="KJ263" s="18"/>
      <c r="KK263" s="18"/>
      <c r="KL263" s="18"/>
      <c r="KM263" s="18"/>
      <c r="KN263" s="18"/>
      <c r="KO263" s="18"/>
      <c r="KP263" s="18"/>
      <c r="KQ263" s="18"/>
      <c r="KR263" s="18"/>
      <c r="KS263" s="18"/>
      <c r="KT263" s="18"/>
      <c r="KU263" s="18"/>
      <c r="KV263" s="18"/>
      <c r="KW263" s="18"/>
      <c r="KX263" s="18"/>
      <c r="KY263" s="18"/>
      <c r="KZ263" s="18"/>
      <c r="LA263" s="18"/>
      <c r="LB263" s="18"/>
      <c r="LC263" s="18"/>
      <c r="LD263" s="18"/>
      <c r="LE263" s="18"/>
      <c r="LF263" s="18"/>
      <c r="LG263" s="18"/>
      <c r="LH263" s="18"/>
      <c r="LI263" s="18"/>
      <c r="LJ263" s="18"/>
      <c r="LK263" s="18"/>
      <c r="LL263" s="18"/>
      <c r="LM263" s="18"/>
      <c r="LN263" s="18"/>
      <c r="LO263" s="18"/>
      <c r="LP263" s="18"/>
      <c r="LQ263" s="18"/>
      <c r="LR263" s="18"/>
      <c r="LS263" s="18"/>
      <c r="LT263" s="18"/>
      <c r="LU263" s="18"/>
      <c r="LV263" s="18"/>
      <c r="LW263" s="18"/>
      <c r="LX263" s="18"/>
      <c r="LY263" s="18"/>
      <c r="LZ263" s="18"/>
      <c r="MA263" s="18"/>
      <c r="MB263" s="18"/>
      <c r="MC263" s="18"/>
      <c r="MD263" s="18"/>
      <c r="ME263" s="18"/>
      <c r="MF263" s="18"/>
      <c r="MG263" s="18"/>
      <c r="MH263" s="18"/>
      <c r="MI263" s="18"/>
      <c r="MJ263" s="18"/>
      <c r="MK263" s="18"/>
      <c r="ML263" s="18"/>
      <c r="MM263" s="18"/>
      <c r="MN263" s="18"/>
      <c r="MO263" s="18"/>
      <c r="MP263" s="18"/>
      <c r="MQ263" s="18"/>
      <c r="MR263" s="18"/>
      <c r="MS263" s="18"/>
      <c r="MT263" s="18"/>
      <c r="MU263" s="18"/>
      <c r="MV263" s="18"/>
      <c r="MW263" s="18"/>
      <c r="MX263" s="18"/>
      <c r="MY263" s="18"/>
      <c r="MZ263" s="18"/>
      <c r="NA263" s="18"/>
      <c r="NB263" s="18"/>
      <c r="NC263" s="18"/>
      <c r="ND263" s="18"/>
      <c r="NE263" s="18"/>
      <c r="NF263" s="18"/>
      <c r="NG263" s="18"/>
      <c r="NH263" s="18"/>
      <c r="NI263" s="18"/>
      <c r="NJ263" s="18"/>
      <c r="NK263" s="18"/>
      <c r="NL263" s="18"/>
      <c r="NM263" s="18"/>
      <c r="NN263" s="18"/>
      <c r="NO263" s="18"/>
      <c r="NP263" s="18"/>
      <c r="NQ263" s="18"/>
      <c r="NR263" s="18"/>
      <c r="NS263" s="18"/>
      <c r="NT263" s="18"/>
      <c r="NU263" s="18"/>
      <c r="NV263" s="18"/>
      <c r="NW263" s="18"/>
      <c r="NX263" s="18"/>
      <c r="NY263" s="18"/>
      <c r="NZ263" s="18"/>
      <c r="OA263" s="18"/>
      <c r="OB263" s="18"/>
      <c r="OC263" s="18"/>
      <c r="OD263" s="18"/>
      <c r="OE263" s="18"/>
      <c r="OF263" s="18"/>
      <c r="OG263" s="18"/>
      <c r="OH263" s="18"/>
      <c r="OI263" s="18"/>
      <c r="OJ263" s="18"/>
      <c r="OK263" s="18"/>
      <c r="OL263" s="18"/>
      <c r="OM263" s="18"/>
      <c r="ON263" s="18"/>
      <c r="OO263" s="18"/>
      <c r="OP263" s="18"/>
      <c r="OQ263" s="18"/>
      <c r="OR263" s="18"/>
      <c r="OS263" s="18"/>
      <c r="OT263" s="18"/>
      <c r="OU263" s="18"/>
      <c r="OV263" s="18"/>
      <c r="OW263" s="18"/>
      <c r="OX263" s="18"/>
      <c r="OY263" s="18"/>
      <c r="OZ263" s="18"/>
      <c r="PA263" s="18"/>
      <c r="PB263" s="18"/>
      <c r="PC263" s="18"/>
      <c r="PD263" s="18"/>
      <c r="PE263" s="18"/>
      <c r="PF263" s="18"/>
      <c r="PG263" s="18"/>
      <c r="PH263" s="18"/>
      <c r="PI263" s="18"/>
      <c r="PJ263" s="18"/>
      <c r="PK263" s="18"/>
      <c r="PL263" s="18"/>
      <c r="PM263" s="18"/>
      <c r="PN263" s="18"/>
      <c r="PO263" s="18"/>
      <c r="PP263" s="18"/>
      <c r="PQ263" s="18"/>
      <c r="PR263" s="18"/>
      <c r="PS263" s="18"/>
      <c r="PT263" s="18"/>
      <c r="PU263" s="18"/>
      <c r="PV263" s="18"/>
      <c r="PW263" s="18"/>
      <c r="PX263" s="18"/>
      <c r="PY263" s="18"/>
      <c r="PZ263" s="18"/>
      <c r="QA263" s="18"/>
      <c r="QB263" s="18"/>
      <c r="QC263" s="18"/>
      <c r="QD263" s="18"/>
      <c r="QE263" s="18"/>
      <c r="QF263" s="18"/>
      <c r="QG263" s="18"/>
      <c r="QH263" s="18"/>
      <c r="QI263" s="18"/>
      <c r="QJ263" s="18"/>
      <c r="QK263" s="18"/>
      <c r="QL263" s="18"/>
      <c r="QM263" s="18"/>
      <c r="QN263" s="18"/>
      <c r="QO263" s="18"/>
      <c r="QP263" s="18"/>
      <c r="QQ263" s="18"/>
      <c r="QR263" s="18"/>
      <c r="QS263" s="18"/>
      <c r="QT263" s="18"/>
      <c r="QU263" s="18"/>
      <c r="QV263" s="18"/>
      <c r="QW263" s="18"/>
      <c r="QX263" s="18"/>
      <c r="QY263" s="18"/>
      <c r="QZ263" s="18"/>
      <c r="RA263" s="18"/>
      <c r="RB263" s="18"/>
      <c r="RC263" s="18"/>
      <c r="RD263" s="18"/>
      <c r="RE263" s="18"/>
      <c r="RF263" s="18"/>
      <c r="RG263" s="18"/>
      <c r="RH263" s="18"/>
      <c r="RI263" s="18"/>
      <c r="RJ263" s="18"/>
      <c r="RK263" s="18"/>
      <c r="RL263" s="18"/>
      <c r="RM263" s="18"/>
      <c r="RN263" s="18"/>
      <c r="RO263" s="18"/>
      <c r="RP263" s="18"/>
      <c r="RQ263" s="18"/>
      <c r="RR263" s="18"/>
      <c r="RS263" s="18"/>
      <c r="RT263" s="18"/>
      <c r="RU263" s="18"/>
      <c r="RV263" s="18"/>
      <c r="RW263" s="18"/>
      <c r="RX263" s="18"/>
      <c r="RY263" s="18"/>
      <c r="RZ263" s="18"/>
      <c r="SA263" s="18"/>
      <c r="SB263" s="18"/>
      <c r="SC263" s="18"/>
      <c r="SD263" s="18"/>
      <c r="SE263" s="18"/>
      <c r="SF263" s="18"/>
      <c r="SG263" s="18"/>
      <c r="SH263" s="18"/>
      <c r="SI263" s="18"/>
      <c r="SJ263" s="18"/>
      <c r="SK263" s="18"/>
      <c r="SL263" s="18"/>
      <c r="SM263" s="18"/>
      <c r="SN263" s="18"/>
      <c r="SO263" s="18"/>
      <c r="SP263" s="18"/>
      <c r="SQ263" s="18"/>
      <c r="SR263" s="18"/>
      <c r="SS263" s="18"/>
      <c r="ST263" s="18"/>
      <c r="SU263" s="18"/>
      <c r="SV263" s="18"/>
      <c r="SW263" s="18"/>
      <c r="SX263" s="18"/>
      <c r="SY263" s="18"/>
      <c r="SZ263" s="18"/>
      <c r="TA263" s="18"/>
      <c r="TB263" s="18"/>
      <c r="TC263" s="18"/>
      <c r="TD263" s="18"/>
      <c r="TE263" s="18"/>
      <c r="TF263" s="18"/>
      <c r="TG263" s="18"/>
      <c r="TH263" s="18"/>
      <c r="TI263" s="18"/>
      <c r="TJ263" s="18"/>
      <c r="TK263" s="18"/>
      <c r="TL263" s="18"/>
      <c r="TM263" s="18"/>
      <c r="TN263" s="18"/>
      <c r="TO263" s="18"/>
      <c r="TP263" s="18"/>
      <c r="TQ263" s="18"/>
      <c r="TR263" s="18"/>
      <c r="TS263" s="18"/>
      <c r="TT263" s="18"/>
      <c r="TU263" s="18"/>
      <c r="TV263" s="18"/>
      <c r="TW263" s="18"/>
      <c r="TX263" s="18"/>
      <c r="TY263" s="18"/>
      <c r="TZ263" s="18"/>
      <c r="UA263" s="18"/>
      <c r="UB263" s="18"/>
      <c r="UC263" s="18"/>
      <c r="UD263" s="18"/>
      <c r="UE263" s="18"/>
      <c r="UF263" s="18"/>
      <c r="UG263" s="18"/>
      <c r="UH263" s="18"/>
      <c r="UI263" s="18"/>
      <c r="UJ263" s="18"/>
      <c r="UK263" s="18"/>
      <c r="UL263" s="18"/>
      <c r="UM263" s="18"/>
      <c r="UN263" s="18"/>
      <c r="UO263" s="18"/>
      <c r="UP263" s="18"/>
      <c r="UQ263" s="18"/>
      <c r="UR263" s="18"/>
      <c r="US263" s="18"/>
      <c r="UT263" s="18"/>
      <c r="UU263" s="18"/>
      <c r="UV263" s="18"/>
      <c r="UW263" s="18"/>
      <c r="UX263" s="18"/>
      <c r="UY263" s="18"/>
      <c r="UZ263" s="18"/>
      <c r="VA263" s="18"/>
      <c r="VB263" s="18"/>
      <c r="VC263" s="18"/>
      <c r="VD263" s="18"/>
      <c r="VE263" s="18"/>
      <c r="VF263" s="18"/>
      <c r="VG263" s="18"/>
      <c r="VH263" s="18"/>
      <c r="VI263" s="18"/>
      <c r="VJ263" s="18"/>
      <c r="VK263" s="18"/>
      <c r="VL263" s="18"/>
      <c r="VM263" s="18"/>
      <c r="VN263" s="18"/>
      <c r="VO263" s="18"/>
      <c r="VP263" s="18"/>
      <c r="VQ263" s="18"/>
      <c r="VR263" s="18"/>
      <c r="VS263" s="18"/>
      <c r="VT263" s="18"/>
      <c r="VU263" s="18"/>
      <c r="VV263" s="18"/>
      <c r="VW263" s="18"/>
      <c r="VX263" s="18"/>
      <c r="VY263" s="18"/>
      <c r="VZ263" s="18"/>
      <c r="WA263" s="18"/>
      <c r="WB263" s="18"/>
      <c r="WC263" s="18"/>
      <c r="WD263" s="18"/>
      <c r="WE263" s="18"/>
      <c r="WF263" s="18"/>
      <c r="WG263" s="18"/>
      <c r="WH263" s="18"/>
      <c r="WI263" s="18"/>
      <c r="WJ263" s="18"/>
      <c r="WK263" s="18"/>
      <c r="WL263" s="18"/>
      <c r="WM263" s="18"/>
      <c r="WN263" s="18"/>
      <c r="WO263" s="18"/>
      <c r="WP263" s="18"/>
      <c r="WQ263" s="18"/>
      <c r="WR263" s="18"/>
      <c r="WS263" s="18"/>
      <c r="WT263" s="18"/>
      <c r="WU263" s="18"/>
      <c r="WV263" s="18"/>
      <c r="WW263" s="18"/>
      <c r="WX263" s="18"/>
      <c r="WY263" s="18"/>
      <c r="WZ263" s="18"/>
      <c r="XA263" s="18"/>
      <c r="XB263" s="18"/>
      <c r="XC263" s="18"/>
      <c r="XD263" s="18"/>
      <c r="XE263" s="18"/>
      <c r="XF263" s="18"/>
      <c r="XG263" s="18"/>
      <c r="XH263" s="18"/>
      <c r="XI263" s="18"/>
      <c r="XJ263" s="18"/>
      <c r="XK263" s="18"/>
      <c r="XL263" s="18"/>
      <c r="XM263" s="18"/>
      <c r="XN263" s="18"/>
      <c r="XO263" s="18"/>
      <c r="XP263" s="18"/>
      <c r="XQ263" s="18"/>
      <c r="XR263" s="18"/>
      <c r="XS263" s="18"/>
      <c r="XT263" s="18"/>
      <c r="XU263" s="18"/>
      <c r="XV263" s="18"/>
      <c r="XW263" s="18"/>
      <c r="XX263" s="18"/>
      <c r="XY263" s="18"/>
      <c r="XZ263" s="18"/>
      <c r="YA263" s="18"/>
      <c r="YB263" s="18"/>
      <c r="YC263" s="18"/>
      <c r="YD263" s="18"/>
      <c r="YE263" s="18"/>
      <c r="YF263" s="18"/>
      <c r="YG263" s="18"/>
      <c r="YH263" s="18"/>
      <c r="YI263" s="18"/>
      <c r="YJ263" s="18"/>
      <c r="YK263" s="18"/>
      <c r="YL263" s="18"/>
      <c r="YM263" s="18"/>
      <c r="YN263" s="18"/>
      <c r="YO263" s="18"/>
      <c r="YP263" s="18"/>
      <c r="YQ263" s="18"/>
      <c r="YR263" s="18"/>
      <c r="YS263" s="18"/>
      <c r="YT263" s="18"/>
      <c r="YU263" s="18"/>
      <c r="YV263" s="18"/>
      <c r="YW263" s="18"/>
      <c r="YX263" s="18"/>
      <c r="YY263" s="18"/>
      <c r="YZ263" s="18"/>
      <c r="ZA263" s="18"/>
      <c r="ZB263" s="18"/>
      <c r="ZC263" s="18"/>
      <c r="ZD263" s="18"/>
      <c r="ZE263" s="18"/>
      <c r="ZF263" s="18"/>
      <c r="ZG263" s="18"/>
      <c r="ZH263" s="18"/>
      <c r="ZI263" s="18"/>
      <c r="ZJ263" s="18"/>
      <c r="ZK263" s="18"/>
      <c r="ZL263" s="18"/>
      <c r="ZM263" s="18"/>
      <c r="ZN263" s="18"/>
      <c r="ZO263" s="18"/>
      <c r="ZP263" s="18"/>
      <c r="ZQ263" s="18"/>
      <c r="ZR263" s="18"/>
      <c r="ZS263" s="18"/>
      <c r="ZT263" s="18"/>
      <c r="ZU263" s="18"/>
      <c r="ZV263" s="18"/>
      <c r="ZW263" s="18"/>
      <c r="ZX263" s="18"/>
      <c r="ZY263" s="18"/>
      <c r="ZZ263" s="18"/>
      <c r="AAA263" s="18"/>
      <c r="AAB263" s="18"/>
      <c r="AAC263" s="18"/>
      <c r="AAD263" s="18"/>
      <c r="AAE263" s="18"/>
      <c r="AAF263" s="18"/>
      <c r="AAG263" s="18"/>
      <c r="AAH263" s="18"/>
      <c r="AAI263" s="18"/>
      <c r="AAJ263" s="18"/>
      <c r="AAK263" s="18"/>
      <c r="AAL263" s="18"/>
      <c r="AAM263" s="18"/>
      <c r="AAN263" s="18"/>
      <c r="AAO263" s="18"/>
      <c r="AAP263" s="18"/>
      <c r="AAQ263" s="18"/>
      <c r="AAR263" s="18"/>
      <c r="AAS263" s="18"/>
      <c r="AAT263" s="18"/>
      <c r="AAU263" s="18"/>
      <c r="AAV263" s="18"/>
      <c r="AAW263" s="18"/>
      <c r="AAX263" s="18"/>
      <c r="AAY263" s="18"/>
      <c r="AAZ263" s="18"/>
      <c r="ABA263" s="18"/>
      <c r="ABB263" s="18"/>
      <c r="ABC263" s="18"/>
      <c r="ABD263" s="18"/>
      <c r="ABE263" s="18"/>
      <c r="ABF263" s="18"/>
      <c r="ABG263" s="18"/>
      <c r="ABH263" s="18"/>
      <c r="ABI263" s="18"/>
      <c r="ABJ263" s="18"/>
      <c r="ABK263" s="18"/>
      <c r="ABL263" s="18"/>
      <c r="ABM263" s="18"/>
      <c r="ABN263" s="18"/>
      <c r="ABO263" s="18"/>
      <c r="ABP263" s="18"/>
      <c r="ABQ263" s="18"/>
      <c r="ABR263" s="18"/>
      <c r="ABS263" s="18"/>
      <c r="ABT263" s="18"/>
      <c r="ABU263" s="18"/>
      <c r="ABV263" s="18"/>
      <c r="ABW263" s="18"/>
      <c r="ABX263" s="18"/>
      <c r="ABY263" s="18"/>
      <c r="ABZ263" s="18"/>
      <c r="ACA263" s="18"/>
      <c r="ACB263" s="18"/>
      <c r="ACC263" s="18"/>
      <c r="ACD263" s="18"/>
      <c r="ACE263" s="18"/>
      <c r="ACF263" s="18"/>
      <c r="ACG263" s="18"/>
      <c r="ACH263" s="18"/>
      <c r="ACI263" s="18"/>
      <c r="ACJ263" s="18"/>
      <c r="ACK263" s="18"/>
      <c r="ACL263" s="18"/>
      <c r="ACM263" s="18"/>
      <c r="ACN263" s="18"/>
      <c r="ACO263" s="18"/>
      <c r="ACP263" s="18"/>
      <c r="ACQ263" s="18"/>
      <c r="ACR263" s="18"/>
      <c r="ACS263" s="18"/>
      <c r="ACT263" s="18"/>
      <c r="ACU263" s="18"/>
      <c r="ACV263" s="18"/>
      <c r="ACW263" s="18"/>
      <c r="ACX263" s="18"/>
      <c r="ACY263" s="18"/>
      <c r="ACZ263" s="18"/>
      <c r="ADA263" s="18"/>
      <c r="ADB263" s="18"/>
      <c r="ADC263" s="18"/>
      <c r="ADD263" s="18"/>
      <c r="ADE263" s="18"/>
      <c r="ADF263" s="18"/>
      <c r="ADG263" s="18"/>
      <c r="ADH263" s="18"/>
      <c r="ADI263" s="18"/>
      <c r="ADJ263" s="18"/>
      <c r="ADK263" s="18"/>
      <c r="ADL263" s="18"/>
      <c r="ADM263" s="18"/>
      <c r="ADN263" s="18"/>
      <c r="ADO263" s="18"/>
      <c r="ADP263" s="18"/>
      <c r="ADQ263" s="18"/>
      <c r="ADR263" s="18"/>
      <c r="ADS263" s="18"/>
      <c r="ADT263" s="18"/>
      <c r="ADU263" s="18"/>
      <c r="ADV263" s="18"/>
      <c r="ADW263" s="18"/>
      <c r="ADX263" s="18"/>
      <c r="ADY263" s="18"/>
      <c r="ADZ263" s="18"/>
      <c r="AEA263" s="18"/>
      <c r="AEB263" s="18"/>
      <c r="AEC263" s="18"/>
      <c r="AED263" s="18"/>
      <c r="AEE263" s="18"/>
      <c r="AEF263" s="18"/>
      <c r="AEG263" s="18"/>
      <c r="AEH263" s="18"/>
      <c r="AEI263" s="18"/>
      <c r="AEJ263" s="18"/>
      <c r="AEK263" s="18"/>
      <c r="AEL263" s="18"/>
      <c r="AEM263" s="18"/>
      <c r="AEN263" s="18"/>
      <c r="AEO263" s="18"/>
      <c r="AEP263" s="18"/>
      <c r="AEQ263" s="18"/>
      <c r="AER263" s="18"/>
      <c r="AES263" s="18"/>
      <c r="AET263" s="18"/>
      <c r="AEU263" s="18"/>
      <c r="AEV263" s="18"/>
      <c r="AEW263" s="18"/>
      <c r="AEX263" s="18"/>
      <c r="AEY263" s="18"/>
      <c r="AEZ263" s="18"/>
      <c r="AFA263" s="18"/>
      <c r="AFB263" s="18"/>
      <c r="AFC263" s="18"/>
      <c r="AFD263" s="18"/>
      <c r="AFE263" s="18"/>
      <c r="AFF263" s="18"/>
      <c r="AFG263" s="18"/>
      <c r="AFH263" s="18"/>
      <c r="AFI263" s="18"/>
      <c r="AFJ263" s="18"/>
      <c r="AFK263" s="18"/>
      <c r="AFL263" s="18"/>
      <c r="AFM263" s="18"/>
      <c r="AFN263" s="18"/>
      <c r="AFO263" s="18"/>
      <c r="AFP263" s="18"/>
      <c r="AFQ263" s="18"/>
      <c r="AFR263" s="18"/>
      <c r="AFS263" s="18"/>
      <c r="AFT263" s="18"/>
      <c r="AFU263" s="18"/>
      <c r="AFV263" s="18"/>
      <c r="AFW263" s="18"/>
      <c r="AFX263" s="18"/>
      <c r="AFY263" s="18"/>
      <c r="AFZ263" s="18"/>
      <c r="AGA263" s="18"/>
      <c r="AGB263" s="18"/>
      <c r="AGC263" s="18"/>
      <c r="AGD263" s="18"/>
      <c r="AGE263" s="18"/>
      <c r="AGF263" s="18"/>
      <c r="AGG263" s="18"/>
      <c r="AGH263" s="18"/>
      <c r="AGI263" s="18"/>
      <c r="AGJ263" s="18"/>
      <c r="AGK263" s="18"/>
      <c r="AGL263" s="18"/>
      <c r="AGM263" s="18"/>
      <c r="AGN263" s="18"/>
      <c r="AGO263" s="18"/>
      <c r="AGP263" s="18"/>
      <c r="AGQ263" s="18"/>
      <c r="AGR263" s="18"/>
      <c r="AGS263" s="18"/>
      <c r="AGT263" s="18"/>
      <c r="AGU263" s="18"/>
      <c r="AGV263" s="18"/>
      <c r="AGW263" s="18"/>
      <c r="AGX263" s="18"/>
      <c r="AGY263" s="18"/>
      <c r="AGZ263" s="18"/>
      <c r="AHA263" s="18"/>
      <c r="AHB263" s="18"/>
      <c r="AHC263" s="18"/>
      <c r="AHD263" s="18"/>
      <c r="AHE263" s="18"/>
      <c r="AHF263" s="18"/>
      <c r="AHG263" s="18"/>
      <c r="AHH263" s="18"/>
      <c r="AHI263" s="18"/>
      <c r="AHJ263" s="18"/>
      <c r="AHK263" s="18"/>
      <c r="AHL263" s="18"/>
      <c r="AHM263" s="18"/>
      <c r="AHN263" s="18"/>
      <c r="AHO263" s="18"/>
      <c r="AHP263" s="18"/>
      <c r="AHQ263" s="18"/>
      <c r="AHR263" s="18"/>
      <c r="AHS263" s="18"/>
      <c r="AHT263" s="18"/>
      <c r="AHU263" s="18"/>
      <c r="AHV263" s="18"/>
      <c r="AHW263" s="18"/>
      <c r="AHX263" s="18"/>
      <c r="AHY263" s="18"/>
      <c r="AHZ263" s="18"/>
      <c r="AIA263" s="18"/>
      <c r="AIB263" s="18"/>
      <c r="AIC263" s="18"/>
      <c r="AID263" s="18"/>
      <c r="AIE263" s="18"/>
      <c r="AIF263" s="18"/>
      <c r="AIG263" s="18"/>
      <c r="AIH263" s="18"/>
      <c r="AII263" s="18"/>
      <c r="AIJ263" s="18"/>
      <c r="AIK263" s="18"/>
      <c r="AIL263" s="18"/>
      <c r="AIM263" s="18"/>
      <c r="AIN263" s="18"/>
      <c r="AIO263" s="18"/>
      <c r="AIP263" s="18"/>
      <c r="AIQ263" s="18"/>
      <c r="AIR263" s="18"/>
      <c r="AIS263" s="18"/>
      <c r="AIT263" s="18"/>
      <c r="AIU263" s="18"/>
      <c r="AIV263" s="18"/>
      <c r="AIW263" s="18"/>
      <c r="AIX263" s="18"/>
      <c r="AIY263" s="18"/>
      <c r="AIZ263" s="18"/>
      <c r="AJA263" s="18"/>
      <c r="AJB263" s="18"/>
      <c r="AJC263" s="18"/>
      <c r="AJD263" s="18"/>
      <c r="AJE263" s="18"/>
      <c r="AJF263" s="18"/>
      <c r="AJG263" s="18"/>
      <c r="AJH263" s="18"/>
      <c r="AJI263" s="18"/>
      <c r="AJJ263" s="18"/>
      <c r="AJK263" s="18"/>
      <c r="AJL263" s="18"/>
      <c r="AJM263" s="18"/>
      <c r="AJN263" s="18"/>
      <c r="AJO263" s="18"/>
      <c r="AJP263" s="18"/>
      <c r="AJQ263" s="18"/>
      <c r="AJR263" s="18"/>
      <c r="AJS263" s="18"/>
      <c r="AJT263" s="18"/>
      <c r="AJU263" s="18"/>
      <c r="AJV263" s="18"/>
      <c r="AJW263" s="18"/>
      <c r="AJX263" s="18"/>
      <c r="AJY263" s="18"/>
      <c r="AJZ263" s="18"/>
      <c r="AKA263" s="18"/>
      <c r="AKB263" s="18"/>
      <c r="AKC263" s="18"/>
      <c r="AKD263" s="18"/>
      <c r="AKE263" s="18"/>
      <c r="AKF263" s="18"/>
      <c r="AKG263" s="18"/>
      <c r="AKH263" s="18"/>
      <c r="AKI263" s="18"/>
      <c r="AKJ263" s="18"/>
      <c r="AKK263" s="18"/>
      <c r="AKL263" s="18"/>
      <c r="AKM263" s="18"/>
      <c r="AKN263" s="18"/>
      <c r="AKO263" s="18"/>
      <c r="AKP263" s="18"/>
      <c r="AKQ263" s="18"/>
      <c r="AKR263" s="18"/>
      <c r="AKS263" s="18"/>
      <c r="AKT263" s="18"/>
      <c r="AKU263" s="18"/>
      <c r="AKV263" s="18"/>
      <c r="AKW263" s="18"/>
      <c r="AKX263" s="18"/>
      <c r="AKY263" s="18"/>
      <c r="AKZ263" s="18"/>
      <c r="ALA263" s="18"/>
      <c r="ALB263" s="18"/>
      <c r="ALC263" s="18"/>
      <c r="ALD263" s="18"/>
      <c r="ALE263" s="18"/>
      <c r="ALF263" s="18"/>
      <c r="ALG263" s="18"/>
      <c r="ALH263" s="18"/>
      <c r="ALI263" s="18"/>
      <c r="ALJ263" s="18"/>
      <c r="ALK263" s="18"/>
      <c r="ALL263" s="18"/>
      <c r="ALM263" s="18"/>
      <c r="ALN263" s="18"/>
      <c r="ALO263" s="18"/>
      <c r="ALP263" s="18"/>
      <c r="ALQ263" s="18"/>
      <c r="ALR263" s="18"/>
      <c r="ALS263" s="18"/>
      <c r="ALT263" s="18"/>
      <c r="ALU263" s="18"/>
      <c r="ALV263" s="18"/>
      <c r="ALW263" s="18"/>
      <c r="ALX263" s="18"/>
      <c r="ALY263" s="18"/>
      <c r="ALZ263" s="18"/>
      <c r="AMA263" s="18"/>
      <c r="AMB263" s="18"/>
      <c r="AMC263" s="18"/>
      <c r="AMD263" s="18"/>
      <c r="AME263" s="18"/>
      <c r="AMF263" s="18"/>
      <c r="AMG263" s="18"/>
      <c r="AMH263" s="18"/>
      <c r="AMI263" s="18"/>
      <c r="AMJ263" s="18"/>
      <c r="AMK263" s="18"/>
      <c r="AML263" s="18"/>
      <c r="AMM263" s="18"/>
      <c r="AMN263" s="18"/>
      <c r="AMO263" s="18"/>
      <c r="AMP263" s="18"/>
      <c r="AMQ263" s="18"/>
      <c r="AMR263" s="18"/>
      <c r="AMS263" s="18"/>
      <c r="AMT263" s="18"/>
      <c r="AMU263" s="18"/>
      <c r="AMV263" s="18"/>
      <c r="AMW263" s="18"/>
      <c r="AMX263" s="18"/>
      <c r="AMY263" s="18"/>
      <c r="AMZ263" s="18"/>
      <c r="ANA263" s="18"/>
      <c r="ANB263" s="18"/>
      <c r="ANC263" s="18"/>
      <c r="AND263" s="18"/>
      <c r="ANE263" s="18"/>
      <c r="ANF263" s="18"/>
      <c r="ANG263" s="18"/>
      <c r="ANH263" s="18"/>
      <c r="ANI263" s="18"/>
      <c r="ANJ263" s="18"/>
      <c r="ANK263" s="18"/>
      <c r="ANL263" s="18"/>
      <c r="ANM263" s="18"/>
      <c r="ANN263" s="18"/>
      <c r="ANO263" s="18"/>
      <c r="ANP263" s="18"/>
      <c r="ANQ263" s="18"/>
      <c r="ANR263" s="18"/>
      <c r="ANS263" s="18"/>
      <c r="ANT263" s="18"/>
      <c r="ANU263" s="18"/>
      <c r="ANV263" s="18"/>
      <c r="ANW263" s="18"/>
      <c r="ANX263" s="18"/>
      <c r="ANY263" s="18"/>
      <c r="ANZ263" s="18"/>
      <c r="AOA263" s="18"/>
      <c r="AOB263" s="18"/>
      <c r="AOC263" s="18"/>
      <c r="AOD263" s="18"/>
      <c r="AOE263" s="18"/>
      <c r="AOF263" s="18"/>
      <c r="AOG263" s="18"/>
      <c r="AOH263" s="18"/>
      <c r="AOI263" s="18"/>
      <c r="AOJ263" s="18"/>
      <c r="AOK263" s="18"/>
      <c r="AOL263" s="18"/>
      <c r="AOM263" s="18"/>
      <c r="AON263" s="18"/>
      <c r="AOO263" s="18"/>
      <c r="AOP263" s="18"/>
      <c r="AOQ263" s="18"/>
      <c r="AOR263" s="18"/>
      <c r="AOS263" s="18"/>
      <c r="AOT263" s="18"/>
      <c r="AOU263" s="18"/>
      <c r="AOV263" s="18"/>
      <c r="AOW263" s="18"/>
      <c r="AOX263" s="18"/>
      <c r="AOY263" s="18"/>
      <c r="AOZ263" s="18"/>
      <c r="APA263" s="18"/>
      <c r="APB263" s="18"/>
      <c r="APC263" s="18"/>
      <c r="APD263" s="18"/>
      <c r="APE263" s="18"/>
      <c r="APF263" s="18"/>
      <c r="APG263" s="18"/>
      <c r="APH263" s="18"/>
      <c r="API263" s="18"/>
      <c r="APJ263" s="18"/>
      <c r="APK263" s="18"/>
      <c r="APL263" s="18"/>
      <c r="APM263" s="18"/>
      <c r="APN263" s="18"/>
      <c r="APO263" s="18"/>
      <c r="APP263" s="18"/>
      <c r="APQ263" s="18"/>
      <c r="APR263" s="18"/>
      <c r="APS263" s="18"/>
      <c r="APT263" s="18"/>
      <c r="APU263" s="18"/>
      <c r="APV263" s="18"/>
      <c r="APW263" s="18"/>
      <c r="APX263" s="18"/>
      <c r="APY263" s="18"/>
      <c r="APZ263" s="18"/>
      <c r="AQA263" s="18"/>
      <c r="AQB263" s="18"/>
      <c r="AQC263" s="18"/>
      <c r="AQD263" s="18"/>
      <c r="AQE263" s="18"/>
      <c r="AQF263" s="18"/>
      <c r="AQG263" s="18"/>
      <c r="AQH263" s="18"/>
      <c r="AQI263" s="18"/>
      <c r="AQJ263" s="18"/>
      <c r="AQK263" s="18"/>
      <c r="AQL263" s="18"/>
      <c r="AQM263" s="18"/>
      <c r="AQN263" s="18"/>
      <c r="AQO263" s="18"/>
      <c r="AQP263" s="18"/>
      <c r="AQQ263" s="18"/>
      <c r="AQR263" s="18"/>
      <c r="AQS263" s="18"/>
      <c r="AQT263" s="18"/>
      <c r="AQU263" s="18"/>
      <c r="AQV263" s="18"/>
      <c r="AQW263" s="18"/>
      <c r="AQX263" s="18"/>
      <c r="AQY263" s="18"/>
      <c r="AQZ263" s="18"/>
      <c r="ARA263" s="18"/>
      <c r="ARB263" s="18"/>
      <c r="ARC263" s="18"/>
      <c r="ARD263" s="18"/>
      <c r="ARE263" s="18"/>
      <c r="ARF263" s="18"/>
      <c r="ARG263" s="18"/>
      <c r="ARH263" s="18"/>
      <c r="ARI263" s="18"/>
      <c r="ARJ263" s="18"/>
      <c r="ARK263" s="18"/>
      <c r="ARL263" s="18"/>
      <c r="ARM263" s="18"/>
      <c r="ARN263" s="18"/>
      <c r="ARO263" s="18"/>
      <c r="ARP263" s="18"/>
      <c r="ARQ263" s="18"/>
      <c r="ARR263" s="18"/>
      <c r="ARS263" s="18"/>
      <c r="ART263" s="18"/>
      <c r="ARU263" s="18"/>
      <c r="ARV263" s="18"/>
      <c r="ARW263" s="18"/>
      <c r="ARX263" s="18"/>
      <c r="ARY263" s="18"/>
      <c r="ARZ263" s="18"/>
      <c r="ASA263" s="18"/>
      <c r="ASB263" s="18"/>
      <c r="ASC263" s="18"/>
      <c r="ASD263" s="18"/>
      <c r="ASE263" s="18"/>
      <c r="ASF263" s="18"/>
      <c r="ASG263" s="18"/>
      <c r="ASH263" s="18"/>
      <c r="ASI263" s="18"/>
      <c r="ASJ263" s="18"/>
      <c r="ASK263" s="18"/>
      <c r="ASL263" s="18"/>
      <c r="ASM263" s="18"/>
      <c r="ASN263" s="18"/>
      <c r="ASO263" s="18"/>
      <c r="ASP263" s="18"/>
      <c r="ASQ263" s="18"/>
      <c r="ASR263" s="18"/>
      <c r="ASS263" s="18"/>
      <c r="AST263" s="18"/>
      <c r="ASU263" s="18"/>
      <c r="ASV263" s="18"/>
      <c r="ASW263" s="18"/>
      <c r="ASX263" s="18"/>
      <c r="ASY263" s="18"/>
      <c r="ASZ263" s="18"/>
      <c r="ATA263" s="18"/>
      <c r="ATB263" s="18"/>
      <c r="ATC263" s="18"/>
      <c r="ATD263" s="18"/>
      <c r="ATE263" s="18"/>
      <c r="ATF263" s="18"/>
      <c r="ATG263" s="18"/>
      <c r="ATH263" s="18"/>
      <c r="ATI263" s="18"/>
      <c r="ATJ263" s="18"/>
      <c r="ATK263" s="18"/>
      <c r="ATL263" s="18"/>
      <c r="ATM263" s="18"/>
      <c r="ATN263" s="18"/>
      <c r="ATO263" s="18"/>
      <c r="ATP263" s="18"/>
      <c r="ATQ263" s="18"/>
      <c r="ATR263" s="18"/>
      <c r="ATS263" s="18"/>
      <c r="ATT263" s="18"/>
      <c r="ATU263" s="18"/>
      <c r="ATV263" s="18"/>
      <c r="ATW263" s="18"/>
      <c r="ATX263" s="18"/>
      <c r="ATY263" s="18"/>
      <c r="ATZ263" s="18"/>
      <c r="AUA263" s="18"/>
      <c r="AUB263" s="18"/>
      <c r="AUC263" s="18"/>
      <c r="AUD263" s="18"/>
      <c r="AUE263" s="18"/>
      <c r="AUF263" s="18"/>
      <c r="AUG263" s="18"/>
      <c r="AUH263" s="18"/>
      <c r="AUI263" s="18"/>
      <c r="AUJ263" s="18"/>
      <c r="AUK263" s="18"/>
      <c r="AUL263" s="18"/>
      <c r="AUM263" s="18"/>
      <c r="AUN263" s="18"/>
      <c r="AUO263" s="18"/>
      <c r="AUP263" s="18"/>
      <c r="AUQ263" s="18"/>
      <c r="AUR263" s="18"/>
      <c r="AUS263" s="18"/>
      <c r="AUT263" s="18"/>
      <c r="AUU263" s="18"/>
      <c r="AUV263" s="18"/>
      <c r="AUW263" s="18"/>
      <c r="AUX263" s="18"/>
      <c r="AUY263" s="18"/>
      <c r="AUZ263" s="18"/>
      <c r="AVA263" s="18"/>
      <c r="AVB263" s="18"/>
      <c r="AVC263" s="18"/>
      <c r="AVD263" s="18"/>
      <c r="AVE263" s="18"/>
      <c r="AVF263" s="18"/>
      <c r="AVG263" s="18"/>
      <c r="AVH263" s="18"/>
      <c r="AVI263" s="18"/>
      <c r="AVJ263" s="18"/>
      <c r="AVK263" s="18"/>
      <c r="AVL263" s="18"/>
      <c r="AVM263" s="18"/>
      <c r="AVN263" s="18"/>
      <c r="AVO263" s="18"/>
      <c r="AVP263" s="18"/>
      <c r="AVQ263" s="18"/>
      <c r="AVR263" s="18"/>
      <c r="AVS263" s="18"/>
      <c r="AVT263" s="18"/>
      <c r="AVU263" s="18"/>
      <c r="AVV263" s="18"/>
      <c r="AVW263" s="18"/>
      <c r="AVX263" s="18"/>
      <c r="AVY263" s="18"/>
      <c r="AVZ263" s="18"/>
      <c r="AWA263" s="18"/>
      <c r="AWB263" s="18"/>
      <c r="AWC263" s="18"/>
      <c r="AWD263" s="18"/>
      <c r="AWE263" s="18"/>
      <c r="AWF263" s="18"/>
      <c r="AWG263" s="18"/>
      <c r="AWH263" s="18"/>
      <c r="AWI263" s="18"/>
      <c r="AWJ263" s="18"/>
      <c r="AWK263" s="18"/>
      <c r="AWL263" s="18"/>
      <c r="AWM263" s="18"/>
      <c r="AWN263" s="18"/>
      <c r="AWO263" s="18"/>
      <c r="AWP263" s="18"/>
      <c r="AWQ263" s="18"/>
      <c r="AWR263" s="18"/>
      <c r="AWS263" s="18"/>
      <c r="AWT263" s="18"/>
      <c r="AWU263" s="18"/>
      <c r="AWV263" s="18"/>
      <c r="AWW263" s="18"/>
      <c r="AWX263" s="18"/>
      <c r="AWY263" s="18"/>
      <c r="AWZ263" s="18"/>
      <c r="AXA263" s="18"/>
      <c r="AXB263" s="18"/>
      <c r="AXC263" s="18"/>
      <c r="AXD263" s="18"/>
      <c r="AXE263" s="18"/>
      <c r="AXF263" s="18"/>
      <c r="AXG263" s="18"/>
      <c r="AXH263" s="18"/>
      <c r="AXI263" s="18"/>
      <c r="AXJ263" s="18"/>
      <c r="AXK263" s="18"/>
      <c r="AXL263" s="18"/>
      <c r="AXM263" s="18"/>
      <c r="AXN263" s="18"/>
      <c r="AXO263" s="18"/>
      <c r="AXP263" s="18"/>
      <c r="AXQ263" s="18"/>
      <c r="AXR263" s="18"/>
      <c r="AXS263" s="18"/>
      <c r="AXT263" s="18"/>
      <c r="AXU263" s="18"/>
      <c r="AXV263" s="18"/>
      <c r="AXW263" s="18"/>
      <c r="AXX263" s="18"/>
      <c r="AXY263" s="18"/>
      <c r="AXZ263" s="18"/>
      <c r="AYA263" s="18"/>
      <c r="AYB263" s="18"/>
      <c r="AYC263" s="18"/>
      <c r="AYD263" s="18"/>
      <c r="AYE263" s="18"/>
      <c r="AYF263" s="18"/>
      <c r="AYG263" s="18"/>
      <c r="AYH263" s="18"/>
      <c r="AYI263" s="18"/>
      <c r="AYJ263" s="18"/>
      <c r="AYK263" s="18"/>
      <c r="AYL263" s="18"/>
      <c r="AYM263" s="18"/>
      <c r="AYN263" s="18"/>
      <c r="AYO263" s="18"/>
      <c r="AYP263" s="18"/>
      <c r="AYQ263" s="18"/>
      <c r="AYR263" s="18"/>
      <c r="AYS263" s="18"/>
      <c r="AYT263" s="18"/>
      <c r="AYU263" s="18"/>
      <c r="AYV263" s="18"/>
      <c r="AYW263" s="18"/>
      <c r="AYX263" s="18"/>
      <c r="AYY263" s="18"/>
      <c r="AYZ263" s="18"/>
      <c r="AZA263" s="18"/>
      <c r="AZB263" s="18"/>
      <c r="AZC263" s="18"/>
      <c r="AZD263" s="18"/>
      <c r="AZE263" s="18"/>
      <c r="AZF263" s="18"/>
      <c r="AZG263" s="18"/>
      <c r="AZH263" s="18"/>
      <c r="AZI263" s="18"/>
      <c r="AZJ263" s="18"/>
      <c r="AZK263" s="18"/>
      <c r="AZL263" s="18"/>
      <c r="AZM263" s="18"/>
      <c r="AZN263" s="18"/>
      <c r="AZO263" s="18"/>
      <c r="AZP263" s="18"/>
      <c r="AZQ263" s="18"/>
      <c r="AZR263" s="18"/>
      <c r="AZS263" s="18"/>
      <c r="AZT263" s="18"/>
      <c r="AZU263" s="18"/>
      <c r="AZV263" s="18"/>
      <c r="AZW263" s="18"/>
      <c r="AZX263" s="18"/>
      <c r="AZY263" s="18"/>
      <c r="AZZ263" s="18"/>
      <c r="BAA263" s="18"/>
      <c r="BAB263" s="18"/>
      <c r="BAC263" s="18"/>
      <c r="BAD263" s="18"/>
      <c r="BAE263" s="18"/>
      <c r="BAF263" s="18"/>
      <c r="BAG263" s="18"/>
      <c r="BAH263" s="18"/>
      <c r="BAI263" s="18"/>
      <c r="BAJ263" s="18"/>
      <c r="BAK263" s="18"/>
      <c r="BAL263" s="18"/>
      <c r="BAM263" s="18"/>
      <c r="BAN263" s="18"/>
      <c r="BAO263" s="18"/>
      <c r="BAP263" s="18"/>
      <c r="BAQ263" s="18"/>
      <c r="BAR263" s="18"/>
      <c r="BAS263" s="18"/>
      <c r="BAT263" s="18"/>
      <c r="BAU263" s="18"/>
      <c r="BAV263" s="18"/>
      <c r="BAW263" s="18"/>
      <c r="BAX263" s="18"/>
      <c r="BAY263" s="18"/>
      <c r="BAZ263" s="18"/>
      <c r="BBA263" s="18"/>
      <c r="BBB263" s="18"/>
      <c r="BBC263" s="18"/>
      <c r="BBD263" s="18"/>
      <c r="BBE263" s="18"/>
      <c r="BBF263" s="18"/>
      <c r="BBG263" s="18"/>
      <c r="BBH263" s="18"/>
      <c r="BBI263" s="18"/>
      <c r="BBJ263" s="18"/>
      <c r="BBK263" s="18"/>
      <c r="BBL263" s="18"/>
      <c r="BBM263" s="18"/>
      <c r="BBN263" s="18"/>
      <c r="BBO263" s="18"/>
      <c r="BBP263" s="18"/>
      <c r="BBQ263" s="18"/>
      <c r="BBR263" s="18"/>
      <c r="BBS263" s="18"/>
      <c r="BBT263" s="18"/>
      <c r="BBU263" s="18"/>
      <c r="BBV263" s="18"/>
      <c r="BBW263" s="18"/>
      <c r="BBX263" s="18"/>
      <c r="BBY263" s="18"/>
      <c r="BBZ263" s="18"/>
      <c r="BCA263" s="18"/>
      <c r="BCB263" s="18"/>
      <c r="BCC263" s="18"/>
      <c r="BCD263" s="18"/>
      <c r="BCE263" s="18"/>
      <c r="BCF263" s="18"/>
      <c r="BCG263" s="18"/>
      <c r="BCH263" s="18"/>
      <c r="BCI263" s="18"/>
      <c r="BCJ263" s="18"/>
      <c r="BCK263" s="18"/>
      <c r="BCL263" s="18"/>
      <c r="BCM263" s="18"/>
      <c r="BCN263" s="18"/>
      <c r="BCO263" s="18"/>
      <c r="BCP263" s="18"/>
      <c r="BCQ263" s="18"/>
      <c r="BCR263" s="18"/>
      <c r="BCS263" s="18"/>
      <c r="BCT263" s="18"/>
      <c r="BCU263" s="18"/>
      <c r="BCV263" s="18"/>
      <c r="BCW263" s="18"/>
      <c r="BCX263" s="18"/>
      <c r="BCY263" s="18"/>
      <c r="BCZ263" s="18"/>
      <c r="BDA263" s="18"/>
      <c r="BDB263" s="18"/>
      <c r="BDC263" s="18"/>
      <c r="BDD263" s="18"/>
      <c r="BDE263" s="18"/>
      <c r="BDF263" s="18"/>
      <c r="BDG263" s="18"/>
      <c r="BDH263" s="18"/>
      <c r="BDI263" s="18"/>
      <c r="BDJ263" s="18"/>
      <c r="BDK263" s="18"/>
      <c r="BDL263" s="18"/>
      <c r="BDM263" s="18"/>
      <c r="BDN263" s="18"/>
      <c r="BDO263" s="18"/>
      <c r="BDP263" s="18"/>
      <c r="BDQ263" s="18"/>
      <c r="BDR263" s="18"/>
      <c r="BDS263" s="18"/>
      <c r="BDT263" s="18"/>
      <c r="BDU263" s="18"/>
      <c r="BDV263" s="18"/>
      <c r="BDW263" s="18"/>
      <c r="BDX263" s="18"/>
      <c r="BDY263" s="18"/>
      <c r="BDZ263" s="18"/>
      <c r="BEA263" s="18"/>
      <c r="BEB263" s="18"/>
      <c r="BEC263" s="18"/>
      <c r="BED263" s="18"/>
      <c r="BEE263" s="18"/>
      <c r="BEF263" s="18"/>
      <c r="BEG263" s="18"/>
      <c r="BEH263" s="18"/>
      <c r="BEI263" s="18"/>
      <c r="BEJ263" s="18"/>
      <c r="BEK263" s="18"/>
      <c r="BEL263" s="18"/>
      <c r="BEM263" s="18"/>
      <c r="BEN263" s="18"/>
      <c r="BEO263" s="18"/>
      <c r="BEP263" s="18"/>
      <c r="BEQ263" s="18"/>
      <c r="BER263" s="18"/>
      <c r="BES263" s="18"/>
      <c r="BET263" s="18"/>
      <c r="BEU263" s="18"/>
      <c r="BEV263" s="18"/>
      <c r="BEW263" s="18"/>
      <c r="BEX263" s="18"/>
      <c r="BEY263" s="18"/>
      <c r="BEZ263" s="18"/>
      <c r="BFA263" s="18"/>
      <c r="BFB263" s="18"/>
      <c r="BFC263" s="18"/>
      <c r="BFD263" s="18"/>
      <c r="BFE263" s="18"/>
      <c r="BFF263" s="18"/>
      <c r="BFG263" s="18"/>
      <c r="BFH263" s="18"/>
      <c r="BFI263" s="18"/>
      <c r="BFJ263" s="18"/>
      <c r="BFK263" s="18"/>
      <c r="BFL263" s="18"/>
      <c r="BFM263" s="18"/>
      <c r="BFN263" s="18"/>
      <c r="BFO263" s="18"/>
      <c r="BFP263" s="18"/>
      <c r="BFQ263" s="18"/>
      <c r="BFR263" s="18"/>
      <c r="BFS263" s="18"/>
      <c r="BFT263" s="18"/>
      <c r="BFU263" s="18"/>
      <c r="BFV263" s="18"/>
      <c r="BFW263" s="18"/>
      <c r="BFX263" s="18"/>
      <c r="BFY263" s="18"/>
      <c r="BFZ263" s="18"/>
      <c r="BGA263" s="18"/>
      <c r="BGB263" s="18"/>
      <c r="BGC263" s="18"/>
      <c r="BGD263" s="18"/>
      <c r="BGE263" s="18"/>
      <c r="BGF263" s="18"/>
      <c r="BGG263" s="18"/>
      <c r="BGH263" s="18"/>
      <c r="BGI263" s="18"/>
      <c r="BGJ263" s="18"/>
      <c r="BGK263" s="18"/>
      <c r="BGL263" s="18"/>
      <c r="BGM263" s="18"/>
      <c r="BGN263" s="18"/>
      <c r="BGO263" s="18"/>
      <c r="BGP263" s="18"/>
      <c r="BGQ263" s="18"/>
      <c r="BGR263" s="18"/>
      <c r="BGS263" s="18"/>
      <c r="BGT263" s="18"/>
      <c r="BGU263" s="18"/>
      <c r="BGV263" s="18"/>
      <c r="BGW263" s="18"/>
      <c r="BGX263" s="18"/>
      <c r="BGY263" s="18"/>
      <c r="BGZ263" s="18"/>
      <c r="BHA263" s="18"/>
      <c r="BHB263" s="18"/>
      <c r="BHC263" s="18"/>
      <c r="BHD263" s="18"/>
      <c r="BHE263" s="18"/>
      <c r="BHF263" s="18"/>
      <c r="BHG263" s="18"/>
      <c r="BHH263" s="18"/>
      <c r="BHI263" s="18"/>
      <c r="BHJ263" s="18"/>
      <c r="BHK263" s="18"/>
      <c r="BHL263" s="18"/>
      <c r="BHM263" s="18"/>
      <c r="BHN263" s="18"/>
      <c r="BHO263" s="18"/>
      <c r="BHP263" s="18"/>
      <c r="BHQ263" s="18"/>
      <c r="BHR263" s="18"/>
      <c r="BHS263" s="18"/>
      <c r="BHT263" s="18"/>
      <c r="BHU263" s="18"/>
      <c r="BHV263" s="18"/>
      <c r="BHW263" s="18"/>
      <c r="BHX263" s="18"/>
      <c r="BHY263" s="18"/>
      <c r="BHZ263" s="18"/>
      <c r="BIA263" s="18"/>
      <c r="BIB263" s="18"/>
      <c r="BIC263" s="18"/>
      <c r="BID263" s="18"/>
      <c r="BIE263" s="18"/>
      <c r="BIF263" s="18"/>
      <c r="BIG263" s="18"/>
      <c r="BIH263" s="18"/>
      <c r="BII263" s="18"/>
      <c r="BIJ263" s="18"/>
      <c r="BIK263" s="18"/>
      <c r="BIL263" s="18"/>
      <c r="BIM263" s="18"/>
      <c r="BIN263" s="18"/>
      <c r="BIO263" s="18"/>
      <c r="BIP263" s="18"/>
      <c r="BIQ263" s="18"/>
      <c r="BIR263" s="18"/>
      <c r="BIS263" s="18"/>
      <c r="BIT263" s="18"/>
      <c r="BIU263" s="18"/>
      <c r="BIV263" s="18"/>
      <c r="BIW263" s="18"/>
      <c r="BIX263" s="18"/>
      <c r="BIY263" s="18"/>
      <c r="BIZ263" s="18"/>
      <c r="BJA263" s="18"/>
      <c r="BJB263" s="18"/>
      <c r="BJC263" s="18"/>
      <c r="BJD263" s="18"/>
      <c r="BJE263" s="18"/>
      <c r="BJF263" s="18"/>
      <c r="BJG263" s="18"/>
      <c r="BJH263" s="18"/>
      <c r="BJI263" s="18"/>
      <c r="BJJ263" s="18"/>
      <c r="BJK263" s="18"/>
      <c r="BJL263" s="18"/>
      <c r="BJM263" s="18"/>
      <c r="BJN263" s="18"/>
      <c r="BJO263" s="18"/>
      <c r="BJP263" s="18"/>
      <c r="BJQ263" s="18"/>
      <c r="BJR263" s="18"/>
      <c r="BJS263" s="18"/>
      <c r="BJT263" s="18"/>
      <c r="BJU263" s="18"/>
      <c r="BJV263" s="18"/>
      <c r="BJW263" s="18"/>
      <c r="BJX263" s="18"/>
      <c r="BJY263" s="18"/>
      <c r="BJZ263" s="18"/>
      <c r="BKA263" s="18"/>
      <c r="BKB263" s="18"/>
      <c r="BKC263" s="18"/>
      <c r="BKD263" s="18"/>
      <c r="BKE263" s="18"/>
      <c r="BKF263" s="18"/>
      <c r="BKG263" s="18"/>
      <c r="BKH263" s="18"/>
      <c r="BKI263" s="18"/>
      <c r="BKJ263" s="18"/>
      <c r="BKK263" s="18"/>
      <c r="BKL263" s="18"/>
      <c r="BKM263" s="18"/>
      <c r="BKN263" s="18"/>
      <c r="BKO263" s="18"/>
      <c r="BKP263" s="18"/>
      <c r="BKQ263" s="18"/>
      <c r="BKR263" s="18"/>
      <c r="BKS263" s="18"/>
      <c r="BKT263" s="18"/>
      <c r="BKU263" s="18"/>
      <c r="BKV263" s="18"/>
      <c r="BKW263" s="18"/>
      <c r="BKX263" s="18"/>
      <c r="BKY263" s="18"/>
      <c r="BKZ263" s="18"/>
      <c r="BLA263" s="18"/>
      <c r="BLB263" s="18"/>
      <c r="BLC263" s="18"/>
      <c r="BLD263" s="18"/>
      <c r="BLE263" s="18"/>
      <c r="BLF263" s="18"/>
      <c r="BLG263" s="18"/>
      <c r="BLH263" s="18"/>
      <c r="BLI263" s="18"/>
      <c r="BLJ263" s="18"/>
      <c r="BLK263" s="18"/>
      <c r="BLL263" s="18"/>
      <c r="BLM263" s="18"/>
      <c r="BLN263" s="18"/>
      <c r="BLO263" s="18"/>
      <c r="BLP263" s="18"/>
      <c r="BLQ263" s="18"/>
      <c r="BLR263" s="18"/>
      <c r="BLS263" s="18"/>
      <c r="BLT263" s="18"/>
      <c r="BLU263" s="18"/>
      <c r="BLV263" s="18"/>
      <c r="BLW263" s="18"/>
      <c r="BLX263" s="18"/>
      <c r="BLY263" s="18"/>
      <c r="BLZ263" s="18"/>
      <c r="BMA263" s="18"/>
      <c r="BMB263" s="18"/>
      <c r="BMC263" s="18"/>
      <c r="BMD263" s="18"/>
      <c r="BME263" s="18"/>
      <c r="BMF263" s="18"/>
      <c r="BMG263" s="18"/>
      <c r="BMH263" s="18"/>
      <c r="BMI263" s="18"/>
      <c r="BMJ263" s="18"/>
      <c r="BMK263" s="18"/>
      <c r="BML263" s="18"/>
      <c r="BMM263" s="18"/>
      <c r="BMN263" s="18"/>
      <c r="BMO263" s="18"/>
      <c r="BMP263" s="18"/>
      <c r="BMQ263" s="18"/>
      <c r="BMR263" s="18"/>
      <c r="BMS263" s="18"/>
      <c r="BMT263" s="18"/>
      <c r="BMU263" s="18"/>
      <c r="BMV263" s="18"/>
      <c r="BMW263" s="18"/>
      <c r="BMX263" s="18"/>
      <c r="BMY263" s="18"/>
      <c r="BMZ263" s="18"/>
      <c r="BNA263" s="18"/>
      <c r="BNB263" s="18"/>
      <c r="BNC263" s="18"/>
      <c r="BND263" s="18"/>
      <c r="BNE263" s="18"/>
      <c r="BNF263" s="18"/>
      <c r="BNG263" s="18"/>
      <c r="BNH263" s="18"/>
      <c r="BNI263" s="18"/>
      <c r="BNJ263" s="18"/>
      <c r="BNK263" s="18"/>
      <c r="BNL263" s="18"/>
      <c r="BNM263" s="18"/>
      <c r="BNN263" s="18"/>
      <c r="BNO263" s="18"/>
      <c r="BNP263" s="18"/>
      <c r="BNQ263" s="18"/>
      <c r="BNR263" s="18"/>
      <c r="BNS263" s="18"/>
      <c r="BNT263" s="18"/>
      <c r="BNU263" s="18"/>
      <c r="BNV263" s="18"/>
      <c r="BNW263" s="18"/>
      <c r="BNX263" s="18"/>
      <c r="BNY263" s="18"/>
      <c r="BNZ263" s="18"/>
      <c r="BOA263" s="18"/>
      <c r="BOB263" s="18"/>
      <c r="BOC263" s="18"/>
      <c r="BOD263" s="18"/>
      <c r="BOE263" s="18"/>
      <c r="BOF263" s="18"/>
      <c r="BOG263" s="18"/>
      <c r="BOH263" s="18"/>
      <c r="BOI263" s="18"/>
      <c r="BOJ263" s="18"/>
      <c r="BOK263" s="18"/>
      <c r="BOL263" s="18"/>
      <c r="BOM263" s="18"/>
      <c r="BON263" s="18"/>
      <c r="BOO263" s="18"/>
      <c r="BOP263" s="18"/>
      <c r="BOQ263" s="18"/>
      <c r="BOR263" s="18"/>
      <c r="BOS263" s="18"/>
      <c r="BOT263" s="18"/>
      <c r="BOU263" s="18"/>
      <c r="BOV263" s="18"/>
      <c r="BOW263" s="18"/>
      <c r="BOX263" s="18"/>
      <c r="BOY263" s="18"/>
      <c r="BOZ263" s="18"/>
      <c r="BPA263" s="18"/>
      <c r="BPB263" s="18"/>
      <c r="BPC263" s="18"/>
      <c r="BPD263" s="18"/>
      <c r="BPE263" s="18"/>
      <c r="BPF263" s="18"/>
      <c r="BPG263" s="18"/>
      <c r="BPH263" s="18"/>
      <c r="BPI263" s="18"/>
      <c r="BPJ263" s="18"/>
      <c r="BPK263" s="18"/>
      <c r="BPL263" s="18"/>
      <c r="BPM263" s="18"/>
      <c r="BPN263" s="18"/>
      <c r="BPO263" s="18"/>
      <c r="BPP263" s="18"/>
      <c r="BPQ263" s="18"/>
      <c r="BPR263" s="18"/>
      <c r="BPS263" s="18"/>
      <c r="BPT263" s="18"/>
      <c r="BPU263" s="18"/>
      <c r="BPV263" s="18"/>
      <c r="BPW263" s="18"/>
      <c r="BPX263" s="18"/>
      <c r="BPY263" s="18"/>
      <c r="BPZ263" s="18"/>
      <c r="BQA263" s="18"/>
      <c r="BQB263" s="18"/>
      <c r="BQC263" s="18"/>
      <c r="BQD263" s="18"/>
      <c r="BQE263" s="18"/>
      <c r="BQF263" s="18"/>
      <c r="BQG263" s="18"/>
      <c r="BQH263" s="18"/>
      <c r="BQI263" s="18"/>
      <c r="BQJ263" s="18"/>
      <c r="BQK263" s="18"/>
      <c r="BQL263" s="18"/>
      <c r="BQM263" s="18"/>
      <c r="BQN263" s="18"/>
      <c r="BQO263" s="18"/>
      <c r="BQP263" s="18"/>
      <c r="BQQ263" s="18"/>
      <c r="BQR263" s="18"/>
      <c r="BQS263" s="18"/>
      <c r="BQT263" s="18"/>
      <c r="BQU263" s="18"/>
      <c r="BQV263" s="18"/>
      <c r="BQW263" s="18"/>
      <c r="BQX263" s="18"/>
      <c r="BQY263" s="18"/>
      <c r="BQZ263" s="18"/>
      <c r="BRA263" s="18"/>
      <c r="BRB263" s="18"/>
      <c r="BRC263" s="18"/>
      <c r="BRD263" s="18"/>
      <c r="BRE263" s="18"/>
      <c r="BRF263" s="18"/>
      <c r="BRG263" s="18"/>
      <c r="BRH263" s="18"/>
      <c r="BRI263" s="18"/>
      <c r="BRJ263" s="18"/>
      <c r="BRK263" s="18"/>
      <c r="BRL263" s="18"/>
      <c r="BRM263" s="18"/>
      <c r="BRN263" s="18"/>
      <c r="BRO263" s="18"/>
      <c r="BRP263" s="18"/>
      <c r="BRQ263" s="18"/>
      <c r="BRR263" s="18"/>
      <c r="BRS263" s="18"/>
      <c r="BRT263" s="18"/>
      <c r="BRU263" s="18"/>
      <c r="BRV263" s="18"/>
      <c r="BRW263" s="18"/>
      <c r="BRX263" s="18"/>
      <c r="BRY263" s="18"/>
      <c r="BRZ263" s="18"/>
      <c r="BSA263" s="18"/>
      <c r="BSB263" s="18"/>
      <c r="BSC263" s="18"/>
      <c r="BSD263" s="18"/>
      <c r="BSE263" s="18"/>
      <c r="BSF263" s="18"/>
      <c r="BSG263" s="18"/>
      <c r="BSH263" s="18"/>
      <c r="BSI263" s="18"/>
      <c r="BSJ263" s="18"/>
      <c r="BSK263" s="18"/>
      <c r="BSL263" s="18"/>
      <c r="BSM263" s="18"/>
      <c r="BSN263" s="18"/>
      <c r="BSO263" s="18"/>
      <c r="BSP263" s="18"/>
      <c r="BSQ263" s="18"/>
      <c r="BSR263" s="18"/>
      <c r="BSS263" s="18"/>
      <c r="BST263" s="18"/>
      <c r="BSU263" s="18"/>
      <c r="BSV263" s="18"/>
      <c r="BSW263" s="18"/>
      <c r="BSX263" s="18"/>
      <c r="BSY263" s="18"/>
      <c r="BSZ263" s="18"/>
      <c r="BTA263" s="18"/>
      <c r="BTB263" s="18"/>
      <c r="BTC263" s="18"/>
      <c r="BTD263" s="18"/>
      <c r="BTE263" s="18"/>
      <c r="BTF263" s="18"/>
      <c r="BTG263" s="18"/>
      <c r="BTH263" s="18"/>
      <c r="BTI263" s="18"/>
    </row>
    <row r="264" spans="1:1881" s="769" customFormat="1" ht="30.75" hidden="1" customHeight="1" x14ac:dyDescent="0.3">
      <c r="A264" s="108"/>
      <c r="B264" s="826" t="s">
        <v>316</v>
      </c>
      <c r="C264" s="827"/>
      <c r="D264" s="96"/>
      <c r="E264" s="768"/>
      <c r="F264" s="771"/>
      <c r="G264" s="729"/>
      <c r="H264" s="17"/>
      <c r="I264" s="79"/>
      <c r="J264" s="18"/>
      <c r="K264" s="18"/>
      <c r="L264" s="18"/>
      <c r="M264" s="18"/>
      <c r="N264" s="296"/>
      <c r="O264" s="18"/>
      <c r="P264" s="18"/>
      <c r="Q264" s="18"/>
      <c r="R264" s="18"/>
      <c r="S264" s="18"/>
      <c r="T264" s="18"/>
      <c r="U264" s="18"/>
      <c r="V264" s="18"/>
      <c r="W264" s="18"/>
      <c r="X264" s="18"/>
      <c r="Y264" s="18"/>
      <c r="Z264" s="108"/>
      <c r="AA264" s="108"/>
      <c r="AB264" s="108"/>
      <c r="AC264" s="108"/>
      <c r="AD264" s="108"/>
      <c r="AE264" s="108"/>
      <c r="AF264" s="108"/>
      <c r="AG264" s="108"/>
      <c r="AH264" s="108"/>
      <c r="AI264" s="108"/>
      <c r="AJ264" s="108"/>
      <c r="AK264" s="108"/>
      <c r="AL264" s="108"/>
      <c r="AM264" s="108"/>
      <c r="AN264" s="108"/>
      <c r="AO264" s="108"/>
      <c r="AP264" s="108"/>
      <c r="AQ264" s="108"/>
      <c r="AR264" s="10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c r="GS264" s="18"/>
      <c r="GT264" s="18"/>
      <c r="GU264" s="18"/>
      <c r="GV264" s="18"/>
      <c r="GW264" s="18"/>
      <c r="GX264" s="18"/>
      <c r="GY264" s="18"/>
      <c r="GZ264" s="18"/>
      <c r="HA264" s="18"/>
      <c r="HB264" s="18"/>
      <c r="HC264" s="18"/>
      <c r="HD264" s="18"/>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c r="JI264" s="18"/>
      <c r="JJ264" s="18"/>
      <c r="JK264" s="18"/>
      <c r="JL264" s="18"/>
      <c r="JM264" s="18"/>
      <c r="JN264" s="18"/>
      <c r="JO264" s="18"/>
      <c r="JP264" s="18"/>
      <c r="JQ264" s="18"/>
      <c r="JR264" s="18"/>
      <c r="JS264" s="18"/>
      <c r="JT264" s="18"/>
      <c r="JU264" s="18"/>
      <c r="JV264" s="18"/>
      <c r="JW264" s="18"/>
      <c r="JX264" s="18"/>
      <c r="JY264" s="18"/>
      <c r="JZ264" s="18"/>
      <c r="KA264" s="18"/>
      <c r="KB264" s="18"/>
      <c r="KC264" s="18"/>
      <c r="KD264" s="18"/>
      <c r="KE264" s="18"/>
      <c r="KF264" s="18"/>
      <c r="KG264" s="18"/>
      <c r="KH264" s="18"/>
      <c r="KI264" s="18"/>
      <c r="KJ264" s="18"/>
      <c r="KK264" s="18"/>
      <c r="KL264" s="18"/>
      <c r="KM264" s="18"/>
      <c r="KN264" s="18"/>
      <c r="KO264" s="18"/>
      <c r="KP264" s="18"/>
      <c r="KQ264" s="18"/>
      <c r="KR264" s="18"/>
      <c r="KS264" s="18"/>
      <c r="KT264" s="18"/>
      <c r="KU264" s="18"/>
      <c r="KV264" s="18"/>
      <c r="KW264" s="18"/>
      <c r="KX264" s="18"/>
      <c r="KY264" s="18"/>
      <c r="KZ264" s="18"/>
      <c r="LA264" s="18"/>
      <c r="LB264" s="18"/>
      <c r="LC264" s="18"/>
      <c r="LD264" s="18"/>
      <c r="LE264" s="18"/>
      <c r="LF264" s="18"/>
      <c r="LG264" s="18"/>
      <c r="LH264" s="18"/>
      <c r="LI264" s="18"/>
      <c r="LJ264" s="18"/>
      <c r="LK264" s="18"/>
      <c r="LL264" s="18"/>
      <c r="LM264" s="18"/>
      <c r="LN264" s="18"/>
      <c r="LO264" s="18"/>
      <c r="LP264" s="18"/>
      <c r="LQ264" s="18"/>
      <c r="LR264" s="18"/>
      <c r="LS264" s="18"/>
      <c r="LT264" s="18"/>
      <c r="LU264" s="18"/>
      <c r="LV264" s="18"/>
      <c r="LW264" s="18"/>
      <c r="LX264" s="18"/>
      <c r="LY264" s="18"/>
      <c r="LZ264" s="18"/>
      <c r="MA264" s="18"/>
      <c r="MB264" s="18"/>
      <c r="MC264" s="18"/>
      <c r="MD264" s="18"/>
      <c r="ME264" s="18"/>
      <c r="MF264" s="18"/>
      <c r="MG264" s="18"/>
      <c r="MH264" s="18"/>
      <c r="MI264" s="18"/>
      <c r="MJ264" s="18"/>
      <c r="MK264" s="18"/>
      <c r="ML264" s="18"/>
      <c r="MM264" s="18"/>
      <c r="MN264" s="18"/>
      <c r="MO264" s="18"/>
      <c r="MP264" s="18"/>
      <c r="MQ264" s="18"/>
      <c r="MR264" s="18"/>
      <c r="MS264" s="18"/>
      <c r="MT264" s="18"/>
      <c r="MU264" s="18"/>
      <c r="MV264" s="18"/>
      <c r="MW264" s="18"/>
      <c r="MX264" s="18"/>
      <c r="MY264" s="18"/>
      <c r="MZ264" s="18"/>
      <c r="NA264" s="18"/>
      <c r="NB264" s="18"/>
      <c r="NC264" s="18"/>
      <c r="ND264" s="18"/>
      <c r="NE264" s="18"/>
      <c r="NF264" s="18"/>
      <c r="NG264" s="18"/>
      <c r="NH264" s="18"/>
      <c r="NI264" s="18"/>
      <c r="NJ264" s="18"/>
      <c r="NK264" s="18"/>
      <c r="NL264" s="18"/>
      <c r="NM264" s="18"/>
      <c r="NN264" s="18"/>
      <c r="NO264" s="18"/>
      <c r="NP264" s="18"/>
      <c r="NQ264" s="18"/>
      <c r="NR264" s="18"/>
      <c r="NS264" s="18"/>
      <c r="NT264" s="18"/>
      <c r="NU264" s="18"/>
      <c r="NV264" s="18"/>
      <c r="NW264" s="18"/>
      <c r="NX264" s="18"/>
      <c r="NY264" s="18"/>
      <c r="NZ264" s="18"/>
      <c r="OA264" s="18"/>
      <c r="OB264" s="18"/>
      <c r="OC264" s="18"/>
      <c r="OD264" s="18"/>
      <c r="OE264" s="18"/>
      <c r="OF264" s="18"/>
      <c r="OG264" s="18"/>
      <c r="OH264" s="18"/>
      <c r="OI264" s="18"/>
      <c r="OJ264" s="18"/>
      <c r="OK264" s="18"/>
      <c r="OL264" s="18"/>
      <c r="OM264" s="18"/>
      <c r="ON264" s="18"/>
      <c r="OO264" s="18"/>
      <c r="OP264" s="18"/>
      <c r="OQ264" s="18"/>
      <c r="OR264" s="18"/>
      <c r="OS264" s="18"/>
      <c r="OT264" s="18"/>
      <c r="OU264" s="18"/>
      <c r="OV264" s="18"/>
      <c r="OW264" s="18"/>
      <c r="OX264" s="18"/>
      <c r="OY264" s="18"/>
      <c r="OZ264" s="18"/>
      <c r="PA264" s="18"/>
      <c r="PB264" s="18"/>
      <c r="PC264" s="18"/>
      <c r="PD264" s="18"/>
      <c r="PE264" s="18"/>
      <c r="PF264" s="18"/>
      <c r="PG264" s="18"/>
      <c r="PH264" s="18"/>
      <c r="PI264" s="18"/>
      <c r="PJ264" s="18"/>
      <c r="PK264" s="18"/>
      <c r="PL264" s="18"/>
      <c r="PM264" s="18"/>
      <c r="PN264" s="18"/>
      <c r="PO264" s="18"/>
      <c r="PP264" s="18"/>
      <c r="PQ264" s="18"/>
      <c r="PR264" s="18"/>
      <c r="PS264" s="18"/>
      <c r="PT264" s="18"/>
      <c r="PU264" s="18"/>
      <c r="PV264" s="18"/>
      <c r="PW264" s="18"/>
      <c r="PX264" s="18"/>
      <c r="PY264" s="18"/>
      <c r="PZ264" s="18"/>
      <c r="QA264" s="18"/>
      <c r="QB264" s="18"/>
      <c r="QC264" s="18"/>
      <c r="QD264" s="18"/>
      <c r="QE264" s="18"/>
      <c r="QF264" s="18"/>
      <c r="QG264" s="18"/>
      <c r="QH264" s="18"/>
      <c r="QI264" s="18"/>
      <c r="QJ264" s="18"/>
      <c r="QK264" s="18"/>
      <c r="QL264" s="18"/>
      <c r="QM264" s="18"/>
      <c r="QN264" s="18"/>
      <c r="QO264" s="18"/>
      <c r="QP264" s="18"/>
      <c r="QQ264" s="18"/>
      <c r="QR264" s="18"/>
      <c r="QS264" s="18"/>
      <c r="QT264" s="18"/>
      <c r="QU264" s="18"/>
      <c r="QV264" s="18"/>
      <c r="QW264" s="18"/>
      <c r="QX264" s="18"/>
      <c r="QY264" s="18"/>
      <c r="QZ264" s="18"/>
      <c r="RA264" s="18"/>
      <c r="RB264" s="18"/>
      <c r="RC264" s="18"/>
      <c r="RD264" s="18"/>
      <c r="RE264" s="18"/>
      <c r="RF264" s="18"/>
      <c r="RG264" s="18"/>
      <c r="RH264" s="18"/>
      <c r="RI264" s="18"/>
      <c r="RJ264" s="18"/>
      <c r="RK264" s="18"/>
      <c r="RL264" s="18"/>
      <c r="RM264" s="18"/>
      <c r="RN264" s="18"/>
      <c r="RO264" s="18"/>
      <c r="RP264" s="18"/>
      <c r="RQ264" s="18"/>
      <c r="RR264" s="18"/>
      <c r="RS264" s="18"/>
      <c r="RT264" s="18"/>
      <c r="RU264" s="18"/>
      <c r="RV264" s="18"/>
      <c r="RW264" s="18"/>
      <c r="RX264" s="18"/>
      <c r="RY264" s="18"/>
      <c r="RZ264" s="18"/>
      <c r="SA264" s="18"/>
      <c r="SB264" s="18"/>
      <c r="SC264" s="18"/>
      <c r="SD264" s="18"/>
      <c r="SE264" s="18"/>
      <c r="SF264" s="18"/>
      <c r="SG264" s="18"/>
      <c r="SH264" s="18"/>
      <c r="SI264" s="18"/>
      <c r="SJ264" s="18"/>
      <c r="SK264" s="18"/>
      <c r="SL264" s="18"/>
      <c r="SM264" s="18"/>
      <c r="SN264" s="18"/>
      <c r="SO264" s="18"/>
      <c r="SP264" s="18"/>
      <c r="SQ264" s="18"/>
      <c r="SR264" s="18"/>
      <c r="SS264" s="18"/>
      <c r="ST264" s="18"/>
      <c r="SU264" s="18"/>
      <c r="SV264" s="18"/>
      <c r="SW264" s="18"/>
      <c r="SX264" s="18"/>
      <c r="SY264" s="18"/>
      <c r="SZ264" s="18"/>
      <c r="TA264" s="18"/>
      <c r="TB264" s="18"/>
      <c r="TC264" s="18"/>
      <c r="TD264" s="18"/>
      <c r="TE264" s="18"/>
      <c r="TF264" s="18"/>
      <c r="TG264" s="18"/>
      <c r="TH264" s="18"/>
      <c r="TI264" s="18"/>
      <c r="TJ264" s="18"/>
      <c r="TK264" s="18"/>
      <c r="TL264" s="18"/>
      <c r="TM264" s="18"/>
      <c r="TN264" s="18"/>
      <c r="TO264" s="18"/>
      <c r="TP264" s="18"/>
      <c r="TQ264" s="18"/>
      <c r="TR264" s="18"/>
      <c r="TS264" s="18"/>
      <c r="TT264" s="18"/>
      <c r="TU264" s="18"/>
      <c r="TV264" s="18"/>
      <c r="TW264" s="18"/>
      <c r="TX264" s="18"/>
      <c r="TY264" s="18"/>
      <c r="TZ264" s="18"/>
      <c r="UA264" s="18"/>
      <c r="UB264" s="18"/>
      <c r="UC264" s="18"/>
      <c r="UD264" s="18"/>
      <c r="UE264" s="18"/>
      <c r="UF264" s="18"/>
      <c r="UG264" s="18"/>
      <c r="UH264" s="18"/>
      <c r="UI264" s="18"/>
      <c r="UJ264" s="18"/>
      <c r="UK264" s="18"/>
      <c r="UL264" s="18"/>
      <c r="UM264" s="18"/>
      <c r="UN264" s="18"/>
      <c r="UO264" s="18"/>
      <c r="UP264" s="18"/>
      <c r="UQ264" s="18"/>
      <c r="UR264" s="18"/>
      <c r="US264" s="18"/>
      <c r="UT264" s="18"/>
      <c r="UU264" s="18"/>
      <c r="UV264" s="18"/>
      <c r="UW264" s="18"/>
      <c r="UX264" s="18"/>
      <c r="UY264" s="18"/>
      <c r="UZ264" s="18"/>
      <c r="VA264" s="18"/>
      <c r="VB264" s="18"/>
      <c r="VC264" s="18"/>
      <c r="VD264" s="18"/>
      <c r="VE264" s="18"/>
      <c r="VF264" s="18"/>
      <c r="VG264" s="18"/>
      <c r="VH264" s="18"/>
      <c r="VI264" s="18"/>
      <c r="VJ264" s="18"/>
      <c r="VK264" s="18"/>
      <c r="VL264" s="18"/>
      <c r="VM264" s="18"/>
      <c r="VN264" s="18"/>
      <c r="VO264" s="18"/>
      <c r="VP264" s="18"/>
      <c r="VQ264" s="18"/>
      <c r="VR264" s="18"/>
      <c r="VS264" s="18"/>
      <c r="VT264" s="18"/>
      <c r="VU264" s="18"/>
      <c r="VV264" s="18"/>
      <c r="VW264" s="18"/>
      <c r="VX264" s="18"/>
      <c r="VY264" s="18"/>
      <c r="VZ264" s="18"/>
      <c r="WA264" s="18"/>
      <c r="WB264" s="18"/>
      <c r="WC264" s="18"/>
      <c r="WD264" s="18"/>
      <c r="WE264" s="18"/>
      <c r="WF264" s="18"/>
      <c r="WG264" s="18"/>
      <c r="WH264" s="18"/>
      <c r="WI264" s="18"/>
      <c r="WJ264" s="18"/>
      <c r="WK264" s="18"/>
      <c r="WL264" s="18"/>
      <c r="WM264" s="18"/>
      <c r="WN264" s="18"/>
      <c r="WO264" s="18"/>
      <c r="WP264" s="18"/>
      <c r="WQ264" s="18"/>
      <c r="WR264" s="18"/>
      <c r="WS264" s="18"/>
      <c r="WT264" s="18"/>
      <c r="WU264" s="18"/>
      <c r="WV264" s="18"/>
      <c r="WW264" s="18"/>
      <c r="WX264" s="18"/>
      <c r="WY264" s="18"/>
      <c r="WZ264" s="18"/>
      <c r="XA264" s="18"/>
      <c r="XB264" s="18"/>
      <c r="XC264" s="18"/>
      <c r="XD264" s="18"/>
      <c r="XE264" s="18"/>
      <c r="XF264" s="18"/>
      <c r="XG264" s="18"/>
      <c r="XH264" s="18"/>
      <c r="XI264" s="18"/>
      <c r="XJ264" s="18"/>
      <c r="XK264" s="18"/>
      <c r="XL264" s="18"/>
      <c r="XM264" s="18"/>
      <c r="XN264" s="18"/>
      <c r="XO264" s="18"/>
      <c r="XP264" s="18"/>
      <c r="XQ264" s="18"/>
      <c r="XR264" s="18"/>
      <c r="XS264" s="18"/>
      <c r="XT264" s="18"/>
      <c r="XU264" s="18"/>
      <c r="XV264" s="18"/>
      <c r="XW264" s="18"/>
      <c r="XX264" s="18"/>
      <c r="XY264" s="18"/>
      <c r="XZ264" s="18"/>
      <c r="YA264" s="18"/>
      <c r="YB264" s="18"/>
      <c r="YC264" s="18"/>
      <c r="YD264" s="18"/>
      <c r="YE264" s="18"/>
      <c r="YF264" s="18"/>
      <c r="YG264" s="18"/>
      <c r="YH264" s="18"/>
      <c r="YI264" s="18"/>
      <c r="YJ264" s="18"/>
      <c r="YK264" s="18"/>
      <c r="YL264" s="18"/>
      <c r="YM264" s="18"/>
      <c r="YN264" s="18"/>
      <c r="YO264" s="18"/>
      <c r="YP264" s="18"/>
      <c r="YQ264" s="18"/>
      <c r="YR264" s="18"/>
      <c r="YS264" s="18"/>
      <c r="YT264" s="18"/>
      <c r="YU264" s="18"/>
      <c r="YV264" s="18"/>
      <c r="YW264" s="18"/>
      <c r="YX264" s="18"/>
      <c r="YY264" s="18"/>
      <c r="YZ264" s="18"/>
      <c r="ZA264" s="18"/>
      <c r="ZB264" s="18"/>
      <c r="ZC264" s="18"/>
      <c r="ZD264" s="18"/>
      <c r="ZE264" s="18"/>
      <c r="ZF264" s="18"/>
      <c r="ZG264" s="18"/>
      <c r="ZH264" s="18"/>
      <c r="ZI264" s="18"/>
      <c r="ZJ264" s="18"/>
      <c r="ZK264" s="18"/>
      <c r="ZL264" s="18"/>
      <c r="ZM264" s="18"/>
      <c r="ZN264" s="18"/>
      <c r="ZO264" s="18"/>
      <c r="ZP264" s="18"/>
      <c r="ZQ264" s="18"/>
      <c r="ZR264" s="18"/>
      <c r="ZS264" s="18"/>
      <c r="ZT264" s="18"/>
      <c r="ZU264" s="18"/>
      <c r="ZV264" s="18"/>
      <c r="ZW264" s="18"/>
      <c r="ZX264" s="18"/>
      <c r="ZY264" s="18"/>
      <c r="ZZ264" s="18"/>
      <c r="AAA264" s="18"/>
      <c r="AAB264" s="18"/>
      <c r="AAC264" s="18"/>
      <c r="AAD264" s="18"/>
      <c r="AAE264" s="18"/>
      <c r="AAF264" s="18"/>
      <c r="AAG264" s="18"/>
      <c r="AAH264" s="18"/>
      <c r="AAI264" s="18"/>
      <c r="AAJ264" s="18"/>
      <c r="AAK264" s="18"/>
      <c r="AAL264" s="18"/>
      <c r="AAM264" s="18"/>
      <c r="AAN264" s="18"/>
      <c r="AAO264" s="18"/>
      <c r="AAP264" s="18"/>
      <c r="AAQ264" s="18"/>
      <c r="AAR264" s="18"/>
      <c r="AAS264" s="18"/>
      <c r="AAT264" s="18"/>
      <c r="AAU264" s="18"/>
      <c r="AAV264" s="18"/>
      <c r="AAW264" s="18"/>
      <c r="AAX264" s="18"/>
      <c r="AAY264" s="18"/>
      <c r="AAZ264" s="18"/>
      <c r="ABA264" s="18"/>
      <c r="ABB264" s="18"/>
      <c r="ABC264" s="18"/>
      <c r="ABD264" s="18"/>
      <c r="ABE264" s="18"/>
      <c r="ABF264" s="18"/>
      <c r="ABG264" s="18"/>
      <c r="ABH264" s="18"/>
      <c r="ABI264" s="18"/>
      <c r="ABJ264" s="18"/>
      <c r="ABK264" s="18"/>
      <c r="ABL264" s="18"/>
      <c r="ABM264" s="18"/>
      <c r="ABN264" s="18"/>
      <c r="ABO264" s="18"/>
      <c r="ABP264" s="18"/>
      <c r="ABQ264" s="18"/>
      <c r="ABR264" s="18"/>
      <c r="ABS264" s="18"/>
      <c r="ABT264" s="18"/>
      <c r="ABU264" s="18"/>
      <c r="ABV264" s="18"/>
      <c r="ABW264" s="18"/>
      <c r="ABX264" s="18"/>
      <c r="ABY264" s="18"/>
      <c r="ABZ264" s="18"/>
      <c r="ACA264" s="18"/>
      <c r="ACB264" s="18"/>
      <c r="ACC264" s="18"/>
      <c r="ACD264" s="18"/>
      <c r="ACE264" s="18"/>
      <c r="ACF264" s="18"/>
      <c r="ACG264" s="18"/>
      <c r="ACH264" s="18"/>
      <c r="ACI264" s="18"/>
      <c r="ACJ264" s="18"/>
      <c r="ACK264" s="18"/>
      <c r="ACL264" s="18"/>
      <c r="ACM264" s="18"/>
      <c r="ACN264" s="18"/>
      <c r="ACO264" s="18"/>
      <c r="ACP264" s="18"/>
      <c r="ACQ264" s="18"/>
      <c r="ACR264" s="18"/>
      <c r="ACS264" s="18"/>
      <c r="ACT264" s="18"/>
      <c r="ACU264" s="18"/>
      <c r="ACV264" s="18"/>
      <c r="ACW264" s="18"/>
      <c r="ACX264" s="18"/>
      <c r="ACY264" s="18"/>
      <c r="ACZ264" s="18"/>
      <c r="ADA264" s="18"/>
      <c r="ADB264" s="18"/>
      <c r="ADC264" s="18"/>
      <c r="ADD264" s="18"/>
      <c r="ADE264" s="18"/>
      <c r="ADF264" s="18"/>
      <c r="ADG264" s="18"/>
      <c r="ADH264" s="18"/>
      <c r="ADI264" s="18"/>
      <c r="ADJ264" s="18"/>
      <c r="ADK264" s="18"/>
      <c r="ADL264" s="18"/>
      <c r="ADM264" s="18"/>
      <c r="ADN264" s="18"/>
      <c r="ADO264" s="18"/>
      <c r="ADP264" s="18"/>
      <c r="ADQ264" s="18"/>
      <c r="ADR264" s="18"/>
      <c r="ADS264" s="18"/>
      <c r="ADT264" s="18"/>
      <c r="ADU264" s="18"/>
      <c r="ADV264" s="18"/>
      <c r="ADW264" s="18"/>
      <c r="ADX264" s="18"/>
      <c r="ADY264" s="18"/>
      <c r="ADZ264" s="18"/>
      <c r="AEA264" s="18"/>
      <c r="AEB264" s="18"/>
      <c r="AEC264" s="18"/>
      <c r="AED264" s="18"/>
      <c r="AEE264" s="18"/>
      <c r="AEF264" s="18"/>
      <c r="AEG264" s="18"/>
      <c r="AEH264" s="18"/>
      <c r="AEI264" s="18"/>
      <c r="AEJ264" s="18"/>
      <c r="AEK264" s="18"/>
      <c r="AEL264" s="18"/>
      <c r="AEM264" s="18"/>
      <c r="AEN264" s="18"/>
      <c r="AEO264" s="18"/>
      <c r="AEP264" s="18"/>
      <c r="AEQ264" s="18"/>
      <c r="AER264" s="18"/>
      <c r="AES264" s="18"/>
      <c r="AET264" s="18"/>
      <c r="AEU264" s="18"/>
      <c r="AEV264" s="18"/>
      <c r="AEW264" s="18"/>
      <c r="AEX264" s="18"/>
      <c r="AEY264" s="18"/>
      <c r="AEZ264" s="18"/>
      <c r="AFA264" s="18"/>
      <c r="AFB264" s="18"/>
      <c r="AFC264" s="18"/>
      <c r="AFD264" s="18"/>
      <c r="AFE264" s="18"/>
      <c r="AFF264" s="18"/>
      <c r="AFG264" s="18"/>
      <c r="AFH264" s="18"/>
      <c r="AFI264" s="18"/>
      <c r="AFJ264" s="18"/>
      <c r="AFK264" s="18"/>
      <c r="AFL264" s="18"/>
      <c r="AFM264" s="18"/>
      <c r="AFN264" s="18"/>
      <c r="AFO264" s="18"/>
      <c r="AFP264" s="18"/>
      <c r="AFQ264" s="18"/>
      <c r="AFR264" s="18"/>
      <c r="AFS264" s="18"/>
      <c r="AFT264" s="18"/>
      <c r="AFU264" s="18"/>
      <c r="AFV264" s="18"/>
      <c r="AFW264" s="18"/>
      <c r="AFX264" s="18"/>
      <c r="AFY264" s="18"/>
      <c r="AFZ264" s="18"/>
      <c r="AGA264" s="18"/>
      <c r="AGB264" s="18"/>
      <c r="AGC264" s="18"/>
      <c r="AGD264" s="18"/>
      <c r="AGE264" s="18"/>
      <c r="AGF264" s="18"/>
      <c r="AGG264" s="18"/>
      <c r="AGH264" s="18"/>
      <c r="AGI264" s="18"/>
      <c r="AGJ264" s="18"/>
      <c r="AGK264" s="18"/>
      <c r="AGL264" s="18"/>
      <c r="AGM264" s="18"/>
      <c r="AGN264" s="18"/>
      <c r="AGO264" s="18"/>
      <c r="AGP264" s="18"/>
      <c r="AGQ264" s="18"/>
      <c r="AGR264" s="18"/>
      <c r="AGS264" s="18"/>
      <c r="AGT264" s="18"/>
      <c r="AGU264" s="18"/>
      <c r="AGV264" s="18"/>
      <c r="AGW264" s="18"/>
      <c r="AGX264" s="18"/>
      <c r="AGY264" s="18"/>
      <c r="AGZ264" s="18"/>
      <c r="AHA264" s="18"/>
      <c r="AHB264" s="18"/>
      <c r="AHC264" s="18"/>
      <c r="AHD264" s="18"/>
      <c r="AHE264" s="18"/>
      <c r="AHF264" s="18"/>
      <c r="AHG264" s="18"/>
      <c r="AHH264" s="18"/>
      <c r="AHI264" s="18"/>
      <c r="AHJ264" s="18"/>
      <c r="AHK264" s="18"/>
      <c r="AHL264" s="18"/>
      <c r="AHM264" s="18"/>
      <c r="AHN264" s="18"/>
      <c r="AHO264" s="18"/>
      <c r="AHP264" s="18"/>
      <c r="AHQ264" s="18"/>
      <c r="AHR264" s="18"/>
      <c r="AHS264" s="18"/>
      <c r="AHT264" s="18"/>
      <c r="AHU264" s="18"/>
      <c r="AHV264" s="18"/>
      <c r="AHW264" s="18"/>
      <c r="AHX264" s="18"/>
      <c r="AHY264" s="18"/>
      <c r="AHZ264" s="18"/>
      <c r="AIA264" s="18"/>
      <c r="AIB264" s="18"/>
      <c r="AIC264" s="18"/>
      <c r="AID264" s="18"/>
      <c r="AIE264" s="18"/>
      <c r="AIF264" s="18"/>
      <c r="AIG264" s="18"/>
      <c r="AIH264" s="18"/>
      <c r="AII264" s="18"/>
      <c r="AIJ264" s="18"/>
      <c r="AIK264" s="18"/>
      <c r="AIL264" s="18"/>
      <c r="AIM264" s="18"/>
      <c r="AIN264" s="18"/>
      <c r="AIO264" s="18"/>
      <c r="AIP264" s="18"/>
      <c r="AIQ264" s="18"/>
      <c r="AIR264" s="18"/>
      <c r="AIS264" s="18"/>
      <c r="AIT264" s="18"/>
      <c r="AIU264" s="18"/>
      <c r="AIV264" s="18"/>
      <c r="AIW264" s="18"/>
      <c r="AIX264" s="18"/>
      <c r="AIY264" s="18"/>
      <c r="AIZ264" s="18"/>
      <c r="AJA264" s="18"/>
      <c r="AJB264" s="18"/>
      <c r="AJC264" s="18"/>
      <c r="AJD264" s="18"/>
      <c r="AJE264" s="18"/>
      <c r="AJF264" s="18"/>
      <c r="AJG264" s="18"/>
      <c r="AJH264" s="18"/>
      <c r="AJI264" s="18"/>
      <c r="AJJ264" s="18"/>
      <c r="AJK264" s="18"/>
      <c r="AJL264" s="18"/>
      <c r="AJM264" s="18"/>
      <c r="AJN264" s="18"/>
      <c r="AJO264" s="18"/>
      <c r="AJP264" s="18"/>
      <c r="AJQ264" s="18"/>
      <c r="AJR264" s="18"/>
      <c r="AJS264" s="18"/>
      <c r="AJT264" s="18"/>
      <c r="AJU264" s="18"/>
      <c r="AJV264" s="18"/>
      <c r="AJW264" s="18"/>
      <c r="AJX264" s="18"/>
      <c r="AJY264" s="18"/>
      <c r="AJZ264" s="18"/>
      <c r="AKA264" s="18"/>
      <c r="AKB264" s="18"/>
      <c r="AKC264" s="18"/>
      <c r="AKD264" s="18"/>
      <c r="AKE264" s="18"/>
      <c r="AKF264" s="18"/>
      <c r="AKG264" s="18"/>
      <c r="AKH264" s="18"/>
      <c r="AKI264" s="18"/>
      <c r="AKJ264" s="18"/>
      <c r="AKK264" s="18"/>
      <c r="AKL264" s="18"/>
      <c r="AKM264" s="18"/>
      <c r="AKN264" s="18"/>
      <c r="AKO264" s="18"/>
      <c r="AKP264" s="18"/>
      <c r="AKQ264" s="18"/>
      <c r="AKR264" s="18"/>
      <c r="AKS264" s="18"/>
      <c r="AKT264" s="18"/>
      <c r="AKU264" s="18"/>
      <c r="AKV264" s="18"/>
      <c r="AKW264" s="18"/>
      <c r="AKX264" s="18"/>
      <c r="AKY264" s="18"/>
      <c r="AKZ264" s="18"/>
      <c r="ALA264" s="18"/>
      <c r="ALB264" s="18"/>
      <c r="ALC264" s="18"/>
      <c r="ALD264" s="18"/>
      <c r="ALE264" s="18"/>
      <c r="ALF264" s="18"/>
      <c r="ALG264" s="18"/>
      <c r="ALH264" s="18"/>
      <c r="ALI264" s="18"/>
      <c r="ALJ264" s="18"/>
      <c r="ALK264" s="18"/>
      <c r="ALL264" s="18"/>
      <c r="ALM264" s="18"/>
      <c r="ALN264" s="18"/>
      <c r="ALO264" s="18"/>
      <c r="ALP264" s="18"/>
      <c r="ALQ264" s="18"/>
      <c r="ALR264" s="18"/>
      <c r="ALS264" s="18"/>
      <c r="ALT264" s="18"/>
      <c r="ALU264" s="18"/>
      <c r="ALV264" s="18"/>
      <c r="ALW264" s="18"/>
      <c r="ALX264" s="18"/>
      <c r="ALY264" s="18"/>
      <c r="ALZ264" s="18"/>
      <c r="AMA264" s="18"/>
      <c r="AMB264" s="18"/>
      <c r="AMC264" s="18"/>
      <c r="AMD264" s="18"/>
      <c r="AME264" s="18"/>
      <c r="AMF264" s="18"/>
      <c r="AMG264" s="18"/>
      <c r="AMH264" s="18"/>
      <c r="AMI264" s="18"/>
      <c r="AMJ264" s="18"/>
      <c r="AMK264" s="18"/>
      <c r="AML264" s="18"/>
      <c r="AMM264" s="18"/>
      <c r="AMN264" s="18"/>
      <c r="AMO264" s="18"/>
      <c r="AMP264" s="18"/>
      <c r="AMQ264" s="18"/>
      <c r="AMR264" s="18"/>
      <c r="AMS264" s="18"/>
      <c r="AMT264" s="18"/>
      <c r="AMU264" s="18"/>
      <c r="AMV264" s="18"/>
      <c r="AMW264" s="18"/>
      <c r="AMX264" s="18"/>
      <c r="AMY264" s="18"/>
      <c r="AMZ264" s="18"/>
      <c r="ANA264" s="18"/>
      <c r="ANB264" s="18"/>
      <c r="ANC264" s="18"/>
      <c r="AND264" s="18"/>
      <c r="ANE264" s="18"/>
      <c r="ANF264" s="18"/>
      <c r="ANG264" s="18"/>
      <c r="ANH264" s="18"/>
      <c r="ANI264" s="18"/>
      <c r="ANJ264" s="18"/>
      <c r="ANK264" s="18"/>
      <c r="ANL264" s="18"/>
      <c r="ANM264" s="18"/>
      <c r="ANN264" s="18"/>
      <c r="ANO264" s="18"/>
      <c r="ANP264" s="18"/>
      <c r="ANQ264" s="18"/>
      <c r="ANR264" s="18"/>
      <c r="ANS264" s="18"/>
      <c r="ANT264" s="18"/>
      <c r="ANU264" s="18"/>
      <c r="ANV264" s="18"/>
      <c r="ANW264" s="18"/>
      <c r="ANX264" s="18"/>
      <c r="ANY264" s="18"/>
      <c r="ANZ264" s="18"/>
      <c r="AOA264" s="18"/>
      <c r="AOB264" s="18"/>
      <c r="AOC264" s="18"/>
      <c r="AOD264" s="18"/>
      <c r="AOE264" s="18"/>
      <c r="AOF264" s="18"/>
      <c r="AOG264" s="18"/>
      <c r="AOH264" s="18"/>
      <c r="AOI264" s="18"/>
      <c r="AOJ264" s="18"/>
      <c r="AOK264" s="18"/>
      <c r="AOL264" s="18"/>
      <c r="AOM264" s="18"/>
      <c r="AON264" s="18"/>
      <c r="AOO264" s="18"/>
      <c r="AOP264" s="18"/>
      <c r="AOQ264" s="18"/>
      <c r="AOR264" s="18"/>
      <c r="AOS264" s="18"/>
      <c r="AOT264" s="18"/>
      <c r="AOU264" s="18"/>
      <c r="AOV264" s="18"/>
      <c r="AOW264" s="18"/>
      <c r="AOX264" s="18"/>
      <c r="AOY264" s="18"/>
      <c r="AOZ264" s="18"/>
      <c r="APA264" s="18"/>
      <c r="APB264" s="18"/>
      <c r="APC264" s="18"/>
      <c r="APD264" s="18"/>
      <c r="APE264" s="18"/>
      <c r="APF264" s="18"/>
      <c r="APG264" s="18"/>
      <c r="APH264" s="18"/>
      <c r="API264" s="18"/>
      <c r="APJ264" s="18"/>
      <c r="APK264" s="18"/>
      <c r="APL264" s="18"/>
      <c r="APM264" s="18"/>
      <c r="APN264" s="18"/>
      <c r="APO264" s="18"/>
      <c r="APP264" s="18"/>
      <c r="APQ264" s="18"/>
      <c r="APR264" s="18"/>
      <c r="APS264" s="18"/>
      <c r="APT264" s="18"/>
      <c r="APU264" s="18"/>
      <c r="APV264" s="18"/>
      <c r="APW264" s="18"/>
      <c r="APX264" s="18"/>
      <c r="APY264" s="18"/>
      <c r="APZ264" s="18"/>
      <c r="AQA264" s="18"/>
      <c r="AQB264" s="18"/>
      <c r="AQC264" s="18"/>
      <c r="AQD264" s="18"/>
      <c r="AQE264" s="18"/>
      <c r="AQF264" s="18"/>
      <c r="AQG264" s="18"/>
      <c r="AQH264" s="18"/>
      <c r="AQI264" s="18"/>
      <c r="AQJ264" s="18"/>
      <c r="AQK264" s="18"/>
      <c r="AQL264" s="18"/>
      <c r="AQM264" s="18"/>
      <c r="AQN264" s="18"/>
      <c r="AQO264" s="18"/>
      <c r="AQP264" s="18"/>
      <c r="AQQ264" s="18"/>
      <c r="AQR264" s="18"/>
      <c r="AQS264" s="18"/>
      <c r="AQT264" s="18"/>
      <c r="AQU264" s="18"/>
      <c r="AQV264" s="18"/>
      <c r="AQW264" s="18"/>
      <c r="AQX264" s="18"/>
      <c r="AQY264" s="18"/>
      <c r="AQZ264" s="18"/>
      <c r="ARA264" s="18"/>
      <c r="ARB264" s="18"/>
      <c r="ARC264" s="18"/>
      <c r="ARD264" s="18"/>
      <c r="ARE264" s="18"/>
      <c r="ARF264" s="18"/>
      <c r="ARG264" s="18"/>
      <c r="ARH264" s="18"/>
      <c r="ARI264" s="18"/>
      <c r="ARJ264" s="18"/>
      <c r="ARK264" s="18"/>
      <c r="ARL264" s="18"/>
      <c r="ARM264" s="18"/>
      <c r="ARN264" s="18"/>
      <c r="ARO264" s="18"/>
      <c r="ARP264" s="18"/>
      <c r="ARQ264" s="18"/>
      <c r="ARR264" s="18"/>
      <c r="ARS264" s="18"/>
      <c r="ART264" s="18"/>
      <c r="ARU264" s="18"/>
      <c r="ARV264" s="18"/>
      <c r="ARW264" s="18"/>
      <c r="ARX264" s="18"/>
      <c r="ARY264" s="18"/>
      <c r="ARZ264" s="18"/>
      <c r="ASA264" s="18"/>
      <c r="ASB264" s="18"/>
      <c r="ASC264" s="18"/>
      <c r="ASD264" s="18"/>
      <c r="ASE264" s="18"/>
      <c r="ASF264" s="18"/>
      <c r="ASG264" s="18"/>
      <c r="ASH264" s="18"/>
      <c r="ASI264" s="18"/>
      <c r="ASJ264" s="18"/>
      <c r="ASK264" s="18"/>
      <c r="ASL264" s="18"/>
      <c r="ASM264" s="18"/>
      <c r="ASN264" s="18"/>
      <c r="ASO264" s="18"/>
      <c r="ASP264" s="18"/>
      <c r="ASQ264" s="18"/>
      <c r="ASR264" s="18"/>
      <c r="ASS264" s="18"/>
      <c r="AST264" s="18"/>
      <c r="ASU264" s="18"/>
      <c r="ASV264" s="18"/>
      <c r="ASW264" s="18"/>
      <c r="ASX264" s="18"/>
      <c r="ASY264" s="18"/>
      <c r="ASZ264" s="18"/>
      <c r="ATA264" s="18"/>
      <c r="ATB264" s="18"/>
      <c r="ATC264" s="18"/>
      <c r="ATD264" s="18"/>
      <c r="ATE264" s="18"/>
      <c r="ATF264" s="18"/>
      <c r="ATG264" s="18"/>
      <c r="ATH264" s="18"/>
      <c r="ATI264" s="18"/>
      <c r="ATJ264" s="18"/>
      <c r="ATK264" s="18"/>
      <c r="ATL264" s="18"/>
      <c r="ATM264" s="18"/>
      <c r="ATN264" s="18"/>
      <c r="ATO264" s="18"/>
      <c r="ATP264" s="18"/>
      <c r="ATQ264" s="18"/>
      <c r="ATR264" s="18"/>
      <c r="ATS264" s="18"/>
      <c r="ATT264" s="18"/>
      <c r="ATU264" s="18"/>
      <c r="ATV264" s="18"/>
      <c r="ATW264" s="18"/>
      <c r="ATX264" s="18"/>
      <c r="ATY264" s="18"/>
      <c r="ATZ264" s="18"/>
      <c r="AUA264" s="18"/>
      <c r="AUB264" s="18"/>
      <c r="AUC264" s="18"/>
      <c r="AUD264" s="18"/>
      <c r="AUE264" s="18"/>
      <c r="AUF264" s="18"/>
      <c r="AUG264" s="18"/>
      <c r="AUH264" s="18"/>
      <c r="AUI264" s="18"/>
      <c r="AUJ264" s="18"/>
      <c r="AUK264" s="18"/>
      <c r="AUL264" s="18"/>
      <c r="AUM264" s="18"/>
      <c r="AUN264" s="18"/>
      <c r="AUO264" s="18"/>
      <c r="AUP264" s="18"/>
      <c r="AUQ264" s="18"/>
      <c r="AUR264" s="18"/>
      <c r="AUS264" s="18"/>
      <c r="AUT264" s="18"/>
      <c r="AUU264" s="18"/>
      <c r="AUV264" s="18"/>
      <c r="AUW264" s="18"/>
      <c r="AUX264" s="18"/>
      <c r="AUY264" s="18"/>
      <c r="AUZ264" s="18"/>
      <c r="AVA264" s="18"/>
      <c r="AVB264" s="18"/>
      <c r="AVC264" s="18"/>
      <c r="AVD264" s="18"/>
      <c r="AVE264" s="18"/>
      <c r="AVF264" s="18"/>
      <c r="AVG264" s="18"/>
      <c r="AVH264" s="18"/>
      <c r="AVI264" s="18"/>
      <c r="AVJ264" s="18"/>
      <c r="AVK264" s="18"/>
      <c r="AVL264" s="18"/>
      <c r="AVM264" s="18"/>
      <c r="AVN264" s="18"/>
      <c r="AVO264" s="18"/>
      <c r="AVP264" s="18"/>
      <c r="AVQ264" s="18"/>
      <c r="AVR264" s="18"/>
      <c r="AVS264" s="18"/>
      <c r="AVT264" s="18"/>
      <c r="AVU264" s="18"/>
      <c r="AVV264" s="18"/>
      <c r="AVW264" s="18"/>
      <c r="AVX264" s="18"/>
      <c r="AVY264" s="18"/>
      <c r="AVZ264" s="18"/>
      <c r="AWA264" s="18"/>
      <c r="AWB264" s="18"/>
      <c r="AWC264" s="18"/>
      <c r="AWD264" s="18"/>
      <c r="AWE264" s="18"/>
      <c r="AWF264" s="18"/>
      <c r="AWG264" s="18"/>
      <c r="AWH264" s="18"/>
      <c r="AWI264" s="18"/>
      <c r="AWJ264" s="18"/>
      <c r="AWK264" s="18"/>
      <c r="AWL264" s="18"/>
      <c r="AWM264" s="18"/>
      <c r="AWN264" s="18"/>
      <c r="AWO264" s="18"/>
      <c r="AWP264" s="18"/>
      <c r="AWQ264" s="18"/>
      <c r="AWR264" s="18"/>
      <c r="AWS264" s="18"/>
      <c r="AWT264" s="18"/>
      <c r="AWU264" s="18"/>
      <c r="AWV264" s="18"/>
      <c r="AWW264" s="18"/>
      <c r="AWX264" s="18"/>
      <c r="AWY264" s="18"/>
      <c r="AWZ264" s="18"/>
      <c r="AXA264" s="18"/>
      <c r="AXB264" s="18"/>
      <c r="AXC264" s="18"/>
      <c r="AXD264" s="18"/>
      <c r="AXE264" s="18"/>
      <c r="AXF264" s="18"/>
      <c r="AXG264" s="18"/>
      <c r="AXH264" s="18"/>
      <c r="AXI264" s="18"/>
      <c r="AXJ264" s="18"/>
      <c r="AXK264" s="18"/>
      <c r="AXL264" s="18"/>
      <c r="AXM264" s="18"/>
      <c r="AXN264" s="18"/>
      <c r="AXO264" s="18"/>
      <c r="AXP264" s="18"/>
      <c r="AXQ264" s="18"/>
      <c r="AXR264" s="18"/>
      <c r="AXS264" s="18"/>
      <c r="AXT264" s="18"/>
      <c r="AXU264" s="18"/>
      <c r="AXV264" s="18"/>
      <c r="AXW264" s="18"/>
      <c r="AXX264" s="18"/>
      <c r="AXY264" s="18"/>
      <c r="AXZ264" s="18"/>
      <c r="AYA264" s="18"/>
      <c r="AYB264" s="18"/>
      <c r="AYC264" s="18"/>
      <c r="AYD264" s="18"/>
      <c r="AYE264" s="18"/>
      <c r="AYF264" s="18"/>
      <c r="AYG264" s="18"/>
      <c r="AYH264" s="18"/>
      <c r="AYI264" s="18"/>
      <c r="AYJ264" s="18"/>
      <c r="AYK264" s="18"/>
      <c r="AYL264" s="18"/>
      <c r="AYM264" s="18"/>
      <c r="AYN264" s="18"/>
      <c r="AYO264" s="18"/>
      <c r="AYP264" s="18"/>
      <c r="AYQ264" s="18"/>
      <c r="AYR264" s="18"/>
      <c r="AYS264" s="18"/>
      <c r="AYT264" s="18"/>
      <c r="AYU264" s="18"/>
      <c r="AYV264" s="18"/>
      <c r="AYW264" s="18"/>
      <c r="AYX264" s="18"/>
      <c r="AYY264" s="18"/>
      <c r="AYZ264" s="18"/>
      <c r="AZA264" s="18"/>
      <c r="AZB264" s="18"/>
      <c r="AZC264" s="18"/>
      <c r="AZD264" s="18"/>
      <c r="AZE264" s="18"/>
      <c r="AZF264" s="18"/>
      <c r="AZG264" s="18"/>
      <c r="AZH264" s="18"/>
      <c r="AZI264" s="18"/>
      <c r="AZJ264" s="18"/>
      <c r="AZK264" s="18"/>
      <c r="AZL264" s="18"/>
      <c r="AZM264" s="18"/>
      <c r="AZN264" s="18"/>
      <c r="AZO264" s="18"/>
      <c r="AZP264" s="18"/>
      <c r="AZQ264" s="18"/>
      <c r="AZR264" s="18"/>
      <c r="AZS264" s="18"/>
      <c r="AZT264" s="18"/>
      <c r="AZU264" s="18"/>
      <c r="AZV264" s="18"/>
      <c r="AZW264" s="18"/>
      <c r="AZX264" s="18"/>
      <c r="AZY264" s="18"/>
      <c r="AZZ264" s="18"/>
      <c r="BAA264" s="18"/>
      <c r="BAB264" s="18"/>
      <c r="BAC264" s="18"/>
      <c r="BAD264" s="18"/>
      <c r="BAE264" s="18"/>
      <c r="BAF264" s="18"/>
      <c r="BAG264" s="18"/>
      <c r="BAH264" s="18"/>
      <c r="BAI264" s="18"/>
      <c r="BAJ264" s="18"/>
      <c r="BAK264" s="18"/>
      <c r="BAL264" s="18"/>
      <c r="BAM264" s="18"/>
      <c r="BAN264" s="18"/>
      <c r="BAO264" s="18"/>
      <c r="BAP264" s="18"/>
      <c r="BAQ264" s="18"/>
      <c r="BAR264" s="18"/>
      <c r="BAS264" s="18"/>
      <c r="BAT264" s="18"/>
      <c r="BAU264" s="18"/>
      <c r="BAV264" s="18"/>
      <c r="BAW264" s="18"/>
      <c r="BAX264" s="18"/>
      <c r="BAY264" s="18"/>
      <c r="BAZ264" s="18"/>
      <c r="BBA264" s="18"/>
      <c r="BBB264" s="18"/>
      <c r="BBC264" s="18"/>
      <c r="BBD264" s="18"/>
      <c r="BBE264" s="18"/>
      <c r="BBF264" s="18"/>
      <c r="BBG264" s="18"/>
      <c r="BBH264" s="18"/>
      <c r="BBI264" s="18"/>
      <c r="BBJ264" s="18"/>
      <c r="BBK264" s="18"/>
      <c r="BBL264" s="18"/>
      <c r="BBM264" s="18"/>
      <c r="BBN264" s="18"/>
      <c r="BBO264" s="18"/>
      <c r="BBP264" s="18"/>
      <c r="BBQ264" s="18"/>
      <c r="BBR264" s="18"/>
      <c r="BBS264" s="18"/>
      <c r="BBT264" s="18"/>
      <c r="BBU264" s="18"/>
      <c r="BBV264" s="18"/>
      <c r="BBW264" s="18"/>
      <c r="BBX264" s="18"/>
      <c r="BBY264" s="18"/>
      <c r="BBZ264" s="18"/>
      <c r="BCA264" s="18"/>
      <c r="BCB264" s="18"/>
      <c r="BCC264" s="18"/>
      <c r="BCD264" s="18"/>
      <c r="BCE264" s="18"/>
      <c r="BCF264" s="18"/>
      <c r="BCG264" s="18"/>
      <c r="BCH264" s="18"/>
      <c r="BCI264" s="18"/>
      <c r="BCJ264" s="18"/>
      <c r="BCK264" s="18"/>
      <c r="BCL264" s="18"/>
      <c r="BCM264" s="18"/>
      <c r="BCN264" s="18"/>
      <c r="BCO264" s="18"/>
      <c r="BCP264" s="18"/>
      <c r="BCQ264" s="18"/>
      <c r="BCR264" s="18"/>
      <c r="BCS264" s="18"/>
      <c r="BCT264" s="18"/>
      <c r="BCU264" s="18"/>
      <c r="BCV264" s="18"/>
      <c r="BCW264" s="18"/>
      <c r="BCX264" s="18"/>
      <c r="BCY264" s="18"/>
      <c r="BCZ264" s="18"/>
      <c r="BDA264" s="18"/>
      <c r="BDB264" s="18"/>
      <c r="BDC264" s="18"/>
      <c r="BDD264" s="18"/>
      <c r="BDE264" s="18"/>
      <c r="BDF264" s="18"/>
      <c r="BDG264" s="18"/>
      <c r="BDH264" s="18"/>
      <c r="BDI264" s="18"/>
      <c r="BDJ264" s="18"/>
      <c r="BDK264" s="18"/>
      <c r="BDL264" s="18"/>
      <c r="BDM264" s="18"/>
      <c r="BDN264" s="18"/>
      <c r="BDO264" s="18"/>
      <c r="BDP264" s="18"/>
      <c r="BDQ264" s="18"/>
      <c r="BDR264" s="18"/>
      <c r="BDS264" s="18"/>
      <c r="BDT264" s="18"/>
      <c r="BDU264" s="18"/>
      <c r="BDV264" s="18"/>
      <c r="BDW264" s="18"/>
      <c r="BDX264" s="18"/>
      <c r="BDY264" s="18"/>
      <c r="BDZ264" s="18"/>
      <c r="BEA264" s="18"/>
      <c r="BEB264" s="18"/>
      <c r="BEC264" s="18"/>
      <c r="BED264" s="18"/>
      <c r="BEE264" s="18"/>
      <c r="BEF264" s="18"/>
      <c r="BEG264" s="18"/>
      <c r="BEH264" s="18"/>
      <c r="BEI264" s="18"/>
      <c r="BEJ264" s="18"/>
      <c r="BEK264" s="18"/>
      <c r="BEL264" s="18"/>
      <c r="BEM264" s="18"/>
      <c r="BEN264" s="18"/>
      <c r="BEO264" s="18"/>
      <c r="BEP264" s="18"/>
      <c r="BEQ264" s="18"/>
      <c r="BER264" s="18"/>
      <c r="BES264" s="18"/>
      <c r="BET264" s="18"/>
      <c r="BEU264" s="18"/>
      <c r="BEV264" s="18"/>
      <c r="BEW264" s="18"/>
      <c r="BEX264" s="18"/>
      <c r="BEY264" s="18"/>
      <c r="BEZ264" s="18"/>
      <c r="BFA264" s="18"/>
      <c r="BFB264" s="18"/>
      <c r="BFC264" s="18"/>
      <c r="BFD264" s="18"/>
      <c r="BFE264" s="18"/>
      <c r="BFF264" s="18"/>
      <c r="BFG264" s="18"/>
      <c r="BFH264" s="18"/>
      <c r="BFI264" s="18"/>
      <c r="BFJ264" s="18"/>
      <c r="BFK264" s="18"/>
      <c r="BFL264" s="18"/>
      <c r="BFM264" s="18"/>
      <c r="BFN264" s="18"/>
      <c r="BFO264" s="18"/>
      <c r="BFP264" s="18"/>
      <c r="BFQ264" s="18"/>
      <c r="BFR264" s="18"/>
      <c r="BFS264" s="18"/>
      <c r="BFT264" s="18"/>
      <c r="BFU264" s="18"/>
      <c r="BFV264" s="18"/>
      <c r="BFW264" s="18"/>
      <c r="BFX264" s="18"/>
      <c r="BFY264" s="18"/>
      <c r="BFZ264" s="18"/>
      <c r="BGA264" s="18"/>
      <c r="BGB264" s="18"/>
      <c r="BGC264" s="18"/>
      <c r="BGD264" s="18"/>
      <c r="BGE264" s="18"/>
      <c r="BGF264" s="18"/>
      <c r="BGG264" s="18"/>
      <c r="BGH264" s="18"/>
      <c r="BGI264" s="18"/>
      <c r="BGJ264" s="18"/>
      <c r="BGK264" s="18"/>
      <c r="BGL264" s="18"/>
      <c r="BGM264" s="18"/>
      <c r="BGN264" s="18"/>
      <c r="BGO264" s="18"/>
      <c r="BGP264" s="18"/>
      <c r="BGQ264" s="18"/>
      <c r="BGR264" s="18"/>
      <c r="BGS264" s="18"/>
      <c r="BGT264" s="18"/>
      <c r="BGU264" s="18"/>
      <c r="BGV264" s="18"/>
      <c r="BGW264" s="18"/>
      <c r="BGX264" s="18"/>
      <c r="BGY264" s="18"/>
      <c r="BGZ264" s="18"/>
      <c r="BHA264" s="18"/>
      <c r="BHB264" s="18"/>
      <c r="BHC264" s="18"/>
      <c r="BHD264" s="18"/>
      <c r="BHE264" s="18"/>
      <c r="BHF264" s="18"/>
      <c r="BHG264" s="18"/>
      <c r="BHH264" s="18"/>
      <c r="BHI264" s="18"/>
      <c r="BHJ264" s="18"/>
      <c r="BHK264" s="18"/>
      <c r="BHL264" s="18"/>
      <c r="BHM264" s="18"/>
      <c r="BHN264" s="18"/>
      <c r="BHO264" s="18"/>
      <c r="BHP264" s="18"/>
      <c r="BHQ264" s="18"/>
      <c r="BHR264" s="18"/>
      <c r="BHS264" s="18"/>
      <c r="BHT264" s="18"/>
      <c r="BHU264" s="18"/>
      <c r="BHV264" s="18"/>
      <c r="BHW264" s="18"/>
      <c r="BHX264" s="18"/>
      <c r="BHY264" s="18"/>
      <c r="BHZ264" s="18"/>
      <c r="BIA264" s="18"/>
      <c r="BIB264" s="18"/>
      <c r="BIC264" s="18"/>
      <c r="BID264" s="18"/>
      <c r="BIE264" s="18"/>
      <c r="BIF264" s="18"/>
      <c r="BIG264" s="18"/>
      <c r="BIH264" s="18"/>
      <c r="BII264" s="18"/>
      <c r="BIJ264" s="18"/>
      <c r="BIK264" s="18"/>
      <c r="BIL264" s="18"/>
      <c r="BIM264" s="18"/>
      <c r="BIN264" s="18"/>
      <c r="BIO264" s="18"/>
      <c r="BIP264" s="18"/>
      <c r="BIQ264" s="18"/>
      <c r="BIR264" s="18"/>
      <c r="BIS264" s="18"/>
      <c r="BIT264" s="18"/>
      <c r="BIU264" s="18"/>
      <c r="BIV264" s="18"/>
      <c r="BIW264" s="18"/>
      <c r="BIX264" s="18"/>
      <c r="BIY264" s="18"/>
      <c r="BIZ264" s="18"/>
      <c r="BJA264" s="18"/>
      <c r="BJB264" s="18"/>
      <c r="BJC264" s="18"/>
      <c r="BJD264" s="18"/>
      <c r="BJE264" s="18"/>
      <c r="BJF264" s="18"/>
      <c r="BJG264" s="18"/>
      <c r="BJH264" s="18"/>
      <c r="BJI264" s="18"/>
      <c r="BJJ264" s="18"/>
      <c r="BJK264" s="18"/>
      <c r="BJL264" s="18"/>
      <c r="BJM264" s="18"/>
      <c r="BJN264" s="18"/>
      <c r="BJO264" s="18"/>
      <c r="BJP264" s="18"/>
      <c r="BJQ264" s="18"/>
      <c r="BJR264" s="18"/>
      <c r="BJS264" s="18"/>
      <c r="BJT264" s="18"/>
      <c r="BJU264" s="18"/>
      <c r="BJV264" s="18"/>
      <c r="BJW264" s="18"/>
      <c r="BJX264" s="18"/>
      <c r="BJY264" s="18"/>
      <c r="BJZ264" s="18"/>
      <c r="BKA264" s="18"/>
      <c r="BKB264" s="18"/>
      <c r="BKC264" s="18"/>
      <c r="BKD264" s="18"/>
      <c r="BKE264" s="18"/>
      <c r="BKF264" s="18"/>
      <c r="BKG264" s="18"/>
      <c r="BKH264" s="18"/>
      <c r="BKI264" s="18"/>
      <c r="BKJ264" s="18"/>
      <c r="BKK264" s="18"/>
      <c r="BKL264" s="18"/>
      <c r="BKM264" s="18"/>
      <c r="BKN264" s="18"/>
      <c r="BKO264" s="18"/>
      <c r="BKP264" s="18"/>
      <c r="BKQ264" s="18"/>
      <c r="BKR264" s="18"/>
      <c r="BKS264" s="18"/>
      <c r="BKT264" s="18"/>
      <c r="BKU264" s="18"/>
      <c r="BKV264" s="18"/>
      <c r="BKW264" s="18"/>
      <c r="BKX264" s="18"/>
      <c r="BKY264" s="18"/>
      <c r="BKZ264" s="18"/>
      <c r="BLA264" s="18"/>
      <c r="BLB264" s="18"/>
      <c r="BLC264" s="18"/>
      <c r="BLD264" s="18"/>
      <c r="BLE264" s="18"/>
      <c r="BLF264" s="18"/>
      <c r="BLG264" s="18"/>
      <c r="BLH264" s="18"/>
      <c r="BLI264" s="18"/>
      <c r="BLJ264" s="18"/>
      <c r="BLK264" s="18"/>
      <c r="BLL264" s="18"/>
      <c r="BLM264" s="18"/>
      <c r="BLN264" s="18"/>
      <c r="BLO264" s="18"/>
      <c r="BLP264" s="18"/>
      <c r="BLQ264" s="18"/>
      <c r="BLR264" s="18"/>
      <c r="BLS264" s="18"/>
      <c r="BLT264" s="18"/>
      <c r="BLU264" s="18"/>
      <c r="BLV264" s="18"/>
      <c r="BLW264" s="18"/>
      <c r="BLX264" s="18"/>
      <c r="BLY264" s="18"/>
      <c r="BLZ264" s="18"/>
      <c r="BMA264" s="18"/>
      <c r="BMB264" s="18"/>
      <c r="BMC264" s="18"/>
      <c r="BMD264" s="18"/>
      <c r="BME264" s="18"/>
      <c r="BMF264" s="18"/>
      <c r="BMG264" s="18"/>
      <c r="BMH264" s="18"/>
      <c r="BMI264" s="18"/>
      <c r="BMJ264" s="18"/>
      <c r="BMK264" s="18"/>
      <c r="BML264" s="18"/>
      <c r="BMM264" s="18"/>
      <c r="BMN264" s="18"/>
      <c r="BMO264" s="18"/>
      <c r="BMP264" s="18"/>
      <c r="BMQ264" s="18"/>
      <c r="BMR264" s="18"/>
      <c r="BMS264" s="18"/>
      <c r="BMT264" s="18"/>
      <c r="BMU264" s="18"/>
      <c r="BMV264" s="18"/>
      <c r="BMW264" s="18"/>
      <c r="BMX264" s="18"/>
      <c r="BMY264" s="18"/>
      <c r="BMZ264" s="18"/>
      <c r="BNA264" s="18"/>
      <c r="BNB264" s="18"/>
      <c r="BNC264" s="18"/>
      <c r="BND264" s="18"/>
      <c r="BNE264" s="18"/>
      <c r="BNF264" s="18"/>
      <c r="BNG264" s="18"/>
      <c r="BNH264" s="18"/>
      <c r="BNI264" s="18"/>
      <c r="BNJ264" s="18"/>
      <c r="BNK264" s="18"/>
      <c r="BNL264" s="18"/>
      <c r="BNM264" s="18"/>
      <c r="BNN264" s="18"/>
      <c r="BNO264" s="18"/>
      <c r="BNP264" s="18"/>
      <c r="BNQ264" s="18"/>
      <c r="BNR264" s="18"/>
      <c r="BNS264" s="18"/>
      <c r="BNT264" s="18"/>
      <c r="BNU264" s="18"/>
      <c r="BNV264" s="18"/>
      <c r="BNW264" s="18"/>
      <c r="BNX264" s="18"/>
      <c r="BNY264" s="18"/>
      <c r="BNZ264" s="18"/>
      <c r="BOA264" s="18"/>
      <c r="BOB264" s="18"/>
      <c r="BOC264" s="18"/>
      <c r="BOD264" s="18"/>
      <c r="BOE264" s="18"/>
      <c r="BOF264" s="18"/>
      <c r="BOG264" s="18"/>
      <c r="BOH264" s="18"/>
      <c r="BOI264" s="18"/>
      <c r="BOJ264" s="18"/>
      <c r="BOK264" s="18"/>
      <c r="BOL264" s="18"/>
      <c r="BOM264" s="18"/>
      <c r="BON264" s="18"/>
      <c r="BOO264" s="18"/>
      <c r="BOP264" s="18"/>
      <c r="BOQ264" s="18"/>
      <c r="BOR264" s="18"/>
      <c r="BOS264" s="18"/>
      <c r="BOT264" s="18"/>
      <c r="BOU264" s="18"/>
      <c r="BOV264" s="18"/>
      <c r="BOW264" s="18"/>
      <c r="BOX264" s="18"/>
      <c r="BOY264" s="18"/>
      <c r="BOZ264" s="18"/>
      <c r="BPA264" s="18"/>
      <c r="BPB264" s="18"/>
      <c r="BPC264" s="18"/>
      <c r="BPD264" s="18"/>
      <c r="BPE264" s="18"/>
      <c r="BPF264" s="18"/>
      <c r="BPG264" s="18"/>
      <c r="BPH264" s="18"/>
      <c r="BPI264" s="18"/>
      <c r="BPJ264" s="18"/>
      <c r="BPK264" s="18"/>
      <c r="BPL264" s="18"/>
      <c r="BPM264" s="18"/>
      <c r="BPN264" s="18"/>
      <c r="BPO264" s="18"/>
      <c r="BPP264" s="18"/>
      <c r="BPQ264" s="18"/>
      <c r="BPR264" s="18"/>
      <c r="BPS264" s="18"/>
      <c r="BPT264" s="18"/>
      <c r="BPU264" s="18"/>
      <c r="BPV264" s="18"/>
      <c r="BPW264" s="18"/>
      <c r="BPX264" s="18"/>
      <c r="BPY264" s="18"/>
      <c r="BPZ264" s="18"/>
      <c r="BQA264" s="18"/>
      <c r="BQB264" s="18"/>
      <c r="BQC264" s="18"/>
      <c r="BQD264" s="18"/>
      <c r="BQE264" s="18"/>
      <c r="BQF264" s="18"/>
      <c r="BQG264" s="18"/>
      <c r="BQH264" s="18"/>
      <c r="BQI264" s="18"/>
      <c r="BQJ264" s="18"/>
      <c r="BQK264" s="18"/>
      <c r="BQL264" s="18"/>
      <c r="BQM264" s="18"/>
      <c r="BQN264" s="18"/>
      <c r="BQO264" s="18"/>
      <c r="BQP264" s="18"/>
      <c r="BQQ264" s="18"/>
      <c r="BQR264" s="18"/>
      <c r="BQS264" s="18"/>
      <c r="BQT264" s="18"/>
      <c r="BQU264" s="18"/>
      <c r="BQV264" s="18"/>
      <c r="BQW264" s="18"/>
      <c r="BQX264" s="18"/>
      <c r="BQY264" s="18"/>
      <c r="BQZ264" s="18"/>
      <c r="BRA264" s="18"/>
      <c r="BRB264" s="18"/>
      <c r="BRC264" s="18"/>
      <c r="BRD264" s="18"/>
      <c r="BRE264" s="18"/>
      <c r="BRF264" s="18"/>
      <c r="BRG264" s="18"/>
      <c r="BRH264" s="18"/>
      <c r="BRI264" s="18"/>
      <c r="BRJ264" s="18"/>
      <c r="BRK264" s="18"/>
      <c r="BRL264" s="18"/>
      <c r="BRM264" s="18"/>
      <c r="BRN264" s="18"/>
      <c r="BRO264" s="18"/>
      <c r="BRP264" s="18"/>
      <c r="BRQ264" s="18"/>
      <c r="BRR264" s="18"/>
      <c r="BRS264" s="18"/>
      <c r="BRT264" s="18"/>
      <c r="BRU264" s="18"/>
      <c r="BRV264" s="18"/>
      <c r="BRW264" s="18"/>
      <c r="BRX264" s="18"/>
      <c r="BRY264" s="18"/>
      <c r="BRZ264" s="18"/>
      <c r="BSA264" s="18"/>
      <c r="BSB264" s="18"/>
      <c r="BSC264" s="18"/>
      <c r="BSD264" s="18"/>
      <c r="BSE264" s="18"/>
      <c r="BSF264" s="18"/>
      <c r="BSG264" s="18"/>
      <c r="BSH264" s="18"/>
      <c r="BSI264" s="18"/>
      <c r="BSJ264" s="18"/>
      <c r="BSK264" s="18"/>
      <c r="BSL264" s="18"/>
      <c r="BSM264" s="18"/>
      <c r="BSN264" s="18"/>
      <c r="BSO264" s="18"/>
      <c r="BSP264" s="18"/>
      <c r="BSQ264" s="18"/>
      <c r="BSR264" s="18"/>
      <c r="BSS264" s="18"/>
      <c r="BST264" s="18"/>
      <c r="BSU264" s="18"/>
      <c r="BSV264" s="18"/>
      <c r="BSW264" s="18"/>
      <c r="BSX264" s="18"/>
      <c r="BSY264" s="18"/>
      <c r="BSZ264" s="18"/>
      <c r="BTA264" s="18"/>
      <c r="BTB264" s="18"/>
      <c r="BTC264" s="18"/>
      <c r="BTD264" s="18"/>
      <c r="BTE264" s="18"/>
      <c r="BTF264" s="18"/>
      <c r="BTG264" s="18"/>
      <c r="BTH264" s="18"/>
      <c r="BTI264" s="18"/>
    </row>
    <row r="265" spans="1:1881" s="769" customFormat="1" ht="81.75" hidden="1" customHeight="1" x14ac:dyDescent="0.3">
      <c r="A265" s="108">
        <v>598</v>
      </c>
      <c r="B265" s="671" t="s">
        <v>59</v>
      </c>
      <c r="C265" s="671" t="s">
        <v>317</v>
      </c>
      <c r="D265" s="708" t="s">
        <v>402</v>
      </c>
      <c r="E265" s="669" t="e">
        <f>HLOOKUP($D$2,'2020 Data(H)'!$C$1:$CZ$426,258,FALSE)</f>
        <v>#N/A</v>
      </c>
      <c r="F265" s="294">
        <v>0</v>
      </c>
      <c r="G265" s="730">
        <f>IF(F265&lt;0,"Error: Enter as positive.",)</f>
        <v>0</v>
      </c>
      <c r="H265" s="730"/>
      <c r="I265" s="766"/>
      <c r="J265" s="575"/>
      <c r="K265" s="18"/>
      <c r="L265" s="18"/>
      <c r="M265" s="18"/>
      <c r="N265" s="296"/>
      <c r="O265" s="18"/>
      <c r="P265" s="18"/>
      <c r="Q265" s="18"/>
      <c r="R265" s="18"/>
      <c r="S265" s="18"/>
      <c r="T265" s="18"/>
      <c r="U265" s="18"/>
      <c r="V265" s="18"/>
      <c r="W265" s="18"/>
      <c r="X265" s="18"/>
      <c r="Y265" s="18"/>
      <c r="Z265" s="108"/>
      <c r="AA265" s="108"/>
      <c r="AB265" s="108"/>
      <c r="AC265" s="108"/>
      <c r="AD265" s="108"/>
      <c r="AE265" s="108"/>
      <c r="AF265" s="108"/>
      <c r="AG265" s="108"/>
      <c r="AH265" s="108"/>
      <c r="AI265" s="108"/>
      <c r="AJ265" s="108"/>
      <c r="AK265" s="108"/>
      <c r="AL265" s="108"/>
      <c r="AM265" s="108"/>
      <c r="AN265" s="108"/>
      <c r="AO265" s="108"/>
      <c r="AP265" s="108"/>
      <c r="AQ265" s="108"/>
      <c r="AR265" s="10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c r="GU265" s="18"/>
      <c r="GV265" s="18"/>
      <c r="GW265" s="18"/>
      <c r="GX265" s="18"/>
      <c r="GY265" s="18"/>
      <c r="GZ265" s="18"/>
      <c r="HA265" s="18"/>
      <c r="HB265" s="18"/>
      <c r="HC265" s="18"/>
      <c r="HD265" s="18"/>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c r="JI265" s="18"/>
      <c r="JJ265" s="18"/>
      <c r="JK265" s="18"/>
      <c r="JL265" s="18"/>
      <c r="JM265" s="18"/>
      <c r="JN265" s="18"/>
      <c r="JO265" s="18"/>
      <c r="JP265" s="18"/>
      <c r="JQ265" s="18"/>
      <c r="JR265" s="18"/>
      <c r="JS265" s="18"/>
      <c r="JT265" s="18"/>
      <c r="JU265" s="18"/>
      <c r="JV265" s="18"/>
      <c r="JW265" s="18"/>
      <c r="JX265" s="18"/>
      <c r="JY265" s="18"/>
      <c r="JZ265" s="18"/>
      <c r="KA265" s="18"/>
      <c r="KB265" s="18"/>
      <c r="KC265" s="18"/>
      <c r="KD265" s="18"/>
      <c r="KE265" s="18"/>
      <c r="KF265" s="18"/>
      <c r="KG265" s="18"/>
      <c r="KH265" s="18"/>
      <c r="KI265" s="18"/>
      <c r="KJ265" s="18"/>
      <c r="KK265" s="18"/>
      <c r="KL265" s="18"/>
      <c r="KM265" s="18"/>
      <c r="KN265" s="18"/>
      <c r="KO265" s="18"/>
      <c r="KP265" s="18"/>
      <c r="KQ265" s="18"/>
      <c r="KR265" s="18"/>
      <c r="KS265" s="18"/>
      <c r="KT265" s="18"/>
      <c r="KU265" s="18"/>
      <c r="KV265" s="18"/>
      <c r="KW265" s="18"/>
      <c r="KX265" s="18"/>
      <c r="KY265" s="18"/>
      <c r="KZ265" s="18"/>
      <c r="LA265" s="18"/>
      <c r="LB265" s="18"/>
      <c r="LC265" s="18"/>
      <c r="LD265" s="18"/>
      <c r="LE265" s="18"/>
      <c r="LF265" s="18"/>
      <c r="LG265" s="18"/>
      <c r="LH265" s="18"/>
      <c r="LI265" s="18"/>
      <c r="LJ265" s="18"/>
      <c r="LK265" s="18"/>
      <c r="LL265" s="18"/>
      <c r="LM265" s="18"/>
      <c r="LN265" s="18"/>
      <c r="LO265" s="18"/>
      <c r="LP265" s="18"/>
      <c r="LQ265" s="18"/>
      <c r="LR265" s="18"/>
      <c r="LS265" s="18"/>
      <c r="LT265" s="18"/>
      <c r="LU265" s="18"/>
      <c r="LV265" s="18"/>
      <c r="LW265" s="18"/>
      <c r="LX265" s="18"/>
      <c r="LY265" s="18"/>
      <c r="LZ265" s="18"/>
      <c r="MA265" s="18"/>
      <c r="MB265" s="18"/>
      <c r="MC265" s="18"/>
      <c r="MD265" s="18"/>
      <c r="ME265" s="18"/>
      <c r="MF265" s="18"/>
      <c r="MG265" s="18"/>
      <c r="MH265" s="18"/>
      <c r="MI265" s="18"/>
      <c r="MJ265" s="18"/>
      <c r="MK265" s="18"/>
      <c r="ML265" s="18"/>
      <c r="MM265" s="18"/>
      <c r="MN265" s="18"/>
      <c r="MO265" s="18"/>
      <c r="MP265" s="18"/>
      <c r="MQ265" s="18"/>
      <c r="MR265" s="18"/>
      <c r="MS265" s="18"/>
      <c r="MT265" s="18"/>
      <c r="MU265" s="18"/>
      <c r="MV265" s="18"/>
      <c r="MW265" s="18"/>
      <c r="MX265" s="18"/>
      <c r="MY265" s="18"/>
      <c r="MZ265" s="18"/>
      <c r="NA265" s="18"/>
      <c r="NB265" s="18"/>
      <c r="NC265" s="18"/>
      <c r="ND265" s="18"/>
      <c r="NE265" s="18"/>
      <c r="NF265" s="18"/>
      <c r="NG265" s="18"/>
      <c r="NH265" s="18"/>
      <c r="NI265" s="18"/>
      <c r="NJ265" s="18"/>
      <c r="NK265" s="18"/>
      <c r="NL265" s="18"/>
      <c r="NM265" s="18"/>
      <c r="NN265" s="18"/>
      <c r="NO265" s="18"/>
      <c r="NP265" s="18"/>
      <c r="NQ265" s="18"/>
      <c r="NR265" s="18"/>
      <c r="NS265" s="18"/>
      <c r="NT265" s="18"/>
      <c r="NU265" s="18"/>
      <c r="NV265" s="18"/>
      <c r="NW265" s="18"/>
      <c r="NX265" s="18"/>
      <c r="NY265" s="18"/>
      <c r="NZ265" s="18"/>
      <c r="OA265" s="18"/>
      <c r="OB265" s="18"/>
      <c r="OC265" s="18"/>
      <c r="OD265" s="18"/>
      <c r="OE265" s="18"/>
      <c r="OF265" s="18"/>
      <c r="OG265" s="18"/>
      <c r="OH265" s="18"/>
      <c r="OI265" s="18"/>
      <c r="OJ265" s="18"/>
      <c r="OK265" s="18"/>
      <c r="OL265" s="18"/>
      <c r="OM265" s="18"/>
      <c r="ON265" s="18"/>
      <c r="OO265" s="18"/>
      <c r="OP265" s="18"/>
      <c r="OQ265" s="18"/>
      <c r="OR265" s="18"/>
      <c r="OS265" s="18"/>
      <c r="OT265" s="18"/>
      <c r="OU265" s="18"/>
      <c r="OV265" s="18"/>
      <c r="OW265" s="18"/>
      <c r="OX265" s="18"/>
      <c r="OY265" s="18"/>
      <c r="OZ265" s="18"/>
      <c r="PA265" s="18"/>
      <c r="PB265" s="18"/>
      <c r="PC265" s="18"/>
      <c r="PD265" s="18"/>
      <c r="PE265" s="18"/>
      <c r="PF265" s="18"/>
      <c r="PG265" s="18"/>
      <c r="PH265" s="18"/>
      <c r="PI265" s="18"/>
      <c r="PJ265" s="18"/>
      <c r="PK265" s="18"/>
      <c r="PL265" s="18"/>
      <c r="PM265" s="18"/>
      <c r="PN265" s="18"/>
      <c r="PO265" s="18"/>
      <c r="PP265" s="18"/>
      <c r="PQ265" s="18"/>
      <c r="PR265" s="18"/>
      <c r="PS265" s="18"/>
      <c r="PT265" s="18"/>
      <c r="PU265" s="18"/>
      <c r="PV265" s="18"/>
      <c r="PW265" s="18"/>
      <c r="PX265" s="18"/>
      <c r="PY265" s="18"/>
      <c r="PZ265" s="18"/>
      <c r="QA265" s="18"/>
      <c r="QB265" s="18"/>
      <c r="QC265" s="18"/>
      <c r="QD265" s="18"/>
      <c r="QE265" s="18"/>
      <c r="QF265" s="18"/>
      <c r="QG265" s="18"/>
      <c r="QH265" s="18"/>
      <c r="QI265" s="18"/>
      <c r="QJ265" s="18"/>
      <c r="QK265" s="18"/>
      <c r="QL265" s="18"/>
      <c r="QM265" s="18"/>
      <c r="QN265" s="18"/>
      <c r="QO265" s="18"/>
      <c r="QP265" s="18"/>
      <c r="QQ265" s="18"/>
      <c r="QR265" s="18"/>
      <c r="QS265" s="18"/>
      <c r="QT265" s="18"/>
      <c r="QU265" s="18"/>
      <c r="QV265" s="18"/>
      <c r="QW265" s="18"/>
      <c r="QX265" s="18"/>
      <c r="QY265" s="18"/>
      <c r="QZ265" s="18"/>
      <c r="RA265" s="18"/>
      <c r="RB265" s="18"/>
      <c r="RC265" s="18"/>
      <c r="RD265" s="18"/>
      <c r="RE265" s="18"/>
      <c r="RF265" s="18"/>
      <c r="RG265" s="18"/>
      <c r="RH265" s="18"/>
      <c r="RI265" s="18"/>
      <c r="RJ265" s="18"/>
      <c r="RK265" s="18"/>
      <c r="RL265" s="18"/>
      <c r="RM265" s="18"/>
      <c r="RN265" s="18"/>
      <c r="RO265" s="18"/>
      <c r="RP265" s="18"/>
      <c r="RQ265" s="18"/>
      <c r="RR265" s="18"/>
      <c r="RS265" s="18"/>
      <c r="RT265" s="18"/>
      <c r="RU265" s="18"/>
      <c r="RV265" s="18"/>
      <c r="RW265" s="18"/>
      <c r="RX265" s="18"/>
      <c r="RY265" s="18"/>
      <c r="RZ265" s="18"/>
      <c r="SA265" s="18"/>
      <c r="SB265" s="18"/>
      <c r="SC265" s="18"/>
      <c r="SD265" s="18"/>
      <c r="SE265" s="18"/>
      <c r="SF265" s="18"/>
      <c r="SG265" s="18"/>
      <c r="SH265" s="18"/>
      <c r="SI265" s="18"/>
      <c r="SJ265" s="18"/>
      <c r="SK265" s="18"/>
      <c r="SL265" s="18"/>
      <c r="SM265" s="18"/>
      <c r="SN265" s="18"/>
      <c r="SO265" s="18"/>
      <c r="SP265" s="18"/>
      <c r="SQ265" s="18"/>
      <c r="SR265" s="18"/>
      <c r="SS265" s="18"/>
      <c r="ST265" s="18"/>
      <c r="SU265" s="18"/>
      <c r="SV265" s="18"/>
      <c r="SW265" s="18"/>
      <c r="SX265" s="18"/>
      <c r="SY265" s="18"/>
      <c r="SZ265" s="18"/>
      <c r="TA265" s="18"/>
      <c r="TB265" s="18"/>
      <c r="TC265" s="18"/>
      <c r="TD265" s="18"/>
      <c r="TE265" s="18"/>
      <c r="TF265" s="18"/>
      <c r="TG265" s="18"/>
      <c r="TH265" s="18"/>
      <c r="TI265" s="18"/>
      <c r="TJ265" s="18"/>
      <c r="TK265" s="18"/>
      <c r="TL265" s="18"/>
      <c r="TM265" s="18"/>
      <c r="TN265" s="18"/>
      <c r="TO265" s="18"/>
      <c r="TP265" s="18"/>
      <c r="TQ265" s="18"/>
      <c r="TR265" s="18"/>
      <c r="TS265" s="18"/>
      <c r="TT265" s="18"/>
      <c r="TU265" s="18"/>
      <c r="TV265" s="18"/>
      <c r="TW265" s="18"/>
      <c r="TX265" s="18"/>
      <c r="TY265" s="18"/>
      <c r="TZ265" s="18"/>
      <c r="UA265" s="18"/>
      <c r="UB265" s="18"/>
      <c r="UC265" s="18"/>
      <c r="UD265" s="18"/>
      <c r="UE265" s="18"/>
      <c r="UF265" s="18"/>
      <c r="UG265" s="18"/>
      <c r="UH265" s="18"/>
      <c r="UI265" s="18"/>
      <c r="UJ265" s="18"/>
      <c r="UK265" s="18"/>
      <c r="UL265" s="18"/>
      <c r="UM265" s="18"/>
      <c r="UN265" s="18"/>
      <c r="UO265" s="18"/>
      <c r="UP265" s="18"/>
      <c r="UQ265" s="18"/>
      <c r="UR265" s="18"/>
      <c r="US265" s="18"/>
      <c r="UT265" s="18"/>
      <c r="UU265" s="18"/>
      <c r="UV265" s="18"/>
      <c r="UW265" s="18"/>
      <c r="UX265" s="18"/>
      <c r="UY265" s="18"/>
      <c r="UZ265" s="18"/>
      <c r="VA265" s="18"/>
      <c r="VB265" s="18"/>
      <c r="VC265" s="18"/>
      <c r="VD265" s="18"/>
      <c r="VE265" s="18"/>
      <c r="VF265" s="18"/>
      <c r="VG265" s="18"/>
      <c r="VH265" s="18"/>
      <c r="VI265" s="18"/>
      <c r="VJ265" s="18"/>
      <c r="VK265" s="18"/>
      <c r="VL265" s="18"/>
      <c r="VM265" s="18"/>
      <c r="VN265" s="18"/>
      <c r="VO265" s="18"/>
      <c r="VP265" s="18"/>
      <c r="VQ265" s="18"/>
      <c r="VR265" s="18"/>
      <c r="VS265" s="18"/>
      <c r="VT265" s="18"/>
      <c r="VU265" s="18"/>
      <c r="VV265" s="18"/>
      <c r="VW265" s="18"/>
      <c r="VX265" s="18"/>
      <c r="VY265" s="18"/>
      <c r="VZ265" s="18"/>
      <c r="WA265" s="18"/>
      <c r="WB265" s="18"/>
      <c r="WC265" s="18"/>
      <c r="WD265" s="18"/>
      <c r="WE265" s="18"/>
      <c r="WF265" s="18"/>
      <c r="WG265" s="18"/>
      <c r="WH265" s="18"/>
      <c r="WI265" s="18"/>
      <c r="WJ265" s="18"/>
      <c r="WK265" s="18"/>
      <c r="WL265" s="18"/>
      <c r="WM265" s="18"/>
      <c r="WN265" s="18"/>
      <c r="WO265" s="18"/>
      <c r="WP265" s="18"/>
      <c r="WQ265" s="18"/>
      <c r="WR265" s="18"/>
      <c r="WS265" s="18"/>
      <c r="WT265" s="18"/>
      <c r="WU265" s="18"/>
      <c r="WV265" s="18"/>
      <c r="WW265" s="18"/>
      <c r="WX265" s="18"/>
      <c r="WY265" s="18"/>
      <c r="WZ265" s="18"/>
      <c r="XA265" s="18"/>
      <c r="XB265" s="18"/>
      <c r="XC265" s="18"/>
      <c r="XD265" s="18"/>
      <c r="XE265" s="18"/>
      <c r="XF265" s="18"/>
      <c r="XG265" s="18"/>
      <c r="XH265" s="18"/>
      <c r="XI265" s="18"/>
      <c r="XJ265" s="18"/>
      <c r="XK265" s="18"/>
      <c r="XL265" s="18"/>
      <c r="XM265" s="18"/>
      <c r="XN265" s="18"/>
      <c r="XO265" s="18"/>
      <c r="XP265" s="18"/>
      <c r="XQ265" s="18"/>
      <c r="XR265" s="18"/>
      <c r="XS265" s="18"/>
      <c r="XT265" s="18"/>
      <c r="XU265" s="18"/>
      <c r="XV265" s="18"/>
      <c r="XW265" s="18"/>
      <c r="XX265" s="18"/>
      <c r="XY265" s="18"/>
      <c r="XZ265" s="18"/>
      <c r="YA265" s="18"/>
      <c r="YB265" s="18"/>
      <c r="YC265" s="18"/>
      <c r="YD265" s="18"/>
      <c r="YE265" s="18"/>
      <c r="YF265" s="18"/>
      <c r="YG265" s="18"/>
      <c r="YH265" s="18"/>
      <c r="YI265" s="18"/>
      <c r="YJ265" s="18"/>
      <c r="YK265" s="18"/>
      <c r="YL265" s="18"/>
      <c r="YM265" s="18"/>
      <c r="YN265" s="18"/>
      <c r="YO265" s="18"/>
      <c r="YP265" s="18"/>
      <c r="YQ265" s="18"/>
      <c r="YR265" s="18"/>
      <c r="YS265" s="18"/>
      <c r="YT265" s="18"/>
      <c r="YU265" s="18"/>
      <c r="YV265" s="18"/>
      <c r="YW265" s="18"/>
      <c r="YX265" s="18"/>
      <c r="YY265" s="18"/>
      <c r="YZ265" s="18"/>
      <c r="ZA265" s="18"/>
      <c r="ZB265" s="18"/>
      <c r="ZC265" s="18"/>
      <c r="ZD265" s="18"/>
      <c r="ZE265" s="18"/>
      <c r="ZF265" s="18"/>
      <c r="ZG265" s="18"/>
      <c r="ZH265" s="18"/>
      <c r="ZI265" s="18"/>
      <c r="ZJ265" s="18"/>
      <c r="ZK265" s="18"/>
      <c r="ZL265" s="18"/>
      <c r="ZM265" s="18"/>
      <c r="ZN265" s="18"/>
      <c r="ZO265" s="18"/>
      <c r="ZP265" s="18"/>
      <c r="ZQ265" s="18"/>
      <c r="ZR265" s="18"/>
      <c r="ZS265" s="18"/>
      <c r="ZT265" s="18"/>
      <c r="ZU265" s="18"/>
      <c r="ZV265" s="18"/>
      <c r="ZW265" s="18"/>
      <c r="ZX265" s="18"/>
      <c r="ZY265" s="18"/>
      <c r="ZZ265" s="18"/>
      <c r="AAA265" s="18"/>
      <c r="AAB265" s="18"/>
      <c r="AAC265" s="18"/>
      <c r="AAD265" s="18"/>
      <c r="AAE265" s="18"/>
      <c r="AAF265" s="18"/>
      <c r="AAG265" s="18"/>
      <c r="AAH265" s="18"/>
      <c r="AAI265" s="18"/>
      <c r="AAJ265" s="18"/>
      <c r="AAK265" s="18"/>
      <c r="AAL265" s="18"/>
      <c r="AAM265" s="18"/>
      <c r="AAN265" s="18"/>
      <c r="AAO265" s="18"/>
      <c r="AAP265" s="18"/>
      <c r="AAQ265" s="18"/>
      <c r="AAR265" s="18"/>
      <c r="AAS265" s="18"/>
      <c r="AAT265" s="18"/>
      <c r="AAU265" s="18"/>
      <c r="AAV265" s="18"/>
      <c r="AAW265" s="18"/>
      <c r="AAX265" s="18"/>
      <c r="AAY265" s="18"/>
      <c r="AAZ265" s="18"/>
      <c r="ABA265" s="18"/>
      <c r="ABB265" s="18"/>
      <c r="ABC265" s="18"/>
      <c r="ABD265" s="18"/>
      <c r="ABE265" s="18"/>
      <c r="ABF265" s="18"/>
      <c r="ABG265" s="18"/>
      <c r="ABH265" s="18"/>
      <c r="ABI265" s="18"/>
      <c r="ABJ265" s="18"/>
      <c r="ABK265" s="18"/>
      <c r="ABL265" s="18"/>
      <c r="ABM265" s="18"/>
      <c r="ABN265" s="18"/>
      <c r="ABO265" s="18"/>
      <c r="ABP265" s="18"/>
      <c r="ABQ265" s="18"/>
      <c r="ABR265" s="18"/>
      <c r="ABS265" s="18"/>
      <c r="ABT265" s="18"/>
      <c r="ABU265" s="18"/>
      <c r="ABV265" s="18"/>
      <c r="ABW265" s="18"/>
      <c r="ABX265" s="18"/>
      <c r="ABY265" s="18"/>
      <c r="ABZ265" s="18"/>
      <c r="ACA265" s="18"/>
      <c r="ACB265" s="18"/>
      <c r="ACC265" s="18"/>
      <c r="ACD265" s="18"/>
      <c r="ACE265" s="18"/>
      <c r="ACF265" s="18"/>
      <c r="ACG265" s="18"/>
      <c r="ACH265" s="18"/>
      <c r="ACI265" s="18"/>
      <c r="ACJ265" s="18"/>
      <c r="ACK265" s="18"/>
      <c r="ACL265" s="18"/>
      <c r="ACM265" s="18"/>
      <c r="ACN265" s="18"/>
      <c r="ACO265" s="18"/>
      <c r="ACP265" s="18"/>
      <c r="ACQ265" s="18"/>
      <c r="ACR265" s="18"/>
      <c r="ACS265" s="18"/>
      <c r="ACT265" s="18"/>
      <c r="ACU265" s="18"/>
      <c r="ACV265" s="18"/>
      <c r="ACW265" s="18"/>
      <c r="ACX265" s="18"/>
      <c r="ACY265" s="18"/>
      <c r="ACZ265" s="18"/>
      <c r="ADA265" s="18"/>
      <c r="ADB265" s="18"/>
      <c r="ADC265" s="18"/>
      <c r="ADD265" s="18"/>
      <c r="ADE265" s="18"/>
      <c r="ADF265" s="18"/>
      <c r="ADG265" s="18"/>
      <c r="ADH265" s="18"/>
      <c r="ADI265" s="18"/>
      <c r="ADJ265" s="18"/>
      <c r="ADK265" s="18"/>
      <c r="ADL265" s="18"/>
      <c r="ADM265" s="18"/>
      <c r="ADN265" s="18"/>
      <c r="ADO265" s="18"/>
      <c r="ADP265" s="18"/>
      <c r="ADQ265" s="18"/>
      <c r="ADR265" s="18"/>
      <c r="ADS265" s="18"/>
      <c r="ADT265" s="18"/>
      <c r="ADU265" s="18"/>
      <c r="ADV265" s="18"/>
      <c r="ADW265" s="18"/>
      <c r="ADX265" s="18"/>
      <c r="ADY265" s="18"/>
      <c r="ADZ265" s="18"/>
      <c r="AEA265" s="18"/>
      <c r="AEB265" s="18"/>
      <c r="AEC265" s="18"/>
      <c r="AED265" s="18"/>
      <c r="AEE265" s="18"/>
      <c r="AEF265" s="18"/>
      <c r="AEG265" s="18"/>
      <c r="AEH265" s="18"/>
      <c r="AEI265" s="18"/>
      <c r="AEJ265" s="18"/>
      <c r="AEK265" s="18"/>
      <c r="AEL265" s="18"/>
      <c r="AEM265" s="18"/>
      <c r="AEN265" s="18"/>
      <c r="AEO265" s="18"/>
      <c r="AEP265" s="18"/>
      <c r="AEQ265" s="18"/>
      <c r="AER265" s="18"/>
      <c r="AES265" s="18"/>
      <c r="AET265" s="18"/>
      <c r="AEU265" s="18"/>
      <c r="AEV265" s="18"/>
      <c r="AEW265" s="18"/>
      <c r="AEX265" s="18"/>
      <c r="AEY265" s="18"/>
      <c r="AEZ265" s="18"/>
      <c r="AFA265" s="18"/>
      <c r="AFB265" s="18"/>
      <c r="AFC265" s="18"/>
      <c r="AFD265" s="18"/>
      <c r="AFE265" s="18"/>
      <c r="AFF265" s="18"/>
      <c r="AFG265" s="18"/>
      <c r="AFH265" s="18"/>
      <c r="AFI265" s="18"/>
      <c r="AFJ265" s="18"/>
      <c r="AFK265" s="18"/>
      <c r="AFL265" s="18"/>
      <c r="AFM265" s="18"/>
      <c r="AFN265" s="18"/>
      <c r="AFO265" s="18"/>
      <c r="AFP265" s="18"/>
      <c r="AFQ265" s="18"/>
      <c r="AFR265" s="18"/>
      <c r="AFS265" s="18"/>
      <c r="AFT265" s="18"/>
      <c r="AFU265" s="18"/>
      <c r="AFV265" s="18"/>
      <c r="AFW265" s="18"/>
      <c r="AFX265" s="18"/>
      <c r="AFY265" s="18"/>
      <c r="AFZ265" s="18"/>
      <c r="AGA265" s="18"/>
      <c r="AGB265" s="18"/>
      <c r="AGC265" s="18"/>
      <c r="AGD265" s="18"/>
      <c r="AGE265" s="18"/>
      <c r="AGF265" s="18"/>
      <c r="AGG265" s="18"/>
      <c r="AGH265" s="18"/>
      <c r="AGI265" s="18"/>
      <c r="AGJ265" s="18"/>
      <c r="AGK265" s="18"/>
      <c r="AGL265" s="18"/>
      <c r="AGM265" s="18"/>
      <c r="AGN265" s="18"/>
      <c r="AGO265" s="18"/>
      <c r="AGP265" s="18"/>
      <c r="AGQ265" s="18"/>
      <c r="AGR265" s="18"/>
      <c r="AGS265" s="18"/>
      <c r="AGT265" s="18"/>
      <c r="AGU265" s="18"/>
      <c r="AGV265" s="18"/>
      <c r="AGW265" s="18"/>
      <c r="AGX265" s="18"/>
      <c r="AGY265" s="18"/>
      <c r="AGZ265" s="18"/>
      <c r="AHA265" s="18"/>
      <c r="AHB265" s="18"/>
      <c r="AHC265" s="18"/>
      <c r="AHD265" s="18"/>
      <c r="AHE265" s="18"/>
      <c r="AHF265" s="18"/>
      <c r="AHG265" s="18"/>
      <c r="AHH265" s="18"/>
      <c r="AHI265" s="18"/>
      <c r="AHJ265" s="18"/>
      <c r="AHK265" s="18"/>
      <c r="AHL265" s="18"/>
      <c r="AHM265" s="18"/>
      <c r="AHN265" s="18"/>
      <c r="AHO265" s="18"/>
      <c r="AHP265" s="18"/>
      <c r="AHQ265" s="18"/>
      <c r="AHR265" s="18"/>
      <c r="AHS265" s="18"/>
      <c r="AHT265" s="18"/>
      <c r="AHU265" s="18"/>
      <c r="AHV265" s="18"/>
      <c r="AHW265" s="18"/>
      <c r="AHX265" s="18"/>
      <c r="AHY265" s="18"/>
      <c r="AHZ265" s="18"/>
      <c r="AIA265" s="18"/>
      <c r="AIB265" s="18"/>
      <c r="AIC265" s="18"/>
      <c r="AID265" s="18"/>
      <c r="AIE265" s="18"/>
      <c r="AIF265" s="18"/>
      <c r="AIG265" s="18"/>
      <c r="AIH265" s="18"/>
      <c r="AII265" s="18"/>
      <c r="AIJ265" s="18"/>
      <c r="AIK265" s="18"/>
      <c r="AIL265" s="18"/>
      <c r="AIM265" s="18"/>
      <c r="AIN265" s="18"/>
      <c r="AIO265" s="18"/>
      <c r="AIP265" s="18"/>
      <c r="AIQ265" s="18"/>
      <c r="AIR265" s="18"/>
      <c r="AIS265" s="18"/>
      <c r="AIT265" s="18"/>
      <c r="AIU265" s="18"/>
      <c r="AIV265" s="18"/>
      <c r="AIW265" s="18"/>
      <c r="AIX265" s="18"/>
      <c r="AIY265" s="18"/>
      <c r="AIZ265" s="18"/>
      <c r="AJA265" s="18"/>
      <c r="AJB265" s="18"/>
      <c r="AJC265" s="18"/>
      <c r="AJD265" s="18"/>
      <c r="AJE265" s="18"/>
      <c r="AJF265" s="18"/>
      <c r="AJG265" s="18"/>
      <c r="AJH265" s="18"/>
      <c r="AJI265" s="18"/>
      <c r="AJJ265" s="18"/>
      <c r="AJK265" s="18"/>
      <c r="AJL265" s="18"/>
      <c r="AJM265" s="18"/>
      <c r="AJN265" s="18"/>
      <c r="AJO265" s="18"/>
      <c r="AJP265" s="18"/>
      <c r="AJQ265" s="18"/>
      <c r="AJR265" s="18"/>
      <c r="AJS265" s="18"/>
      <c r="AJT265" s="18"/>
      <c r="AJU265" s="18"/>
      <c r="AJV265" s="18"/>
      <c r="AJW265" s="18"/>
      <c r="AJX265" s="18"/>
      <c r="AJY265" s="18"/>
      <c r="AJZ265" s="18"/>
      <c r="AKA265" s="18"/>
      <c r="AKB265" s="18"/>
      <c r="AKC265" s="18"/>
      <c r="AKD265" s="18"/>
      <c r="AKE265" s="18"/>
      <c r="AKF265" s="18"/>
      <c r="AKG265" s="18"/>
      <c r="AKH265" s="18"/>
      <c r="AKI265" s="18"/>
      <c r="AKJ265" s="18"/>
      <c r="AKK265" s="18"/>
      <c r="AKL265" s="18"/>
      <c r="AKM265" s="18"/>
      <c r="AKN265" s="18"/>
      <c r="AKO265" s="18"/>
      <c r="AKP265" s="18"/>
      <c r="AKQ265" s="18"/>
      <c r="AKR265" s="18"/>
      <c r="AKS265" s="18"/>
      <c r="AKT265" s="18"/>
      <c r="AKU265" s="18"/>
      <c r="AKV265" s="18"/>
      <c r="AKW265" s="18"/>
      <c r="AKX265" s="18"/>
      <c r="AKY265" s="18"/>
      <c r="AKZ265" s="18"/>
      <c r="ALA265" s="18"/>
      <c r="ALB265" s="18"/>
      <c r="ALC265" s="18"/>
      <c r="ALD265" s="18"/>
      <c r="ALE265" s="18"/>
      <c r="ALF265" s="18"/>
      <c r="ALG265" s="18"/>
      <c r="ALH265" s="18"/>
      <c r="ALI265" s="18"/>
      <c r="ALJ265" s="18"/>
      <c r="ALK265" s="18"/>
      <c r="ALL265" s="18"/>
      <c r="ALM265" s="18"/>
      <c r="ALN265" s="18"/>
      <c r="ALO265" s="18"/>
      <c r="ALP265" s="18"/>
      <c r="ALQ265" s="18"/>
      <c r="ALR265" s="18"/>
      <c r="ALS265" s="18"/>
      <c r="ALT265" s="18"/>
      <c r="ALU265" s="18"/>
      <c r="ALV265" s="18"/>
      <c r="ALW265" s="18"/>
      <c r="ALX265" s="18"/>
      <c r="ALY265" s="18"/>
      <c r="ALZ265" s="18"/>
      <c r="AMA265" s="18"/>
      <c r="AMB265" s="18"/>
      <c r="AMC265" s="18"/>
      <c r="AMD265" s="18"/>
      <c r="AME265" s="18"/>
      <c r="AMF265" s="18"/>
      <c r="AMG265" s="18"/>
      <c r="AMH265" s="18"/>
      <c r="AMI265" s="18"/>
      <c r="AMJ265" s="18"/>
      <c r="AMK265" s="18"/>
      <c r="AML265" s="18"/>
      <c r="AMM265" s="18"/>
      <c r="AMN265" s="18"/>
      <c r="AMO265" s="18"/>
      <c r="AMP265" s="18"/>
      <c r="AMQ265" s="18"/>
      <c r="AMR265" s="18"/>
      <c r="AMS265" s="18"/>
      <c r="AMT265" s="18"/>
      <c r="AMU265" s="18"/>
      <c r="AMV265" s="18"/>
      <c r="AMW265" s="18"/>
      <c r="AMX265" s="18"/>
      <c r="AMY265" s="18"/>
      <c r="AMZ265" s="18"/>
      <c r="ANA265" s="18"/>
      <c r="ANB265" s="18"/>
      <c r="ANC265" s="18"/>
      <c r="AND265" s="18"/>
      <c r="ANE265" s="18"/>
      <c r="ANF265" s="18"/>
      <c r="ANG265" s="18"/>
      <c r="ANH265" s="18"/>
      <c r="ANI265" s="18"/>
      <c r="ANJ265" s="18"/>
      <c r="ANK265" s="18"/>
      <c r="ANL265" s="18"/>
      <c r="ANM265" s="18"/>
      <c r="ANN265" s="18"/>
      <c r="ANO265" s="18"/>
      <c r="ANP265" s="18"/>
      <c r="ANQ265" s="18"/>
      <c r="ANR265" s="18"/>
      <c r="ANS265" s="18"/>
      <c r="ANT265" s="18"/>
      <c r="ANU265" s="18"/>
      <c r="ANV265" s="18"/>
      <c r="ANW265" s="18"/>
      <c r="ANX265" s="18"/>
      <c r="ANY265" s="18"/>
      <c r="ANZ265" s="18"/>
      <c r="AOA265" s="18"/>
      <c r="AOB265" s="18"/>
      <c r="AOC265" s="18"/>
      <c r="AOD265" s="18"/>
      <c r="AOE265" s="18"/>
      <c r="AOF265" s="18"/>
      <c r="AOG265" s="18"/>
      <c r="AOH265" s="18"/>
      <c r="AOI265" s="18"/>
      <c r="AOJ265" s="18"/>
      <c r="AOK265" s="18"/>
      <c r="AOL265" s="18"/>
      <c r="AOM265" s="18"/>
      <c r="AON265" s="18"/>
      <c r="AOO265" s="18"/>
      <c r="AOP265" s="18"/>
      <c r="AOQ265" s="18"/>
      <c r="AOR265" s="18"/>
      <c r="AOS265" s="18"/>
      <c r="AOT265" s="18"/>
      <c r="AOU265" s="18"/>
      <c r="AOV265" s="18"/>
      <c r="AOW265" s="18"/>
      <c r="AOX265" s="18"/>
      <c r="AOY265" s="18"/>
      <c r="AOZ265" s="18"/>
      <c r="APA265" s="18"/>
      <c r="APB265" s="18"/>
      <c r="APC265" s="18"/>
      <c r="APD265" s="18"/>
      <c r="APE265" s="18"/>
      <c r="APF265" s="18"/>
      <c r="APG265" s="18"/>
      <c r="APH265" s="18"/>
      <c r="API265" s="18"/>
      <c r="APJ265" s="18"/>
      <c r="APK265" s="18"/>
      <c r="APL265" s="18"/>
      <c r="APM265" s="18"/>
      <c r="APN265" s="18"/>
      <c r="APO265" s="18"/>
      <c r="APP265" s="18"/>
      <c r="APQ265" s="18"/>
      <c r="APR265" s="18"/>
      <c r="APS265" s="18"/>
      <c r="APT265" s="18"/>
      <c r="APU265" s="18"/>
      <c r="APV265" s="18"/>
      <c r="APW265" s="18"/>
      <c r="APX265" s="18"/>
      <c r="APY265" s="18"/>
      <c r="APZ265" s="18"/>
      <c r="AQA265" s="18"/>
      <c r="AQB265" s="18"/>
      <c r="AQC265" s="18"/>
      <c r="AQD265" s="18"/>
      <c r="AQE265" s="18"/>
      <c r="AQF265" s="18"/>
      <c r="AQG265" s="18"/>
      <c r="AQH265" s="18"/>
      <c r="AQI265" s="18"/>
      <c r="AQJ265" s="18"/>
      <c r="AQK265" s="18"/>
      <c r="AQL265" s="18"/>
      <c r="AQM265" s="18"/>
      <c r="AQN265" s="18"/>
      <c r="AQO265" s="18"/>
      <c r="AQP265" s="18"/>
      <c r="AQQ265" s="18"/>
      <c r="AQR265" s="18"/>
      <c r="AQS265" s="18"/>
      <c r="AQT265" s="18"/>
      <c r="AQU265" s="18"/>
      <c r="AQV265" s="18"/>
      <c r="AQW265" s="18"/>
      <c r="AQX265" s="18"/>
      <c r="AQY265" s="18"/>
      <c r="AQZ265" s="18"/>
      <c r="ARA265" s="18"/>
      <c r="ARB265" s="18"/>
      <c r="ARC265" s="18"/>
      <c r="ARD265" s="18"/>
      <c r="ARE265" s="18"/>
      <c r="ARF265" s="18"/>
      <c r="ARG265" s="18"/>
      <c r="ARH265" s="18"/>
      <c r="ARI265" s="18"/>
      <c r="ARJ265" s="18"/>
      <c r="ARK265" s="18"/>
      <c r="ARL265" s="18"/>
      <c r="ARM265" s="18"/>
      <c r="ARN265" s="18"/>
      <c r="ARO265" s="18"/>
      <c r="ARP265" s="18"/>
      <c r="ARQ265" s="18"/>
      <c r="ARR265" s="18"/>
      <c r="ARS265" s="18"/>
      <c r="ART265" s="18"/>
      <c r="ARU265" s="18"/>
      <c r="ARV265" s="18"/>
      <c r="ARW265" s="18"/>
      <c r="ARX265" s="18"/>
      <c r="ARY265" s="18"/>
      <c r="ARZ265" s="18"/>
      <c r="ASA265" s="18"/>
      <c r="ASB265" s="18"/>
      <c r="ASC265" s="18"/>
      <c r="ASD265" s="18"/>
      <c r="ASE265" s="18"/>
      <c r="ASF265" s="18"/>
      <c r="ASG265" s="18"/>
      <c r="ASH265" s="18"/>
      <c r="ASI265" s="18"/>
      <c r="ASJ265" s="18"/>
      <c r="ASK265" s="18"/>
      <c r="ASL265" s="18"/>
      <c r="ASM265" s="18"/>
      <c r="ASN265" s="18"/>
      <c r="ASO265" s="18"/>
      <c r="ASP265" s="18"/>
      <c r="ASQ265" s="18"/>
      <c r="ASR265" s="18"/>
      <c r="ASS265" s="18"/>
      <c r="AST265" s="18"/>
      <c r="ASU265" s="18"/>
      <c r="ASV265" s="18"/>
      <c r="ASW265" s="18"/>
      <c r="ASX265" s="18"/>
      <c r="ASY265" s="18"/>
      <c r="ASZ265" s="18"/>
      <c r="ATA265" s="18"/>
      <c r="ATB265" s="18"/>
      <c r="ATC265" s="18"/>
      <c r="ATD265" s="18"/>
      <c r="ATE265" s="18"/>
      <c r="ATF265" s="18"/>
      <c r="ATG265" s="18"/>
      <c r="ATH265" s="18"/>
      <c r="ATI265" s="18"/>
      <c r="ATJ265" s="18"/>
      <c r="ATK265" s="18"/>
      <c r="ATL265" s="18"/>
      <c r="ATM265" s="18"/>
      <c r="ATN265" s="18"/>
      <c r="ATO265" s="18"/>
      <c r="ATP265" s="18"/>
      <c r="ATQ265" s="18"/>
      <c r="ATR265" s="18"/>
      <c r="ATS265" s="18"/>
      <c r="ATT265" s="18"/>
      <c r="ATU265" s="18"/>
      <c r="ATV265" s="18"/>
      <c r="ATW265" s="18"/>
      <c r="ATX265" s="18"/>
      <c r="ATY265" s="18"/>
      <c r="ATZ265" s="18"/>
      <c r="AUA265" s="18"/>
      <c r="AUB265" s="18"/>
      <c r="AUC265" s="18"/>
      <c r="AUD265" s="18"/>
      <c r="AUE265" s="18"/>
      <c r="AUF265" s="18"/>
      <c r="AUG265" s="18"/>
      <c r="AUH265" s="18"/>
      <c r="AUI265" s="18"/>
      <c r="AUJ265" s="18"/>
      <c r="AUK265" s="18"/>
      <c r="AUL265" s="18"/>
      <c r="AUM265" s="18"/>
      <c r="AUN265" s="18"/>
      <c r="AUO265" s="18"/>
      <c r="AUP265" s="18"/>
      <c r="AUQ265" s="18"/>
      <c r="AUR265" s="18"/>
      <c r="AUS265" s="18"/>
      <c r="AUT265" s="18"/>
      <c r="AUU265" s="18"/>
      <c r="AUV265" s="18"/>
      <c r="AUW265" s="18"/>
      <c r="AUX265" s="18"/>
      <c r="AUY265" s="18"/>
      <c r="AUZ265" s="18"/>
      <c r="AVA265" s="18"/>
      <c r="AVB265" s="18"/>
      <c r="AVC265" s="18"/>
      <c r="AVD265" s="18"/>
      <c r="AVE265" s="18"/>
      <c r="AVF265" s="18"/>
      <c r="AVG265" s="18"/>
      <c r="AVH265" s="18"/>
      <c r="AVI265" s="18"/>
      <c r="AVJ265" s="18"/>
      <c r="AVK265" s="18"/>
      <c r="AVL265" s="18"/>
      <c r="AVM265" s="18"/>
      <c r="AVN265" s="18"/>
      <c r="AVO265" s="18"/>
      <c r="AVP265" s="18"/>
      <c r="AVQ265" s="18"/>
      <c r="AVR265" s="18"/>
      <c r="AVS265" s="18"/>
      <c r="AVT265" s="18"/>
      <c r="AVU265" s="18"/>
      <c r="AVV265" s="18"/>
      <c r="AVW265" s="18"/>
      <c r="AVX265" s="18"/>
      <c r="AVY265" s="18"/>
      <c r="AVZ265" s="18"/>
      <c r="AWA265" s="18"/>
      <c r="AWB265" s="18"/>
      <c r="AWC265" s="18"/>
      <c r="AWD265" s="18"/>
      <c r="AWE265" s="18"/>
      <c r="AWF265" s="18"/>
      <c r="AWG265" s="18"/>
      <c r="AWH265" s="18"/>
      <c r="AWI265" s="18"/>
      <c r="AWJ265" s="18"/>
      <c r="AWK265" s="18"/>
      <c r="AWL265" s="18"/>
      <c r="AWM265" s="18"/>
      <c r="AWN265" s="18"/>
      <c r="AWO265" s="18"/>
      <c r="AWP265" s="18"/>
      <c r="AWQ265" s="18"/>
      <c r="AWR265" s="18"/>
      <c r="AWS265" s="18"/>
      <c r="AWT265" s="18"/>
      <c r="AWU265" s="18"/>
      <c r="AWV265" s="18"/>
      <c r="AWW265" s="18"/>
      <c r="AWX265" s="18"/>
      <c r="AWY265" s="18"/>
      <c r="AWZ265" s="18"/>
      <c r="AXA265" s="18"/>
      <c r="AXB265" s="18"/>
      <c r="AXC265" s="18"/>
      <c r="AXD265" s="18"/>
      <c r="AXE265" s="18"/>
      <c r="AXF265" s="18"/>
      <c r="AXG265" s="18"/>
      <c r="AXH265" s="18"/>
      <c r="AXI265" s="18"/>
      <c r="AXJ265" s="18"/>
      <c r="AXK265" s="18"/>
      <c r="AXL265" s="18"/>
      <c r="AXM265" s="18"/>
      <c r="AXN265" s="18"/>
      <c r="AXO265" s="18"/>
      <c r="AXP265" s="18"/>
      <c r="AXQ265" s="18"/>
      <c r="AXR265" s="18"/>
      <c r="AXS265" s="18"/>
      <c r="AXT265" s="18"/>
      <c r="AXU265" s="18"/>
      <c r="AXV265" s="18"/>
      <c r="AXW265" s="18"/>
      <c r="AXX265" s="18"/>
      <c r="AXY265" s="18"/>
      <c r="AXZ265" s="18"/>
      <c r="AYA265" s="18"/>
      <c r="AYB265" s="18"/>
      <c r="AYC265" s="18"/>
      <c r="AYD265" s="18"/>
      <c r="AYE265" s="18"/>
      <c r="AYF265" s="18"/>
      <c r="AYG265" s="18"/>
      <c r="AYH265" s="18"/>
      <c r="AYI265" s="18"/>
      <c r="AYJ265" s="18"/>
      <c r="AYK265" s="18"/>
      <c r="AYL265" s="18"/>
      <c r="AYM265" s="18"/>
      <c r="AYN265" s="18"/>
      <c r="AYO265" s="18"/>
      <c r="AYP265" s="18"/>
      <c r="AYQ265" s="18"/>
      <c r="AYR265" s="18"/>
      <c r="AYS265" s="18"/>
      <c r="AYT265" s="18"/>
      <c r="AYU265" s="18"/>
      <c r="AYV265" s="18"/>
      <c r="AYW265" s="18"/>
      <c r="AYX265" s="18"/>
      <c r="AYY265" s="18"/>
      <c r="AYZ265" s="18"/>
      <c r="AZA265" s="18"/>
      <c r="AZB265" s="18"/>
      <c r="AZC265" s="18"/>
      <c r="AZD265" s="18"/>
      <c r="AZE265" s="18"/>
      <c r="AZF265" s="18"/>
      <c r="AZG265" s="18"/>
      <c r="AZH265" s="18"/>
      <c r="AZI265" s="18"/>
      <c r="AZJ265" s="18"/>
      <c r="AZK265" s="18"/>
      <c r="AZL265" s="18"/>
      <c r="AZM265" s="18"/>
      <c r="AZN265" s="18"/>
      <c r="AZO265" s="18"/>
      <c r="AZP265" s="18"/>
      <c r="AZQ265" s="18"/>
      <c r="AZR265" s="18"/>
      <c r="AZS265" s="18"/>
      <c r="AZT265" s="18"/>
      <c r="AZU265" s="18"/>
      <c r="AZV265" s="18"/>
      <c r="AZW265" s="18"/>
      <c r="AZX265" s="18"/>
      <c r="AZY265" s="18"/>
      <c r="AZZ265" s="18"/>
      <c r="BAA265" s="18"/>
      <c r="BAB265" s="18"/>
      <c r="BAC265" s="18"/>
      <c r="BAD265" s="18"/>
      <c r="BAE265" s="18"/>
      <c r="BAF265" s="18"/>
      <c r="BAG265" s="18"/>
      <c r="BAH265" s="18"/>
      <c r="BAI265" s="18"/>
      <c r="BAJ265" s="18"/>
      <c r="BAK265" s="18"/>
      <c r="BAL265" s="18"/>
      <c r="BAM265" s="18"/>
      <c r="BAN265" s="18"/>
      <c r="BAO265" s="18"/>
      <c r="BAP265" s="18"/>
      <c r="BAQ265" s="18"/>
      <c r="BAR265" s="18"/>
      <c r="BAS265" s="18"/>
      <c r="BAT265" s="18"/>
      <c r="BAU265" s="18"/>
      <c r="BAV265" s="18"/>
      <c r="BAW265" s="18"/>
      <c r="BAX265" s="18"/>
      <c r="BAY265" s="18"/>
      <c r="BAZ265" s="18"/>
      <c r="BBA265" s="18"/>
      <c r="BBB265" s="18"/>
      <c r="BBC265" s="18"/>
      <c r="BBD265" s="18"/>
      <c r="BBE265" s="18"/>
      <c r="BBF265" s="18"/>
      <c r="BBG265" s="18"/>
      <c r="BBH265" s="18"/>
      <c r="BBI265" s="18"/>
      <c r="BBJ265" s="18"/>
      <c r="BBK265" s="18"/>
      <c r="BBL265" s="18"/>
      <c r="BBM265" s="18"/>
      <c r="BBN265" s="18"/>
      <c r="BBO265" s="18"/>
      <c r="BBP265" s="18"/>
      <c r="BBQ265" s="18"/>
      <c r="BBR265" s="18"/>
      <c r="BBS265" s="18"/>
      <c r="BBT265" s="18"/>
      <c r="BBU265" s="18"/>
      <c r="BBV265" s="18"/>
      <c r="BBW265" s="18"/>
      <c r="BBX265" s="18"/>
      <c r="BBY265" s="18"/>
      <c r="BBZ265" s="18"/>
      <c r="BCA265" s="18"/>
      <c r="BCB265" s="18"/>
      <c r="BCC265" s="18"/>
      <c r="BCD265" s="18"/>
      <c r="BCE265" s="18"/>
      <c r="BCF265" s="18"/>
      <c r="BCG265" s="18"/>
      <c r="BCH265" s="18"/>
      <c r="BCI265" s="18"/>
      <c r="BCJ265" s="18"/>
      <c r="BCK265" s="18"/>
      <c r="BCL265" s="18"/>
      <c r="BCM265" s="18"/>
      <c r="BCN265" s="18"/>
      <c r="BCO265" s="18"/>
      <c r="BCP265" s="18"/>
      <c r="BCQ265" s="18"/>
      <c r="BCR265" s="18"/>
      <c r="BCS265" s="18"/>
      <c r="BCT265" s="18"/>
      <c r="BCU265" s="18"/>
      <c r="BCV265" s="18"/>
      <c r="BCW265" s="18"/>
      <c r="BCX265" s="18"/>
      <c r="BCY265" s="18"/>
      <c r="BCZ265" s="18"/>
      <c r="BDA265" s="18"/>
      <c r="BDB265" s="18"/>
      <c r="BDC265" s="18"/>
      <c r="BDD265" s="18"/>
      <c r="BDE265" s="18"/>
      <c r="BDF265" s="18"/>
      <c r="BDG265" s="18"/>
      <c r="BDH265" s="18"/>
      <c r="BDI265" s="18"/>
      <c r="BDJ265" s="18"/>
      <c r="BDK265" s="18"/>
      <c r="BDL265" s="18"/>
      <c r="BDM265" s="18"/>
      <c r="BDN265" s="18"/>
      <c r="BDO265" s="18"/>
      <c r="BDP265" s="18"/>
      <c r="BDQ265" s="18"/>
      <c r="BDR265" s="18"/>
      <c r="BDS265" s="18"/>
      <c r="BDT265" s="18"/>
      <c r="BDU265" s="18"/>
      <c r="BDV265" s="18"/>
      <c r="BDW265" s="18"/>
      <c r="BDX265" s="18"/>
      <c r="BDY265" s="18"/>
      <c r="BDZ265" s="18"/>
      <c r="BEA265" s="18"/>
      <c r="BEB265" s="18"/>
      <c r="BEC265" s="18"/>
      <c r="BED265" s="18"/>
      <c r="BEE265" s="18"/>
      <c r="BEF265" s="18"/>
      <c r="BEG265" s="18"/>
      <c r="BEH265" s="18"/>
      <c r="BEI265" s="18"/>
      <c r="BEJ265" s="18"/>
      <c r="BEK265" s="18"/>
      <c r="BEL265" s="18"/>
      <c r="BEM265" s="18"/>
      <c r="BEN265" s="18"/>
      <c r="BEO265" s="18"/>
      <c r="BEP265" s="18"/>
      <c r="BEQ265" s="18"/>
      <c r="BER265" s="18"/>
      <c r="BES265" s="18"/>
      <c r="BET265" s="18"/>
      <c r="BEU265" s="18"/>
      <c r="BEV265" s="18"/>
      <c r="BEW265" s="18"/>
      <c r="BEX265" s="18"/>
      <c r="BEY265" s="18"/>
      <c r="BEZ265" s="18"/>
      <c r="BFA265" s="18"/>
      <c r="BFB265" s="18"/>
      <c r="BFC265" s="18"/>
      <c r="BFD265" s="18"/>
      <c r="BFE265" s="18"/>
      <c r="BFF265" s="18"/>
      <c r="BFG265" s="18"/>
      <c r="BFH265" s="18"/>
      <c r="BFI265" s="18"/>
      <c r="BFJ265" s="18"/>
      <c r="BFK265" s="18"/>
      <c r="BFL265" s="18"/>
      <c r="BFM265" s="18"/>
      <c r="BFN265" s="18"/>
      <c r="BFO265" s="18"/>
      <c r="BFP265" s="18"/>
      <c r="BFQ265" s="18"/>
      <c r="BFR265" s="18"/>
      <c r="BFS265" s="18"/>
      <c r="BFT265" s="18"/>
      <c r="BFU265" s="18"/>
      <c r="BFV265" s="18"/>
      <c r="BFW265" s="18"/>
      <c r="BFX265" s="18"/>
      <c r="BFY265" s="18"/>
      <c r="BFZ265" s="18"/>
      <c r="BGA265" s="18"/>
      <c r="BGB265" s="18"/>
      <c r="BGC265" s="18"/>
      <c r="BGD265" s="18"/>
      <c r="BGE265" s="18"/>
      <c r="BGF265" s="18"/>
      <c r="BGG265" s="18"/>
      <c r="BGH265" s="18"/>
      <c r="BGI265" s="18"/>
      <c r="BGJ265" s="18"/>
      <c r="BGK265" s="18"/>
      <c r="BGL265" s="18"/>
      <c r="BGM265" s="18"/>
      <c r="BGN265" s="18"/>
      <c r="BGO265" s="18"/>
      <c r="BGP265" s="18"/>
      <c r="BGQ265" s="18"/>
      <c r="BGR265" s="18"/>
      <c r="BGS265" s="18"/>
      <c r="BGT265" s="18"/>
      <c r="BGU265" s="18"/>
      <c r="BGV265" s="18"/>
      <c r="BGW265" s="18"/>
      <c r="BGX265" s="18"/>
      <c r="BGY265" s="18"/>
      <c r="BGZ265" s="18"/>
      <c r="BHA265" s="18"/>
      <c r="BHB265" s="18"/>
      <c r="BHC265" s="18"/>
      <c r="BHD265" s="18"/>
      <c r="BHE265" s="18"/>
      <c r="BHF265" s="18"/>
      <c r="BHG265" s="18"/>
      <c r="BHH265" s="18"/>
      <c r="BHI265" s="18"/>
      <c r="BHJ265" s="18"/>
      <c r="BHK265" s="18"/>
      <c r="BHL265" s="18"/>
      <c r="BHM265" s="18"/>
      <c r="BHN265" s="18"/>
      <c r="BHO265" s="18"/>
      <c r="BHP265" s="18"/>
      <c r="BHQ265" s="18"/>
      <c r="BHR265" s="18"/>
      <c r="BHS265" s="18"/>
      <c r="BHT265" s="18"/>
      <c r="BHU265" s="18"/>
      <c r="BHV265" s="18"/>
      <c r="BHW265" s="18"/>
      <c r="BHX265" s="18"/>
      <c r="BHY265" s="18"/>
      <c r="BHZ265" s="18"/>
      <c r="BIA265" s="18"/>
      <c r="BIB265" s="18"/>
      <c r="BIC265" s="18"/>
      <c r="BID265" s="18"/>
      <c r="BIE265" s="18"/>
      <c r="BIF265" s="18"/>
      <c r="BIG265" s="18"/>
      <c r="BIH265" s="18"/>
      <c r="BII265" s="18"/>
      <c r="BIJ265" s="18"/>
      <c r="BIK265" s="18"/>
      <c r="BIL265" s="18"/>
      <c r="BIM265" s="18"/>
      <c r="BIN265" s="18"/>
      <c r="BIO265" s="18"/>
      <c r="BIP265" s="18"/>
      <c r="BIQ265" s="18"/>
      <c r="BIR265" s="18"/>
      <c r="BIS265" s="18"/>
      <c r="BIT265" s="18"/>
      <c r="BIU265" s="18"/>
      <c r="BIV265" s="18"/>
      <c r="BIW265" s="18"/>
      <c r="BIX265" s="18"/>
      <c r="BIY265" s="18"/>
      <c r="BIZ265" s="18"/>
      <c r="BJA265" s="18"/>
      <c r="BJB265" s="18"/>
      <c r="BJC265" s="18"/>
      <c r="BJD265" s="18"/>
      <c r="BJE265" s="18"/>
      <c r="BJF265" s="18"/>
      <c r="BJG265" s="18"/>
      <c r="BJH265" s="18"/>
      <c r="BJI265" s="18"/>
      <c r="BJJ265" s="18"/>
      <c r="BJK265" s="18"/>
      <c r="BJL265" s="18"/>
      <c r="BJM265" s="18"/>
      <c r="BJN265" s="18"/>
      <c r="BJO265" s="18"/>
      <c r="BJP265" s="18"/>
      <c r="BJQ265" s="18"/>
      <c r="BJR265" s="18"/>
      <c r="BJS265" s="18"/>
      <c r="BJT265" s="18"/>
      <c r="BJU265" s="18"/>
      <c r="BJV265" s="18"/>
      <c r="BJW265" s="18"/>
      <c r="BJX265" s="18"/>
      <c r="BJY265" s="18"/>
      <c r="BJZ265" s="18"/>
      <c r="BKA265" s="18"/>
      <c r="BKB265" s="18"/>
      <c r="BKC265" s="18"/>
      <c r="BKD265" s="18"/>
      <c r="BKE265" s="18"/>
      <c r="BKF265" s="18"/>
      <c r="BKG265" s="18"/>
      <c r="BKH265" s="18"/>
      <c r="BKI265" s="18"/>
      <c r="BKJ265" s="18"/>
      <c r="BKK265" s="18"/>
      <c r="BKL265" s="18"/>
      <c r="BKM265" s="18"/>
      <c r="BKN265" s="18"/>
      <c r="BKO265" s="18"/>
      <c r="BKP265" s="18"/>
      <c r="BKQ265" s="18"/>
      <c r="BKR265" s="18"/>
      <c r="BKS265" s="18"/>
      <c r="BKT265" s="18"/>
      <c r="BKU265" s="18"/>
      <c r="BKV265" s="18"/>
      <c r="BKW265" s="18"/>
      <c r="BKX265" s="18"/>
      <c r="BKY265" s="18"/>
      <c r="BKZ265" s="18"/>
      <c r="BLA265" s="18"/>
      <c r="BLB265" s="18"/>
      <c r="BLC265" s="18"/>
      <c r="BLD265" s="18"/>
      <c r="BLE265" s="18"/>
      <c r="BLF265" s="18"/>
      <c r="BLG265" s="18"/>
      <c r="BLH265" s="18"/>
      <c r="BLI265" s="18"/>
      <c r="BLJ265" s="18"/>
      <c r="BLK265" s="18"/>
      <c r="BLL265" s="18"/>
      <c r="BLM265" s="18"/>
      <c r="BLN265" s="18"/>
      <c r="BLO265" s="18"/>
      <c r="BLP265" s="18"/>
      <c r="BLQ265" s="18"/>
      <c r="BLR265" s="18"/>
      <c r="BLS265" s="18"/>
      <c r="BLT265" s="18"/>
      <c r="BLU265" s="18"/>
      <c r="BLV265" s="18"/>
      <c r="BLW265" s="18"/>
      <c r="BLX265" s="18"/>
      <c r="BLY265" s="18"/>
      <c r="BLZ265" s="18"/>
      <c r="BMA265" s="18"/>
      <c r="BMB265" s="18"/>
      <c r="BMC265" s="18"/>
      <c r="BMD265" s="18"/>
      <c r="BME265" s="18"/>
      <c r="BMF265" s="18"/>
      <c r="BMG265" s="18"/>
      <c r="BMH265" s="18"/>
      <c r="BMI265" s="18"/>
      <c r="BMJ265" s="18"/>
      <c r="BMK265" s="18"/>
      <c r="BML265" s="18"/>
      <c r="BMM265" s="18"/>
      <c r="BMN265" s="18"/>
      <c r="BMO265" s="18"/>
      <c r="BMP265" s="18"/>
      <c r="BMQ265" s="18"/>
      <c r="BMR265" s="18"/>
      <c r="BMS265" s="18"/>
      <c r="BMT265" s="18"/>
      <c r="BMU265" s="18"/>
      <c r="BMV265" s="18"/>
      <c r="BMW265" s="18"/>
      <c r="BMX265" s="18"/>
      <c r="BMY265" s="18"/>
      <c r="BMZ265" s="18"/>
      <c r="BNA265" s="18"/>
      <c r="BNB265" s="18"/>
      <c r="BNC265" s="18"/>
      <c r="BND265" s="18"/>
      <c r="BNE265" s="18"/>
      <c r="BNF265" s="18"/>
      <c r="BNG265" s="18"/>
      <c r="BNH265" s="18"/>
      <c r="BNI265" s="18"/>
      <c r="BNJ265" s="18"/>
      <c r="BNK265" s="18"/>
      <c r="BNL265" s="18"/>
      <c r="BNM265" s="18"/>
      <c r="BNN265" s="18"/>
      <c r="BNO265" s="18"/>
      <c r="BNP265" s="18"/>
      <c r="BNQ265" s="18"/>
      <c r="BNR265" s="18"/>
      <c r="BNS265" s="18"/>
      <c r="BNT265" s="18"/>
      <c r="BNU265" s="18"/>
      <c r="BNV265" s="18"/>
      <c r="BNW265" s="18"/>
      <c r="BNX265" s="18"/>
      <c r="BNY265" s="18"/>
      <c r="BNZ265" s="18"/>
      <c r="BOA265" s="18"/>
      <c r="BOB265" s="18"/>
      <c r="BOC265" s="18"/>
      <c r="BOD265" s="18"/>
      <c r="BOE265" s="18"/>
      <c r="BOF265" s="18"/>
      <c r="BOG265" s="18"/>
      <c r="BOH265" s="18"/>
      <c r="BOI265" s="18"/>
      <c r="BOJ265" s="18"/>
      <c r="BOK265" s="18"/>
      <c r="BOL265" s="18"/>
      <c r="BOM265" s="18"/>
      <c r="BON265" s="18"/>
      <c r="BOO265" s="18"/>
      <c r="BOP265" s="18"/>
      <c r="BOQ265" s="18"/>
      <c r="BOR265" s="18"/>
      <c r="BOS265" s="18"/>
      <c r="BOT265" s="18"/>
      <c r="BOU265" s="18"/>
      <c r="BOV265" s="18"/>
      <c r="BOW265" s="18"/>
      <c r="BOX265" s="18"/>
      <c r="BOY265" s="18"/>
      <c r="BOZ265" s="18"/>
      <c r="BPA265" s="18"/>
      <c r="BPB265" s="18"/>
      <c r="BPC265" s="18"/>
      <c r="BPD265" s="18"/>
      <c r="BPE265" s="18"/>
      <c r="BPF265" s="18"/>
      <c r="BPG265" s="18"/>
      <c r="BPH265" s="18"/>
      <c r="BPI265" s="18"/>
      <c r="BPJ265" s="18"/>
      <c r="BPK265" s="18"/>
      <c r="BPL265" s="18"/>
      <c r="BPM265" s="18"/>
      <c r="BPN265" s="18"/>
      <c r="BPO265" s="18"/>
      <c r="BPP265" s="18"/>
      <c r="BPQ265" s="18"/>
      <c r="BPR265" s="18"/>
      <c r="BPS265" s="18"/>
      <c r="BPT265" s="18"/>
      <c r="BPU265" s="18"/>
      <c r="BPV265" s="18"/>
      <c r="BPW265" s="18"/>
      <c r="BPX265" s="18"/>
      <c r="BPY265" s="18"/>
      <c r="BPZ265" s="18"/>
      <c r="BQA265" s="18"/>
      <c r="BQB265" s="18"/>
      <c r="BQC265" s="18"/>
      <c r="BQD265" s="18"/>
      <c r="BQE265" s="18"/>
      <c r="BQF265" s="18"/>
      <c r="BQG265" s="18"/>
      <c r="BQH265" s="18"/>
      <c r="BQI265" s="18"/>
      <c r="BQJ265" s="18"/>
      <c r="BQK265" s="18"/>
      <c r="BQL265" s="18"/>
      <c r="BQM265" s="18"/>
      <c r="BQN265" s="18"/>
      <c r="BQO265" s="18"/>
      <c r="BQP265" s="18"/>
      <c r="BQQ265" s="18"/>
      <c r="BQR265" s="18"/>
      <c r="BQS265" s="18"/>
      <c r="BQT265" s="18"/>
      <c r="BQU265" s="18"/>
      <c r="BQV265" s="18"/>
      <c r="BQW265" s="18"/>
      <c r="BQX265" s="18"/>
      <c r="BQY265" s="18"/>
      <c r="BQZ265" s="18"/>
      <c r="BRA265" s="18"/>
      <c r="BRB265" s="18"/>
      <c r="BRC265" s="18"/>
      <c r="BRD265" s="18"/>
      <c r="BRE265" s="18"/>
      <c r="BRF265" s="18"/>
      <c r="BRG265" s="18"/>
      <c r="BRH265" s="18"/>
      <c r="BRI265" s="18"/>
      <c r="BRJ265" s="18"/>
      <c r="BRK265" s="18"/>
      <c r="BRL265" s="18"/>
      <c r="BRM265" s="18"/>
      <c r="BRN265" s="18"/>
      <c r="BRO265" s="18"/>
      <c r="BRP265" s="18"/>
      <c r="BRQ265" s="18"/>
      <c r="BRR265" s="18"/>
      <c r="BRS265" s="18"/>
      <c r="BRT265" s="18"/>
      <c r="BRU265" s="18"/>
      <c r="BRV265" s="18"/>
      <c r="BRW265" s="18"/>
      <c r="BRX265" s="18"/>
      <c r="BRY265" s="18"/>
      <c r="BRZ265" s="18"/>
      <c r="BSA265" s="18"/>
      <c r="BSB265" s="18"/>
      <c r="BSC265" s="18"/>
      <c r="BSD265" s="18"/>
      <c r="BSE265" s="18"/>
      <c r="BSF265" s="18"/>
      <c r="BSG265" s="18"/>
      <c r="BSH265" s="18"/>
      <c r="BSI265" s="18"/>
      <c r="BSJ265" s="18"/>
      <c r="BSK265" s="18"/>
      <c r="BSL265" s="18"/>
      <c r="BSM265" s="18"/>
      <c r="BSN265" s="18"/>
      <c r="BSO265" s="18"/>
      <c r="BSP265" s="18"/>
      <c r="BSQ265" s="18"/>
      <c r="BSR265" s="18"/>
      <c r="BSS265" s="18"/>
      <c r="BST265" s="18"/>
      <c r="BSU265" s="18"/>
      <c r="BSV265" s="18"/>
      <c r="BSW265" s="18"/>
      <c r="BSX265" s="18"/>
      <c r="BSY265" s="18"/>
      <c r="BSZ265" s="18"/>
      <c r="BTA265" s="18"/>
      <c r="BTB265" s="18"/>
      <c r="BTC265" s="18"/>
      <c r="BTD265" s="18"/>
      <c r="BTE265" s="18"/>
      <c r="BTF265" s="18"/>
      <c r="BTG265" s="18"/>
      <c r="BTH265" s="18"/>
      <c r="BTI265" s="18"/>
    </row>
    <row r="266" spans="1:1881" s="769" customFormat="1" ht="53.25" hidden="1" customHeight="1" x14ac:dyDescent="0.3">
      <c r="A266" s="108">
        <v>599</v>
      </c>
      <c r="B266" s="671" t="s">
        <v>59</v>
      </c>
      <c r="C266" s="671" t="s">
        <v>317</v>
      </c>
      <c r="D266" s="29" t="s">
        <v>403</v>
      </c>
      <c r="E266" s="669" t="e">
        <f>HLOOKUP($D$2,'2020 Data(H)'!$C$1:$CZ$426,259,FALSE)</f>
        <v>#N/A</v>
      </c>
      <c r="F266" s="294">
        <v>0</v>
      </c>
      <c r="G266" s="773" t="str">
        <f>IF(ISBLANK(F266),"Please do not leave blank","")</f>
        <v/>
      </c>
      <c r="H266" s="730">
        <f>IF(F266&lt;0,"Error: Enter as positive.",)</f>
        <v>0</v>
      </c>
      <c r="I266" s="79"/>
      <c r="J266" s="767"/>
      <c r="K266" s="18"/>
      <c r="L266" s="18"/>
      <c r="M266" s="18"/>
      <c r="N266" s="296"/>
      <c r="O266" s="18"/>
      <c r="P266" s="18"/>
      <c r="Q266" s="18"/>
      <c r="R266" s="18"/>
      <c r="S266" s="18"/>
      <c r="T266" s="18"/>
      <c r="U266" s="18"/>
      <c r="V266" s="18"/>
      <c r="W266" s="18"/>
      <c r="X266" s="18"/>
      <c r="Y266" s="18"/>
      <c r="Z266" s="108"/>
      <c r="AA266" s="108"/>
      <c r="AB266" s="108"/>
      <c r="AC266" s="108"/>
      <c r="AD266" s="108"/>
      <c r="AE266" s="108"/>
      <c r="AF266" s="108"/>
      <c r="AG266" s="108"/>
      <c r="AH266" s="108"/>
      <c r="AI266" s="108"/>
      <c r="AJ266" s="108"/>
      <c r="AK266" s="108"/>
      <c r="AL266" s="108"/>
      <c r="AM266" s="108"/>
      <c r="AN266" s="108"/>
      <c r="AO266" s="108"/>
      <c r="AP266" s="108"/>
      <c r="AQ266" s="108"/>
      <c r="AR266" s="10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c r="JI266" s="18"/>
      <c r="JJ266" s="18"/>
      <c r="JK266" s="18"/>
      <c r="JL266" s="18"/>
      <c r="JM266" s="18"/>
      <c r="JN266" s="18"/>
      <c r="JO266" s="18"/>
      <c r="JP266" s="18"/>
      <c r="JQ266" s="18"/>
      <c r="JR266" s="18"/>
      <c r="JS266" s="18"/>
      <c r="JT266" s="18"/>
      <c r="JU266" s="18"/>
      <c r="JV266" s="18"/>
      <c r="JW266" s="18"/>
      <c r="JX266" s="18"/>
      <c r="JY266" s="18"/>
      <c r="JZ266" s="18"/>
      <c r="KA266" s="18"/>
      <c r="KB266" s="18"/>
      <c r="KC266" s="18"/>
      <c r="KD266" s="18"/>
      <c r="KE266" s="18"/>
      <c r="KF266" s="18"/>
      <c r="KG266" s="18"/>
      <c r="KH266" s="18"/>
      <c r="KI266" s="18"/>
      <c r="KJ266" s="18"/>
      <c r="KK266" s="18"/>
      <c r="KL266" s="18"/>
      <c r="KM266" s="18"/>
      <c r="KN266" s="18"/>
      <c r="KO266" s="18"/>
      <c r="KP266" s="18"/>
      <c r="KQ266" s="18"/>
      <c r="KR266" s="18"/>
      <c r="KS266" s="18"/>
      <c r="KT266" s="18"/>
      <c r="KU266" s="18"/>
      <c r="KV266" s="18"/>
      <c r="KW266" s="18"/>
      <c r="KX266" s="18"/>
      <c r="KY266" s="18"/>
      <c r="KZ266" s="18"/>
      <c r="LA266" s="18"/>
      <c r="LB266" s="18"/>
      <c r="LC266" s="18"/>
      <c r="LD266" s="18"/>
      <c r="LE266" s="18"/>
      <c r="LF266" s="18"/>
      <c r="LG266" s="18"/>
      <c r="LH266" s="18"/>
      <c r="LI266" s="18"/>
      <c r="LJ266" s="18"/>
      <c r="LK266" s="18"/>
      <c r="LL266" s="18"/>
      <c r="LM266" s="18"/>
      <c r="LN266" s="18"/>
      <c r="LO266" s="18"/>
      <c r="LP266" s="18"/>
      <c r="LQ266" s="18"/>
      <c r="LR266" s="18"/>
      <c r="LS266" s="18"/>
      <c r="LT266" s="18"/>
      <c r="LU266" s="18"/>
      <c r="LV266" s="18"/>
      <c r="LW266" s="18"/>
      <c r="LX266" s="18"/>
      <c r="LY266" s="18"/>
      <c r="LZ266" s="18"/>
      <c r="MA266" s="18"/>
      <c r="MB266" s="18"/>
      <c r="MC266" s="18"/>
      <c r="MD266" s="18"/>
      <c r="ME266" s="18"/>
      <c r="MF266" s="18"/>
      <c r="MG266" s="18"/>
      <c r="MH266" s="18"/>
      <c r="MI266" s="18"/>
      <c r="MJ266" s="18"/>
      <c r="MK266" s="18"/>
      <c r="ML266" s="18"/>
      <c r="MM266" s="18"/>
      <c r="MN266" s="18"/>
      <c r="MO266" s="18"/>
      <c r="MP266" s="18"/>
      <c r="MQ266" s="18"/>
      <c r="MR266" s="18"/>
      <c r="MS266" s="18"/>
      <c r="MT266" s="18"/>
      <c r="MU266" s="18"/>
      <c r="MV266" s="18"/>
      <c r="MW266" s="18"/>
      <c r="MX266" s="18"/>
      <c r="MY266" s="18"/>
      <c r="MZ266" s="18"/>
      <c r="NA266" s="18"/>
      <c r="NB266" s="18"/>
      <c r="NC266" s="18"/>
      <c r="ND266" s="18"/>
      <c r="NE266" s="18"/>
      <c r="NF266" s="18"/>
      <c r="NG266" s="18"/>
      <c r="NH266" s="18"/>
      <c r="NI266" s="18"/>
      <c r="NJ266" s="18"/>
      <c r="NK266" s="18"/>
      <c r="NL266" s="18"/>
      <c r="NM266" s="18"/>
      <c r="NN266" s="18"/>
      <c r="NO266" s="18"/>
      <c r="NP266" s="18"/>
      <c r="NQ266" s="18"/>
      <c r="NR266" s="18"/>
      <c r="NS266" s="18"/>
      <c r="NT266" s="18"/>
      <c r="NU266" s="18"/>
      <c r="NV266" s="18"/>
      <c r="NW266" s="18"/>
      <c r="NX266" s="18"/>
      <c r="NY266" s="18"/>
      <c r="NZ266" s="18"/>
      <c r="OA266" s="18"/>
      <c r="OB266" s="18"/>
      <c r="OC266" s="18"/>
      <c r="OD266" s="18"/>
      <c r="OE266" s="18"/>
      <c r="OF266" s="18"/>
      <c r="OG266" s="18"/>
      <c r="OH266" s="18"/>
      <c r="OI266" s="18"/>
      <c r="OJ266" s="18"/>
      <c r="OK266" s="18"/>
      <c r="OL266" s="18"/>
      <c r="OM266" s="18"/>
      <c r="ON266" s="18"/>
      <c r="OO266" s="18"/>
      <c r="OP266" s="18"/>
      <c r="OQ266" s="18"/>
      <c r="OR266" s="18"/>
      <c r="OS266" s="18"/>
      <c r="OT266" s="18"/>
      <c r="OU266" s="18"/>
      <c r="OV266" s="18"/>
      <c r="OW266" s="18"/>
      <c r="OX266" s="18"/>
      <c r="OY266" s="18"/>
      <c r="OZ266" s="18"/>
      <c r="PA266" s="18"/>
      <c r="PB266" s="18"/>
      <c r="PC266" s="18"/>
      <c r="PD266" s="18"/>
      <c r="PE266" s="18"/>
      <c r="PF266" s="18"/>
      <c r="PG266" s="18"/>
      <c r="PH266" s="18"/>
      <c r="PI266" s="18"/>
      <c r="PJ266" s="18"/>
      <c r="PK266" s="18"/>
      <c r="PL266" s="18"/>
      <c r="PM266" s="18"/>
      <c r="PN266" s="18"/>
      <c r="PO266" s="18"/>
      <c r="PP266" s="18"/>
      <c r="PQ266" s="18"/>
      <c r="PR266" s="18"/>
      <c r="PS266" s="18"/>
      <c r="PT266" s="18"/>
      <c r="PU266" s="18"/>
      <c r="PV266" s="18"/>
      <c r="PW266" s="18"/>
      <c r="PX266" s="18"/>
      <c r="PY266" s="18"/>
      <c r="PZ266" s="18"/>
      <c r="QA266" s="18"/>
      <c r="QB266" s="18"/>
      <c r="QC266" s="18"/>
      <c r="QD266" s="18"/>
      <c r="QE266" s="18"/>
      <c r="QF266" s="18"/>
      <c r="QG266" s="18"/>
      <c r="QH266" s="18"/>
      <c r="QI266" s="18"/>
      <c r="QJ266" s="18"/>
      <c r="QK266" s="18"/>
      <c r="QL266" s="18"/>
      <c r="QM266" s="18"/>
      <c r="QN266" s="18"/>
      <c r="QO266" s="18"/>
      <c r="QP266" s="18"/>
      <c r="QQ266" s="18"/>
      <c r="QR266" s="18"/>
      <c r="QS266" s="18"/>
      <c r="QT266" s="18"/>
      <c r="QU266" s="18"/>
      <c r="QV266" s="18"/>
      <c r="QW266" s="18"/>
      <c r="QX266" s="18"/>
      <c r="QY266" s="18"/>
      <c r="QZ266" s="18"/>
      <c r="RA266" s="18"/>
      <c r="RB266" s="18"/>
      <c r="RC266" s="18"/>
      <c r="RD266" s="18"/>
      <c r="RE266" s="18"/>
      <c r="RF266" s="18"/>
      <c r="RG266" s="18"/>
      <c r="RH266" s="18"/>
      <c r="RI266" s="18"/>
      <c r="RJ266" s="18"/>
      <c r="RK266" s="18"/>
      <c r="RL266" s="18"/>
      <c r="RM266" s="18"/>
      <c r="RN266" s="18"/>
      <c r="RO266" s="18"/>
      <c r="RP266" s="18"/>
      <c r="RQ266" s="18"/>
      <c r="RR266" s="18"/>
      <c r="RS266" s="18"/>
      <c r="RT266" s="18"/>
      <c r="RU266" s="18"/>
      <c r="RV266" s="18"/>
      <c r="RW266" s="18"/>
      <c r="RX266" s="18"/>
      <c r="RY266" s="18"/>
      <c r="RZ266" s="18"/>
      <c r="SA266" s="18"/>
      <c r="SB266" s="18"/>
      <c r="SC266" s="18"/>
      <c r="SD266" s="18"/>
      <c r="SE266" s="18"/>
      <c r="SF266" s="18"/>
      <c r="SG266" s="18"/>
      <c r="SH266" s="18"/>
      <c r="SI266" s="18"/>
      <c r="SJ266" s="18"/>
      <c r="SK266" s="18"/>
      <c r="SL266" s="18"/>
      <c r="SM266" s="18"/>
      <c r="SN266" s="18"/>
      <c r="SO266" s="18"/>
      <c r="SP266" s="18"/>
      <c r="SQ266" s="18"/>
      <c r="SR266" s="18"/>
      <c r="SS266" s="18"/>
      <c r="ST266" s="18"/>
      <c r="SU266" s="18"/>
      <c r="SV266" s="18"/>
      <c r="SW266" s="18"/>
      <c r="SX266" s="18"/>
      <c r="SY266" s="18"/>
      <c r="SZ266" s="18"/>
      <c r="TA266" s="18"/>
      <c r="TB266" s="18"/>
      <c r="TC266" s="18"/>
      <c r="TD266" s="18"/>
      <c r="TE266" s="18"/>
      <c r="TF266" s="18"/>
      <c r="TG266" s="18"/>
      <c r="TH266" s="18"/>
      <c r="TI266" s="18"/>
      <c r="TJ266" s="18"/>
      <c r="TK266" s="18"/>
      <c r="TL266" s="18"/>
      <c r="TM266" s="18"/>
      <c r="TN266" s="18"/>
      <c r="TO266" s="18"/>
      <c r="TP266" s="18"/>
      <c r="TQ266" s="18"/>
      <c r="TR266" s="18"/>
      <c r="TS266" s="18"/>
      <c r="TT266" s="18"/>
      <c r="TU266" s="18"/>
      <c r="TV266" s="18"/>
      <c r="TW266" s="18"/>
      <c r="TX266" s="18"/>
      <c r="TY266" s="18"/>
      <c r="TZ266" s="18"/>
      <c r="UA266" s="18"/>
      <c r="UB266" s="18"/>
      <c r="UC266" s="18"/>
      <c r="UD266" s="18"/>
      <c r="UE266" s="18"/>
      <c r="UF266" s="18"/>
      <c r="UG266" s="18"/>
      <c r="UH266" s="18"/>
      <c r="UI266" s="18"/>
      <c r="UJ266" s="18"/>
      <c r="UK266" s="18"/>
      <c r="UL266" s="18"/>
      <c r="UM266" s="18"/>
      <c r="UN266" s="18"/>
      <c r="UO266" s="18"/>
      <c r="UP266" s="18"/>
      <c r="UQ266" s="18"/>
      <c r="UR266" s="18"/>
      <c r="US266" s="18"/>
      <c r="UT266" s="18"/>
      <c r="UU266" s="18"/>
      <c r="UV266" s="18"/>
      <c r="UW266" s="18"/>
      <c r="UX266" s="18"/>
      <c r="UY266" s="18"/>
      <c r="UZ266" s="18"/>
      <c r="VA266" s="18"/>
      <c r="VB266" s="18"/>
      <c r="VC266" s="18"/>
      <c r="VD266" s="18"/>
      <c r="VE266" s="18"/>
      <c r="VF266" s="18"/>
      <c r="VG266" s="18"/>
      <c r="VH266" s="18"/>
      <c r="VI266" s="18"/>
      <c r="VJ266" s="18"/>
      <c r="VK266" s="18"/>
      <c r="VL266" s="18"/>
      <c r="VM266" s="18"/>
      <c r="VN266" s="18"/>
      <c r="VO266" s="18"/>
      <c r="VP266" s="18"/>
      <c r="VQ266" s="18"/>
      <c r="VR266" s="18"/>
      <c r="VS266" s="18"/>
      <c r="VT266" s="18"/>
      <c r="VU266" s="18"/>
      <c r="VV266" s="18"/>
      <c r="VW266" s="18"/>
      <c r="VX266" s="18"/>
      <c r="VY266" s="18"/>
      <c r="VZ266" s="18"/>
      <c r="WA266" s="18"/>
      <c r="WB266" s="18"/>
      <c r="WC266" s="18"/>
      <c r="WD266" s="18"/>
      <c r="WE266" s="18"/>
      <c r="WF266" s="18"/>
      <c r="WG266" s="18"/>
      <c r="WH266" s="18"/>
      <c r="WI266" s="18"/>
      <c r="WJ266" s="18"/>
      <c r="WK266" s="18"/>
      <c r="WL266" s="18"/>
      <c r="WM266" s="18"/>
      <c r="WN266" s="18"/>
      <c r="WO266" s="18"/>
      <c r="WP266" s="18"/>
      <c r="WQ266" s="18"/>
      <c r="WR266" s="18"/>
      <c r="WS266" s="18"/>
      <c r="WT266" s="18"/>
      <c r="WU266" s="18"/>
      <c r="WV266" s="18"/>
      <c r="WW266" s="18"/>
      <c r="WX266" s="18"/>
      <c r="WY266" s="18"/>
      <c r="WZ266" s="18"/>
      <c r="XA266" s="18"/>
      <c r="XB266" s="18"/>
      <c r="XC266" s="18"/>
      <c r="XD266" s="18"/>
      <c r="XE266" s="18"/>
      <c r="XF266" s="18"/>
      <c r="XG266" s="18"/>
      <c r="XH266" s="18"/>
      <c r="XI266" s="18"/>
      <c r="XJ266" s="18"/>
      <c r="XK266" s="18"/>
      <c r="XL266" s="18"/>
      <c r="XM266" s="18"/>
      <c r="XN266" s="18"/>
      <c r="XO266" s="18"/>
      <c r="XP266" s="18"/>
      <c r="XQ266" s="18"/>
      <c r="XR266" s="18"/>
      <c r="XS266" s="18"/>
      <c r="XT266" s="18"/>
      <c r="XU266" s="18"/>
      <c r="XV266" s="18"/>
      <c r="XW266" s="18"/>
      <c r="XX266" s="18"/>
      <c r="XY266" s="18"/>
      <c r="XZ266" s="18"/>
      <c r="YA266" s="18"/>
      <c r="YB266" s="18"/>
      <c r="YC266" s="18"/>
      <c r="YD266" s="18"/>
      <c r="YE266" s="18"/>
      <c r="YF266" s="18"/>
      <c r="YG266" s="18"/>
      <c r="YH266" s="18"/>
      <c r="YI266" s="18"/>
      <c r="YJ266" s="18"/>
      <c r="YK266" s="18"/>
      <c r="YL266" s="18"/>
      <c r="YM266" s="18"/>
      <c r="YN266" s="18"/>
      <c r="YO266" s="18"/>
      <c r="YP266" s="18"/>
      <c r="YQ266" s="18"/>
      <c r="YR266" s="18"/>
      <c r="YS266" s="18"/>
      <c r="YT266" s="18"/>
      <c r="YU266" s="18"/>
      <c r="YV266" s="18"/>
      <c r="YW266" s="18"/>
      <c r="YX266" s="18"/>
      <c r="YY266" s="18"/>
      <c r="YZ266" s="18"/>
      <c r="ZA266" s="18"/>
      <c r="ZB266" s="18"/>
      <c r="ZC266" s="18"/>
      <c r="ZD266" s="18"/>
      <c r="ZE266" s="18"/>
      <c r="ZF266" s="18"/>
      <c r="ZG266" s="18"/>
      <c r="ZH266" s="18"/>
      <c r="ZI266" s="18"/>
      <c r="ZJ266" s="18"/>
      <c r="ZK266" s="18"/>
      <c r="ZL266" s="18"/>
      <c r="ZM266" s="18"/>
      <c r="ZN266" s="18"/>
      <c r="ZO266" s="18"/>
      <c r="ZP266" s="18"/>
      <c r="ZQ266" s="18"/>
      <c r="ZR266" s="18"/>
      <c r="ZS266" s="18"/>
      <c r="ZT266" s="18"/>
      <c r="ZU266" s="18"/>
      <c r="ZV266" s="18"/>
      <c r="ZW266" s="18"/>
      <c r="ZX266" s="18"/>
      <c r="ZY266" s="18"/>
      <c r="ZZ266" s="18"/>
      <c r="AAA266" s="18"/>
      <c r="AAB266" s="18"/>
      <c r="AAC266" s="18"/>
      <c r="AAD266" s="18"/>
      <c r="AAE266" s="18"/>
      <c r="AAF266" s="18"/>
      <c r="AAG266" s="18"/>
      <c r="AAH266" s="18"/>
      <c r="AAI266" s="18"/>
      <c r="AAJ266" s="18"/>
      <c r="AAK266" s="18"/>
      <c r="AAL266" s="18"/>
      <c r="AAM266" s="18"/>
      <c r="AAN266" s="18"/>
      <c r="AAO266" s="18"/>
      <c r="AAP266" s="18"/>
      <c r="AAQ266" s="18"/>
      <c r="AAR266" s="18"/>
      <c r="AAS266" s="18"/>
      <c r="AAT266" s="18"/>
      <c r="AAU266" s="18"/>
      <c r="AAV266" s="18"/>
      <c r="AAW266" s="18"/>
      <c r="AAX266" s="18"/>
      <c r="AAY266" s="18"/>
      <c r="AAZ266" s="18"/>
      <c r="ABA266" s="18"/>
      <c r="ABB266" s="18"/>
      <c r="ABC266" s="18"/>
      <c r="ABD266" s="18"/>
      <c r="ABE266" s="18"/>
      <c r="ABF266" s="18"/>
      <c r="ABG266" s="18"/>
      <c r="ABH266" s="18"/>
      <c r="ABI266" s="18"/>
      <c r="ABJ266" s="18"/>
      <c r="ABK266" s="18"/>
      <c r="ABL266" s="18"/>
      <c r="ABM266" s="18"/>
      <c r="ABN266" s="18"/>
      <c r="ABO266" s="18"/>
      <c r="ABP266" s="18"/>
      <c r="ABQ266" s="18"/>
      <c r="ABR266" s="18"/>
      <c r="ABS266" s="18"/>
      <c r="ABT266" s="18"/>
      <c r="ABU266" s="18"/>
      <c r="ABV266" s="18"/>
      <c r="ABW266" s="18"/>
      <c r="ABX266" s="18"/>
      <c r="ABY266" s="18"/>
      <c r="ABZ266" s="18"/>
      <c r="ACA266" s="18"/>
      <c r="ACB266" s="18"/>
      <c r="ACC266" s="18"/>
      <c r="ACD266" s="18"/>
      <c r="ACE266" s="18"/>
      <c r="ACF266" s="18"/>
      <c r="ACG266" s="18"/>
      <c r="ACH266" s="18"/>
      <c r="ACI266" s="18"/>
      <c r="ACJ266" s="18"/>
      <c r="ACK266" s="18"/>
      <c r="ACL266" s="18"/>
      <c r="ACM266" s="18"/>
      <c r="ACN266" s="18"/>
      <c r="ACO266" s="18"/>
      <c r="ACP266" s="18"/>
      <c r="ACQ266" s="18"/>
      <c r="ACR266" s="18"/>
      <c r="ACS266" s="18"/>
      <c r="ACT266" s="18"/>
      <c r="ACU266" s="18"/>
      <c r="ACV266" s="18"/>
      <c r="ACW266" s="18"/>
      <c r="ACX266" s="18"/>
      <c r="ACY266" s="18"/>
      <c r="ACZ266" s="18"/>
      <c r="ADA266" s="18"/>
      <c r="ADB266" s="18"/>
      <c r="ADC266" s="18"/>
      <c r="ADD266" s="18"/>
      <c r="ADE266" s="18"/>
      <c r="ADF266" s="18"/>
      <c r="ADG266" s="18"/>
      <c r="ADH266" s="18"/>
      <c r="ADI266" s="18"/>
      <c r="ADJ266" s="18"/>
      <c r="ADK266" s="18"/>
      <c r="ADL266" s="18"/>
      <c r="ADM266" s="18"/>
      <c r="ADN266" s="18"/>
      <c r="ADO266" s="18"/>
      <c r="ADP266" s="18"/>
      <c r="ADQ266" s="18"/>
      <c r="ADR266" s="18"/>
      <c r="ADS266" s="18"/>
      <c r="ADT266" s="18"/>
      <c r="ADU266" s="18"/>
      <c r="ADV266" s="18"/>
      <c r="ADW266" s="18"/>
      <c r="ADX266" s="18"/>
      <c r="ADY266" s="18"/>
      <c r="ADZ266" s="18"/>
      <c r="AEA266" s="18"/>
      <c r="AEB266" s="18"/>
      <c r="AEC266" s="18"/>
      <c r="AED266" s="18"/>
      <c r="AEE266" s="18"/>
      <c r="AEF266" s="18"/>
      <c r="AEG266" s="18"/>
      <c r="AEH266" s="18"/>
      <c r="AEI266" s="18"/>
      <c r="AEJ266" s="18"/>
      <c r="AEK266" s="18"/>
      <c r="AEL266" s="18"/>
      <c r="AEM266" s="18"/>
      <c r="AEN266" s="18"/>
      <c r="AEO266" s="18"/>
      <c r="AEP266" s="18"/>
      <c r="AEQ266" s="18"/>
      <c r="AER266" s="18"/>
      <c r="AES266" s="18"/>
      <c r="AET266" s="18"/>
      <c r="AEU266" s="18"/>
      <c r="AEV266" s="18"/>
      <c r="AEW266" s="18"/>
      <c r="AEX266" s="18"/>
      <c r="AEY266" s="18"/>
      <c r="AEZ266" s="18"/>
      <c r="AFA266" s="18"/>
      <c r="AFB266" s="18"/>
      <c r="AFC266" s="18"/>
      <c r="AFD266" s="18"/>
      <c r="AFE266" s="18"/>
      <c r="AFF266" s="18"/>
      <c r="AFG266" s="18"/>
      <c r="AFH266" s="18"/>
      <c r="AFI266" s="18"/>
      <c r="AFJ266" s="18"/>
      <c r="AFK266" s="18"/>
      <c r="AFL266" s="18"/>
      <c r="AFM266" s="18"/>
      <c r="AFN266" s="18"/>
      <c r="AFO266" s="18"/>
      <c r="AFP266" s="18"/>
      <c r="AFQ266" s="18"/>
      <c r="AFR266" s="18"/>
      <c r="AFS266" s="18"/>
      <c r="AFT266" s="18"/>
      <c r="AFU266" s="18"/>
      <c r="AFV266" s="18"/>
      <c r="AFW266" s="18"/>
      <c r="AFX266" s="18"/>
      <c r="AFY266" s="18"/>
      <c r="AFZ266" s="18"/>
      <c r="AGA266" s="18"/>
      <c r="AGB266" s="18"/>
      <c r="AGC266" s="18"/>
      <c r="AGD266" s="18"/>
      <c r="AGE266" s="18"/>
      <c r="AGF266" s="18"/>
      <c r="AGG266" s="18"/>
      <c r="AGH266" s="18"/>
      <c r="AGI266" s="18"/>
      <c r="AGJ266" s="18"/>
      <c r="AGK266" s="18"/>
      <c r="AGL266" s="18"/>
      <c r="AGM266" s="18"/>
      <c r="AGN266" s="18"/>
      <c r="AGO266" s="18"/>
      <c r="AGP266" s="18"/>
      <c r="AGQ266" s="18"/>
      <c r="AGR266" s="18"/>
      <c r="AGS266" s="18"/>
      <c r="AGT266" s="18"/>
      <c r="AGU266" s="18"/>
      <c r="AGV266" s="18"/>
      <c r="AGW266" s="18"/>
      <c r="AGX266" s="18"/>
      <c r="AGY266" s="18"/>
      <c r="AGZ266" s="18"/>
      <c r="AHA266" s="18"/>
      <c r="AHB266" s="18"/>
      <c r="AHC266" s="18"/>
      <c r="AHD266" s="18"/>
      <c r="AHE266" s="18"/>
      <c r="AHF266" s="18"/>
      <c r="AHG266" s="18"/>
      <c r="AHH266" s="18"/>
      <c r="AHI266" s="18"/>
      <c r="AHJ266" s="18"/>
      <c r="AHK266" s="18"/>
      <c r="AHL266" s="18"/>
      <c r="AHM266" s="18"/>
      <c r="AHN266" s="18"/>
      <c r="AHO266" s="18"/>
      <c r="AHP266" s="18"/>
      <c r="AHQ266" s="18"/>
      <c r="AHR266" s="18"/>
      <c r="AHS266" s="18"/>
      <c r="AHT266" s="18"/>
      <c r="AHU266" s="18"/>
      <c r="AHV266" s="18"/>
      <c r="AHW266" s="18"/>
      <c r="AHX266" s="18"/>
      <c r="AHY266" s="18"/>
      <c r="AHZ266" s="18"/>
      <c r="AIA266" s="18"/>
      <c r="AIB266" s="18"/>
      <c r="AIC266" s="18"/>
      <c r="AID266" s="18"/>
      <c r="AIE266" s="18"/>
      <c r="AIF266" s="18"/>
      <c r="AIG266" s="18"/>
      <c r="AIH266" s="18"/>
      <c r="AII266" s="18"/>
      <c r="AIJ266" s="18"/>
      <c r="AIK266" s="18"/>
      <c r="AIL266" s="18"/>
      <c r="AIM266" s="18"/>
      <c r="AIN266" s="18"/>
      <c r="AIO266" s="18"/>
      <c r="AIP266" s="18"/>
      <c r="AIQ266" s="18"/>
      <c r="AIR266" s="18"/>
      <c r="AIS266" s="18"/>
      <c r="AIT266" s="18"/>
      <c r="AIU266" s="18"/>
      <c r="AIV266" s="18"/>
      <c r="AIW266" s="18"/>
      <c r="AIX266" s="18"/>
      <c r="AIY266" s="18"/>
      <c r="AIZ266" s="18"/>
      <c r="AJA266" s="18"/>
      <c r="AJB266" s="18"/>
      <c r="AJC266" s="18"/>
      <c r="AJD266" s="18"/>
      <c r="AJE266" s="18"/>
      <c r="AJF266" s="18"/>
      <c r="AJG266" s="18"/>
      <c r="AJH266" s="18"/>
      <c r="AJI266" s="18"/>
      <c r="AJJ266" s="18"/>
      <c r="AJK266" s="18"/>
      <c r="AJL266" s="18"/>
      <c r="AJM266" s="18"/>
      <c r="AJN266" s="18"/>
      <c r="AJO266" s="18"/>
      <c r="AJP266" s="18"/>
      <c r="AJQ266" s="18"/>
      <c r="AJR266" s="18"/>
      <c r="AJS266" s="18"/>
      <c r="AJT266" s="18"/>
      <c r="AJU266" s="18"/>
      <c r="AJV266" s="18"/>
      <c r="AJW266" s="18"/>
      <c r="AJX266" s="18"/>
      <c r="AJY266" s="18"/>
      <c r="AJZ266" s="18"/>
      <c r="AKA266" s="18"/>
      <c r="AKB266" s="18"/>
      <c r="AKC266" s="18"/>
      <c r="AKD266" s="18"/>
      <c r="AKE266" s="18"/>
      <c r="AKF266" s="18"/>
      <c r="AKG266" s="18"/>
      <c r="AKH266" s="18"/>
      <c r="AKI266" s="18"/>
      <c r="AKJ266" s="18"/>
      <c r="AKK266" s="18"/>
      <c r="AKL266" s="18"/>
      <c r="AKM266" s="18"/>
      <c r="AKN266" s="18"/>
      <c r="AKO266" s="18"/>
      <c r="AKP266" s="18"/>
      <c r="AKQ266" s="18"/>
      <c r="AKR266" s="18"/>
      <c r="AKS266" s="18"/>
      <c r="AKT266" s="18"/>
      <c r="AKU266" s="18"/>
      <c r="AKV266" s="18"/>
      <c r="AKW266" s="18"/>
      <c r="AKX266" s="18"/>
      <c r="AKY266" s="18"/>
      <c r="AKZ266" s="18"/>
      <c r="ALA266" s="18"/>
      <c r="ALB266" s="18"/>
      <c r="ALC266" s="18"/>
      <c r="ALD266" s="18"/>
      <c r="ALE266" s="18"/>
      <c r="ALF266" s="18"/>
      <c r="ALG266" s="18"/>
      <c r="ALH266" s="18"/>
      <c r="ALI266" s="18"/>
      <c r="ALJ266" s="18"/>
      <c r="ALK266" s="18"/>
      <c r="ALL266" s="18"/>
      <c r="ALM266" s="18"/>
      <c r="ALN266" s="18"/>
      <c r="ALO266" s="18"/>
      <c r="ALP266" s="18"/>
      <c r="ALQ266" s="18"/>
      <c r="ALR266" s="18"/>
      <c r="ALS266" s="18"/>
      <c r="ALT266" s="18"/>
      <c r="ALU266" s="18"/>
      <c r="ALV266" s="18"/>
      <c r="ALW266" s="18"/>
      <c r="ALX266" s="18"/>
      <c r="ALY266" s="18"/>
      <c r="ALZ266" s="18"/>
      <c r="AMA266" s="18"/>
      <c r="AMB266" s="18"/>
      <c r="AMC266" s="18"/>
      <c r="AMD266" s="18"/>
      <c r="AME266" s="18"/>
      <c r="AMF266" s="18"/>
      <c r="AMG266" s="18"/>
      <c r="AMH266" s="18"/>
      <c r="AMI266" s="18"/>
      <c r="AMJ266" s="18"/>
      <c r="AMK266" s="18"/>
      <c r="AML266" s="18"/>
      <c r="AMM266" s="18"/>
      <c r="AMN266" s="18"/>
      <c r="AMO266" s="18"/>
      <c r="AMP266" s="18"/>
      <c r="AMQ266" s="18"/>
      <c r="AMR266" s="18"/>
      <c r="AMS266" s="18"/>
      <c r="AMT266" s="18"/>
      <c r="AMU266" s="18"/>
      <c r="AMV266" s="18"/>
      <c r="AMW266" s="18"/>
      <c r="AMX266" s="18"/>
      <c r="AMY266" s="18"/>
      <c r="AMZ266" s="18"/>
      <c r="ANA266" s="18"/>
      <c r="ANB266" s="18"/>
      <c r="ANC266" s="18"/>
      <c r="AND266" s="18"/>
      <c r="ANE266" s="18"/>
      <c r="ANF266" s="18"/>
      <c r="ANG266" s="18"/>
      <c r="ANH266" s="18"/>
      <c r="ANI266" s="18"/>
      <c r="ANJ266" s="18"/>
      <c r="ANK266" s="18"/>
      <c r="ANL266" s="18"/>
      <c r="ANM266" s="18"/>
      <c r="ANN266" s="18"/>
      <c r="ANO266" s="18"/>
      <c r="ANP266" s="18"/>
      <c r="ANQ266" s="18"/>
      <c r="ANR266" s="18"/>
      <c r="ANS266" s="18"/>
      <c r="ANT266" s="18"/>
      <c r="ANU266" s="18"/>
      <c r="ANV266" s="18"/>
      <c r="ANW266" s="18"/>
      <c r="ANX266" s="18"/>
      <c r="ANY266" s="18"/>
      <c r="ANZ266" s="18"/>
      <c r="AOA266" s="18"/>
      <c r="AOB266" s="18"/>
      <c r="AOC266" s="18"/>
      <c r="AOD266" s="18"/>
      <c r="AOE266" s="18"/>
      <c r="AOF266" s="18"/>
      <c r="AOG266" s="18"/>
      <c r="AOH266" s="18"/>
      <c r="AOI266" s="18"/>
      <c r="AOJ266" s="18"/>
      <c r="AOK266" s="18"/>
      <c r="AOL266" s="18"/>
      <c r="AOM266" s="18"/>
      <c r="AON266" s="18"/>
      <c r="AOO266" s="18"/>
      <c r="AOP266" s="18"/>
      <c r="AOQ266" s="18"/>
      <c r="AOR266" s="18"/>
      <c r="AOS266" s="18"/>
      <c r="AOT266" s="18"/>
      <c r="AOU266" s="18"/>
      <c r="AOV266" s="18"/>
      <c r="AOW266" s="18"/>
      <c r="AOX266" s="18"/>
      <c r="AOY266" s="18"/>
      <c r="AOZ266" s="18"/>
      <c r="APA266" s="18"/>
      <c r="APB266" s="18"/>
      <c r="APC266" s="18"/>
      <c r="APD266" s="18"/>
      <c r="APE266" s="18"/>
      <c r="APF266" s="18"/>
      <c r="APG266" s="18"/>
      <c r="APH266" s="18"/>
      <c r="API266" s="18"/>
      <c r="APJ266" s="18"/>
      <c r="APK266" s="18"/>
      <c r="APL266" s="18"/>
      <c r="APM266" s="18"/>
      <c r="APN266" s="18"/>
      <c r="APO266" s="18"/>
      <c r="APP266" s="18"/>
      <c r="APQ266" s="18"/>
      <c r="APR266" s="18"/>
      <c r="APS266" s="18"/>
      <c r="APT266" s="18"/>
      <c r="APU266" s="18"/>
      <c r="APV266" s="18"/>
      <c r="APW266" s="18"/>
      <c r="APX266" s="18"/>
      <c r="APY266" s="18"/>
      <c r="APZ266" s="18"/>
      <c r="AQA266" s="18"/>
      <c r="AQB266" s="18"/>
      <c r="AQC266" s="18"/>
      <c r="AQD266" s="18"/>
      <c r="AQE266" s="18"/>
      <c r="AQF266" s="18"/>
      <c r="AQG266" s="18"/>
      <c r="AQH266" s="18"/>
      <c r="AQI266" s="18"/>
      <c r="AQJ266" s="18"/>
      <c r="AQK266" s="18"/>
      <c r="AQL266" s="18"/>
      <c r="AQM266" s="18"/>
      <c r="AQN266" s="18"/>
      <c r="AQO266" s="18"/>
      <c r="AQP266" s="18"/>
      <c r="AQQ266" s="18"/>
      <c r="AQR266" s="18"/>
      <c r="AQS266" s="18"/>
      <c r="AQT266" s="18"/>
      <c r="AQU266" s="18"/>
      <c r="AQV266" s="18"/>
      <c r="AQW266" s="18"/>
      <c r="AQX266" s="18"/>
      <c r="AQY266" s="18"/>
      <c r="AQZ266" s="18"/>
      <c r="ARA266" s="18"/>
      <c r="ARB266" s="18"/>
      <c r="ARC266" s="18"/>
      <c r="ARD266" s="18"/>
      <c r="ARE266" s="18"/>
      <c r="ARF266" s="18"/>
      <c r="ARG266" s="18"/>
      <c r="ARH266" s="18"/>
      <c r="ARI266" s="18"/>
      <c r="ARJ266" s="18"/>
      <c r="ARK266" s="18"/>
      <c r="ARL266" s="18"/>
      <c r="ARM266" s="18"/>
      <c r="ARN266" s="18"/>
      <c r="ARO266" s="18"/>
      <c r="ARP266" s="18"/>
      <c r="ARQ266" s="18"/>
      <c r="ARR266" s="18"/>
      <c r="ARS266" s="18"/>
      <c r="ART266" s="18"/>
      <c r="ARU266" s="18"/>
      <c r="ARV266" s="18"/>
      <c r="ARW266" s="18"/>
      <c r="ARX266" s="18"/>
      <c r="ARY266" s="18"/>
      <c r="ARZ266" s="18"/>
      <c r="ASA266" s="18"/>
      <c r="ASB266" s="18"/>
      <c r="ASC266" s="18"/>
      <c r="ASD266" s="18"/>
      <c r="ASE266" s="18"/>
      <c r="ASF266" s="18"/>
      <c r="ASG266" s="18"/>
      <c r="ASH266" s="18"/>
      <c r="ASI266" s="18"/>
      <c r="ASJ266" s="18"/>
      <c r="ASK266" s="18"/>
      <c r="ASL266" s="18"/>
      <c r="ASM266" s="18"/>
      <c r="ASN266" s="18"/>
      <c r="ASO266" s="18"/>
      <c r="ASP266" s="18"/>
      <c r="ASQ266" s="18"/>
      <c r="ASR266" s="18"/>
      <c r="ASS266" s="18"/>
      <c r="AST266" s="18"/>
      <c r="ASU266" s="18"/>
      <c r="ASV266" s="18"/>
      <c r="ASW266" s="18"/>
      <c r="ASX266" s="18"/>
      <c r="ASY266" s="18"/>
      <c r="ASZ266" s="18"/>
      <c r="ATA266" s="18"/>
      <c r="ATB266" s="18"/>
      <c r="ATC266" s="18"/>
      <c r="ATD266" s="18"/>
      <c r="ATE266" s="18"/>
      <c r="ATF266" s="18"/>
      <c r="ATG266" s="18"/>
      <c r="ATH266" s="18"/>
      <c r="ATI266" s="18"/>
      <c r="ATJ266" s="18"/>
      <c r="ATK266" s="18"/>
      <c r="ATL266" s="18"/>
      <c r="ATM266" s="18"/>
      <c r="ATN266" s="18"/>
      <c r="ATO266" s="18"/>
      <c r="ATP266" s="18"/>
      <c r="ATQ266" s="18"/>
      <c r="ATR266" s="18"/>
      <c r="ATS266" s="18"/>
      <c r="ATT266" s="18"/>
      <c r="ATU266" s="18"/>
      <c r="ATV266" s="18"/>
      <c r="ATW266" s="18"/>
      <c r="ATX266" s="18"/>
      <c r="ATY266" s="18"/>
      <c r="ATZ266" s="18"/>
      <c r="AUA266" s="18"/>
      <c r="AUB266" s="18"/>
      <c r="AUC266" s="18"/>
      <c r="AUD266" s="18"/>
      <c r="AUE266" s="18"/>
      <c r="AUF266" s="18"/>
      <c r="AUG266" s="18"/>
      <c r="AUH266" s="18"/>
      <c r="AUI266" s="18"/>
      <c r="AUJ266" s="18"/>
      <c r="AUK266" s="18"/>
      <c r="AUL266" s="18"/>
      <c r="AUM266" s="18"/>
      <c r="AUN266" s="18"/>
      <c r="AUO266" s="18"/>
      <c r="AUP266" s="18"/>
      <c r="AUQ266" s="18"/>
      <c r="AUR266" s="18"/>
      <c r="AUS266" s="18"/>
      <c r="AUT266" s="18"/>
      <c r="AUU266" s="18"/>
      <c r="AUV266" s="18"/>
      <c r="AUW266" s="18"/>
      <c r="AUX266" s="18"/>
      <c r="AUY266" s="18"/>
      <c r="AUZ266" s="18"/>
      <c r="AVA266" s="18"/>
      <c r="AVB266" s="18"/>
      <c r="AVC266" s="18"/>
      <c r="AVD266" s="18"/>
      <c r="AVE266" s="18"/>
      <c r="AVF266" s="18"/>
      <c r="AVG266" s="18"/>
      <c r="AVH266" s="18"/>
      <c r="AVI266" s="18"/>
      <c r="AVJ266" s="18"/>
      <c r="AVK266" s="18"/>
      <c r="AVL266" s="18"/>
      <c r="AVM266" s="18"/>
      <c r="AVN266" s="18"/>
      <c r="AVO266" s="18"/>
      <c r="AVP266" s="18"/>
      <c r="AVQ266" s="18"/>
      <c r="AVR266" s="18"/>
      <c r="AVS266" s="18"/>
      <c r="AVT266" s="18"/>
      <c r="AVU266" s="18"/>
      <c r="AVV266" s="18"/>
      <c r="AVW266" s="18"/>
      <c r="AVX266" s="18"/>
      <c r="AVY266" s="18"/>
      <c r="AVZ266" s="18"/>
      <c r="AWA266" s="18"/>
      <c r="AWB266" s="18"/>
      <c r="AWC266" s="18"/>
      <c r="AWD266" s="18"/>
      <c r="AWE266" s="18"/>
      <c r="AWF266" s="18"/>
      <c r="AWG266" s="18"/>
      <c r="AWH266" s="18"/>
      <c r="AWI266" s="18"/>
      <c r="AWJ266" s="18"/>
      <c r="AWK266" s="18"/>
      <c r="AWL266" s="18"/>
      <c r="AWM266" s="18"/>
      <c r="AWN266" s="18"/>
      <c r="AWO266" s="18"/>
      <c r="AWP266" s="18"/>
      <c r="AWQ266" s="18"/>
      <c r="AWR266" s="18"/>
      <c r="AWS266" s="18"/>
      <c r="AWT266" s="18"/>
      <c r="AWU266" s="18"/>
      <c r="AWV266" s="18"/>
      <c r="AWW266" s="18"/>
      <c r="AWX266" s="18"/>
      <c r="AWY266" s="18"/>
      <c r="AWZ266" s="18"/>
      <c r="AXA266" s="18"/>
      <c r="AXB266" s="18"/>
      <c r="AXC266" s="18"/>
      <c r="AXD266" s="18"/>
      <c r="AXE266" s="18"/>
      <c r="AXF266" s="18"/>
      <c r="AXG266" s="18"/>
      <c r="AXH266" s="18"/>
      <c r="AXI266" s="18"/>
      <c r="AXJ266" s="18"/>
      <c r="AXK266" s="18"/>
      <c r="AXL266" s="18"/>
      <c r="AXM266" s="18"/>
      <c r="AXN266" s="18"/>
      <c r="AXO266" s="18"/>
      <c r="AXP266" s="18"/>
      <c r="AXQ266" s="18"/>
      <c r="AXR266" s="18"/>
      <c r="AXS266" s="18"/>
      <c r="AXT266" s="18"/>
      <c r="AXU266" s="18"/>
      <c r="AXV266" s="18"/>
      <c r="AXW266" s="18"/>
      <c r="AXX266" s="18"/>
      <c r="AXY266" s="18"/>
      <c r="AXZ266" s="18"/>
      <c r="AYA266" s="18"/>
      <c r="AYB266" s="18"/>
      <c r="AYC266" s="18"/>
      <c r="AYD266" s="18"/>
      <c r="AYE266" s="18"/>
      <c r="AYF266" s="18"/>
      <c r="AYG266" s="18"/>
      <c r="AYH266" s="18"/>
      <c r="AYI266" s="18"/>
      <c r="AYJ266" s="18"/>
      <c r="AYK266" s="18"/>
      <c r="AYL266" s="18"/>
      <c r="AYM266" s="18"/>
      <c r="AYN266" s="18"/>
      <c r="AYO266" s="18"/>
      <c r="AYP266" s="18"/>
      <c r="AYQ266" s="18"/>
      <c r="AYR266" s="18"/>
      <c r="AYS266" s="18"/>
      <c r="AYT266" s="18"/>
      <c r="AYU266" s="18"/>
      <c r="AYV266" s="18"/>
      <c r="AYW266" s="18"/>
      <c r="AYX266" s="18"/>
      <c r="AYY266" s="18"/>
      <c r="AYZ266" s="18"/>
      <c r="AZA266" s="18"/>
      <c r="AZB266" s="18"/>
      <c r="AZC266" s="18"/>
      <c r="AZD266" s="18"/>
      <c r="AZE266" s="18"/>
      <c r="AZF266" s="18"/>
      <c r="AZG266" s="18"/>
      <c r="AZH266" s="18"/>
      <c r="AZI266" s="18"/>
      <c r="AZJ266" s="18"/>
      <c r="AZK266" s="18"/>
      <c r="AZL266" s="18"/>
      <c r="AZM266" s="18"/>
      <c r="AZN266" s="18"/>
      <c r="AZO266" s="18"/>
      <c r="AZP266" s="18"/>
      <c r="AZQ266" s="18"/>
      <c r="AZR266" s="18"/>
      <c r="AZS266" s="18"/>
      <c r="AZT266" s="18"/>
      <c r="AZU266" s="18"/>
      <c r="AZV266" s="18"/>
      <c r="AZW266" s="18"/>
      <c r="AZX266" s="18"/>
      <c r="AZY266" s="18"/>
      <c r="AZZ266" s="18"/>
      <c r="BAA266" s="18"/>
      <c r="BAB266" s="18"/>
      <c r="BAC266" s="18"/>
      <c r="BAD266" s="18"/>
      <c r="BAE266" s="18"/>
      <c r="BAF266" s="18"/>
      <c r="BAG266" s="18"/>
      <c r="BAH266" s="18"/>
      <c r="BAI266" s="18"/>
      <c r="BAJ266" s="18"/>
      <c r="BAK266" s="18"/>
      <c r="BAL266" s="18"/>
      <c r="BAM266" s="18"/>
      <c r="BAN266" s="18"/>
      <c r="BAO266" s="18"/>
      <c r="BAP266" s="18"/>
      <c r="BAQ266" s="18"/>
      <c r="BAR266" s="18"/>
      <c r="BAS266" s="18"/>
      <c r="BAT266" s="18"/>
      <c r="BAU266" s="18"/>
      <c r="BAV266" s="18"/>
      <c r="BAW266" s="18"/>
      <c r="BAX266" s="18"/>
      <c r="BAY266" s="18"/>
      <c r="BAZ266" s="18"/>
      <c r="BBA266" s="18"/>
      <c r="BBB266" s="18"/>
      <c r="BBC266" s="18"/>
      <c r="BBD266" s="18"/>
      <c r="BBE266" s="18"/>
      <c r="BBF266" s="18"/>
      <c r="BBG266" s="18"/>
      <c r="BBH266" s="18"/>
      <c r="BBI266" s="18"/>
      <c r="BBJ266" s="18"/>
      <c r="BBK266" s="18"/>
      <c r="BBL266" s="18"/>
      <c r="BBM266" s="18"/>
      <c r="BBN266" s="18"/>
      <c r="BBO266" s="18"/>
      <c r="BBP266" s="18"/>
      <c r="BBQ266" s="18"/>
      <c r="BBR266" s="18"/>
      <c r="BBS266" s="18"/>
      <c r="BBT266" s="18"/>
      <c r="BBU266" s="18"/>
      <c r="BBV266" s="18"/>
      <c r="BBW266" s="18"/>
      <c r="BBX266" s="18"/>
      <c r="BBY266" s="18"/>
      <c r="BBZ266" s="18"/>
      <c r="BCA266" s="18"/>
      <c r="BCB266" s="18"/>
      <c r="BCC266" s="18"/>
      <c r="BCD266" s="18"/>
      <c r="BCE266" s="18"/>
      <c r="BCF266" s="18"/>
      <c r="BCG266" s="18"/>
      <c r="BCH266" s="18"/>
      <c r="BCI266" s="18"/>
      <c r="BCJ266" s="18"/>
      <c r="BCK266" s="18"/>
      <c r="BCL266" s="18"/>
      <c r="BCM266" s="18"/>
      <c r="BCN266" s="18"/>
      <c r="BCO266" s="18"/>
      <c r="BCP266" s="18"/>
      <c r="BCQ266" s="18"/>
      <c r="BCR266" s="18"/>
      <c r="BCS266" s="18"/>
      <c r="BCT266" s="18"/>
      <c r="BCU266" s="18"/>
      <c r="BCV266" s="18"/>
      <c r="BCW266" s="18"/>
      <c r="BCX266" s="18"/>
      <c r="BCY266" s="18"/>
      <c r="BCZ266" s="18"/>
      <c r="BDA266" s="18"/>
      <c r="BDB266" s="18"/>
      <c r="BDC266" s="18"/>
      <c r="BDD266" s="18"/>
      <c r="BDE266" s="18"/>
      <c r="BDF266" s="18"/>
      <c r="BDG266" s="18"/>
      <c r="BDH266" s="18"/>
      <c r="BDI266" s="18"/>
      <c r="BDJ266" s="18"/>
      <c r="BDK266" s="18"/>
      <c r="BDL266" s="18"/>
      <c r="BDM266" s="18"/>
      <c r="BDN266" s="18"/>
      <c r="BDO266" s="18"/>
      <c r="BDP266" s="18"/>
      <c r="BDQ266" s="18"/>
      <c r="BDR266" s="18"/>
      <c r="BDS266" s="18"/>
      <c r="BDT266" s="18"/>
      <c r="BDU266" s="18"/>
      <c r="BDV266" s="18"/>
      <c r="BDW266" s="18"/>
      <c r="BDX266" s="18"/>
      <c r="BDY266" s="18"/>
      <c r="BDZ266" s="18"/>
      <c r="BEA266" s="18"/>
      <c r="BEB266" s="18"/>
      <c r="BEC266" s="18"/>
      <c r="BED266" s="18"/>
      <c r="BEE266" s="18"/>
      <c r="BEF266" s="18"/>
      <c r="BEG266" s="18"/>
      <c r="BEH266" s="18"/>
      <c r="BEI266" s="18"/>
      <c r="BEJ266" s="18"/>
      <c r="BEK266" s="18"/>
      <c r="BEL266" s="18"/>
      <c r="BEM266" s="18"/>
      <c r="BEN266" s="18"/>
      <c r="BEO266" s="18"/>
      <c r="BEP266" s="18"/>
      <c r="BEQ266" s="18"/>
      <c r="BER266" s="18"/>
      <c r="BES266" s="18"/>
      <c r="BET266" s="18"/>
      <c r="BEU266" s="18"/>
      <c r="BEV266" s="18"/>
      <c r="BEW266" s="18"/>
      <c r="BEX266" s="18"/>
      <c r="BEY266" s="18"/>
      <c r="BEZ266" s="18"/>
      <c r="BFA266" s="18"/>
      <c r="BFB266" s="18"/>
      <c r="BFC266" s="18"/>
      <c r="BFD266" s="18"/>
      <c r="BFE266" s="18"/>
      <c r="BFF266" s="18"/>
      <c r="BFG266" s="18"/>
      <c r="BFH266" s="18"/>
      <c r="BFI266" s="18"/>
      <c r="BFJ266" s="18"/>
      <c r="BFK266" s="18"/>
      <c r="BFL266" s="18"/>
      <c r="BFM266" s="18"/>
      <c r="BFN266" s="18"/>
      <c r="BFO266" s="18"/>
      <c r="BFP266" s="18"/>
      <c r="BFQ266" s="18"/>
      <c r="BFR266" s="18"/>
      <c r="BFS266" s="18"/>
      <c r="BFT266" s="18"/>
      <c r="BFU266" s="18"/>
      <c r="BFV266" s="18"/>
      <c r="BFW266" s="18"/>
      <c r="BFX266" s="18"/>
      <c r="BFY266" s="18"/>
      <c r="BFZ266" s="18"/>
      <c r="BGA266" s="18"/>
      <c r="BGB266" s="18"/>
      <c r="BGC266" s="18"/>
      <c r="BGD266" s="18"/>
      <c r="BGE266" s="18"/>
      <c r="BGF266" s="18"/>
      <c r="BGG266" s="18"/>
      <c r="BGH266" s="18"/>
      <c r="BGI266" s="18"/>
      <c r="BGJ266" s="18"/>
      <c r="BGK266" s="18"/>
      <c r="BGL266" s="18"/>
      <c r="BGM266" s="18"/>
      <c r="BGN266" s="18"/>
      <c r="BGO266" s="18"/>
      <c r="BGP266" s="18"/>
      <c r="BGQ266" s="18"/>
      <c r="BGR266" s="18"/>
      <c r="BGS266" s="18"/>
      <c r="BGT266" s="18"/>
      <c r="BGU266" s="18"/>
      <c r="BGV266" s="18"/>
      <c r="BGW266" s="18"/>
      <c r="BGX266" s="18"/>
      <c r="BGY266" s="18"/>
      <c r="BGZ266" s="18"/>
      <c r="BHA266" s="18"/>
      <c r="BHB266" s="18"/>
      <c r="BHC266" s="18"/>
      <c r="BHD266" s="18"/>
      <c r="BHE266" s="18"/>
      <c r="BHF266" s="18"/>
      <c r="BHG266" s="18"/>
      <c r="BHH266" s="18"/>
      <c r="BHI266" s="18"/>
      <c r="BHJ266" s="18"/>
      <c r="BHK266" s="18"/>
      <c r="BHL266" s="18"/>
      <c r="BHM266" s="18"/>
      <c r="BHN266" s="18"/>
      <c r="BHO266" s="18"/>
      <c r="BHP266" s="18"/>
      <c r="BHQ266" s="18"/>
      <c r="BHR266" s="18"/>
      <c r="BHS266" s="18"/>
      <c r="BHT266" s="18"/>
      <c r="BHU266" s="18"/>
      <c r="BHV266" s="18"/>
      <c r="BHW266" s="18"/>
      <c r="BHX266" s="18"/>
      <c r="BHY266" s="18"/>
      <c r="BHZ266" s="18"/>
      <c r="BIA266" s="18"/>
      <c r="BIB266" s="18"/>
      <c r="BIC266" s="18"/>
      <c r="BID266" s="18"/>
      <c r="BIE266" s="18"/>
      <c r="BIF266" s="18"/>
      <c r="BIG266" s="18"/>
      <c r="BIH266" s="18"/>
      <c r="BII266" s="18"/>
      <c r="BIJ266" s="18"/>
      <c r="BIK266" s="18"/>
      <c r="BIL266" s="18"/>
      <c r="BIM266" s="18"/>
      <c r="BIN266" s="18"/>
      <c r="BIO266" s="18"/>
      <c r="BIP266" s="18"/>
      <c r="BIQ266" s="18"/>
      <c r="BIR266" s="18"/>
      <c r="BIS266" s="18"/>
      <c r="BIT266" s="18"/>
      <c r="BIU266" s="18"/>
      <c r="BIV266" s="18"/>
      <c r="BIW266" s="18"/>
      <c r="BIX266" s="18"/>
      <c r="BIY266" s="18"/>
      <c r="BIZ266" s="18"/>
      <c r="BJA266" s="18"/>
      <c r="BJB266" s="18"/>
      <c r="BJC266" s="18"/>
      <c r="BJD266" s="18"/>
      <c r="BJE266" s="18"/>
      <c r="BJF266" s="18"/>
      <c r="BJG266" s="18"/>
      <c r="BJH266" s="18"/>
      <c r="BJI266" s="18"/>
      <c r="BJJ266" s="18"/>
      <c r="BJK266" s="18"/>
      <c r="BJL266" s="18"/>
      <c r="BJM266" s="18"/>
      <c r="BJN266" s="18"/>
      <c r="BJO266" s="18"/>
      <c r="BJP266" s="18"/>
      <c r="BJQ266" s="18"/>
      <c r="BJR266" s="18"/>
      <c r="BJS266" s="18"/>
      <c r="BJT266" s="18"/>
      <c r="BJU266" s="18"/>
      <c r="BJV266" s="18"/>
      <c r="BJW266" s="18"/>
      <c r="BJX266" s="18"/>
      <c r="BJY266" s="18"/>
      <c r="BJZ266" s="18"/>
      <c r="BKA266" s="18"/>
      <c r="BKB266" s="18"/>
      <c r="BKC266" s="18"/>
      <c r="BKD266" s="18"/>
      <c r="BKE266" s="18"/>
      <c r="BKF266" s="18"/>
      <c r="BKG266" s="18"/>
      <c r="BKH266" s="18"/>
      <c r="BKI266" s="18"/>
      <c r="BKJ266" s="18"/>
      <c r="BKK266" s="18"/>
      <c r="BKL266" s="18"/>
      <c r="BKM266" s="18"/>
      <c r="BKN266" s="18"/>
      <c r="BKO266" s="18"/>
      <c r="BKP266" s="18"/>
      <c r="BKQ266" s="18"/>
      <c r="BKR266" s="18"/>
      <c r="BKS266" s="18"/>
      <c r="BKT266" s="18"/>
      <c r="BKU266" s="18"/>
      <c r="BKV266" s="18"/>
      <c r="BKW266" s="18"/>
      <c r="BKX266" s="18"/>
      <c r="BKY266" s="18"/>
      <c r="BKZ266" s="18"/>
      <c r="BLA266" s="18"/>
      <c r="BLB266" s="18"/>
      <c r="BLC266" s="18"/>
      <c r="BLD266" s="18"/>
      <c r="BLE266" s="18"/>
      <c r="BLF266" s="18"/>
      <c r="BLG266" s="18"/>
      <c r="BLH266" s="18"/>
      <c r="BLI266" s="18"/>
      <c r="BLJ266" s="18"/>
      <c r="BLK266" s="18"/>
      <c r="BLL266" s="18"/>
      <c r="BLM266" s="18"/>
      <c r="BLN266" s="18"/>
      <c r="BLO266" s="18"/>
      <c r="BLP266" s="18"/>
      <c r="BLQ266" s="18"/>
      <c r="BLR266" s="18"/>
      <c r="BLS266" s="18"/>
      <c r="BLT266" s="18"/>
      <c r="BLU266" s="18"/>
      <c r="BLV266" s="18"/>
      <c r="BLW266" s="18"/>
      <c r="BLX266" s="18"/>
      <c r="BLY266" s="18"/>
      <c r="BLZ266" s="18"/>
      <c r="BMA266" s="18"/>
      <c r="BMB266" s="18"/>
      <c r="BMC266" s="18"/>
      <c r="BMD266" s="18"/>
      <c r="BME266" s="18"/>
      <c r="BMF266" s="18"/>
      <c r="BMG266" s="18"/>
      <c r="BMH266" s="18"/>
      <c r="BMI266" s="18"/>
      <c r="BMJ266" s="18"/>
      <c r="BMK266" s="18"/>
      <c r="BML266" s="18"/>
      <c r="BMM266" s="18"/>
      <c r="BMN266" s="18"/>
      <c r="BMO266" s="18"/>
      <c r="BMP266" s="18"/>
      <c r="BMQ266" s="18"/>
      <c r="BMR266" s="18"/>
      <c r="BMS266" s="18"/>
      <c r="BMT266" s="18"/>
      <c r="BMU266" s="18"/>
      <c r="BMV266" s="18"/>
      <c r="BMW266" s="18"/>
      <c r="BMX266" s="18"/>
      <c r="BMY266" s="18"/>
      <c r="BMZ266" s="18"/>
      <c r="BNA266" s="18"/>
      <c r="BNB266" s="18"/>
      <c r="BNC266" s="18"/>
      <c r="BND266" s="18"/>
      <c r="BNE266" s="18"/>
      <c r="BNF266" s="18"/>
      <c r="BNG266" s="18"/>
      <c r="BNH266" s="18"/>
      <c r="BNI266" s="18"/>
      <c r="BNJ266" s="18"/>
      <c r="BNK266" s="18"/>
      <c r="BNL266" s="18"/>
      <c r="BNM266" s="18"/>
      <c r="BNN266" s="18"/>
      <c r="BNO266" s="18"/>
      <c r="BNP266" s="18"/>
      <c r="BNQ266" s="18"/>
      <c r="BNR266" s="18"/>
      <c r="BNS266" s="18"/>
      <c r="BNT266" s="18"/>
      <c r="BNU266" s="18"/>
      <c r="BNV266" s="18"/>
      <c r="BNW266" s="18"/>
      <c r="BNX266" s="18"/>
      <c r="BNY266" s="18"/>
      <c r="BNZ266" s="18"/>
      <c r="BOA266" s="18"/>
      <c r="BOB266" s="18"/>
      <c r="BOC266" s="18"/>
      <c r="BOD266" s="18"/>
      <c r="BOE266" s="18"/>
      <c r="BOF266" s="18"/>
      <c r="BOG266" s="18"/>
      <c r="BOH266" s="18"/>
      <c r="BOI266" s="18"/>
      <c r="BOJ266" s="18"/>
      <c r="BOK266" s="18"/>
      <c r="BOL266" s="18"/>
      <c r="BOM266" s="18"/>
      <c r="BON266" s="18"/>
      <c r="BOO266" s="18"/>
      <c r="BOP266" s="18"/>
      <c r="BOQ266" s="18"/>
      <c r="BOR266" s="18"/>
      <c r="BOS266" s="18"/>
      <c r="BOT266" s="18"/>
      <c r="BOU266" s="18"/>
      <c r="BOV266" s="18"/>
      <c r="BOW266" s="18"/>
      <c r="BOX266" s="18"/>
      <c r="BOY266" s="18"/>
      <c r="BOZ266" s="18"/>
      <c r="BPA266" s="18"/>
      <c r="BPB266" s="18"/>
      <c r="BPC266" s="18"/>
      <c r="BPD266" s="18"/>
      <c r="BPE266" s="18"/>
      <c r="BPF266" s="18"/>
      <c r="BPG266" s="18"/>
      <c r="BPH266" s="18"/>
      <c r="BPI266" s="18"/>
      <c r="BPJ266" s="18"/>
      <c r="BPK266" s="18"/>
      <c r="BPL266" s="18"/>
      <c r="BPM266" s="18"/>
      <c r="BPN266" s="18"/>
      <c r="BPO266" s="18"/>
      <c r="BPP266" s="18"/>
      <c r="BPQ266" s="18"/>
      <c r="BPR266" s="18"/>
      <c r="BPS266" s="18"/>
      <c r="BPT266" s="18"/>
      <c r="BPU266" s="18"/>
      <c r="BPV266" s="18"/>
      <c r="BPW266" s="18"/>
      <c r="BPX266" s="18"/>
      <c r="BPY266" s="18"/>
      <c r="BPZ266" s="18"/>
      <c r="BQA266" s="18"/>
      <c r="BQB266" s="18"/>
      <c r="BQC266" s="18"/>
      <c r="BQD266" s="18"/>
      <c r="BQE266" s="18"/>
      <c r="BQF266" s="18"/>
      <c r="BQG266" s="18"/>
      <c r="BQH266" s="18"/>
      <c r="BQI266" s="18"/>
      <c r="BQJ266" s="18"/>
      <c r="BQK266" s="18"/>
      <c r="BQL266" s="18"/>
      <c r="BQM266" s="18"/>
      <c r="BQN266" s="18"/>
      <c r="BQO266" s="18"/>
      <c r="BQP266" s="18"/>
      <c r="BQQ266" s="18"/>
      <c r="BQR266" s="18"/>
      <c r="BQS266" s="18"/>
      <c r="BQT266" s="18"/>
      <c r="BQU266" s="18"/>
      <c r="BQV266" s="18"/>
      <c r="BQW266" s="18"/>
      <c r="BQX266" s="18"/>
      <c r="BQY266" s="18"/>
      <c r="BQZ266" s="18"/>
      <c r="BRA266" s="18"/>
      <c r="BRB266" s="18"/>
      <c r="BRC266" s="18"/>
      <c r="BRD266" s="18"/>
      <c r="BRE266" s="18"/>
      <c r="BRF266" s="18"/>
      <c r="BRG266" s="18"/>
      <c r="BRH266" s="18"/>
      <c r="BRI266" s="18"/>
      <c r="BRJ266" s="18"/>
      <c r="BRK266" s="18"/>
      <c r="BRL266" s="18"/>
      <c r="BRM266" s="18"/>
      <c r="BRN266" s="18"/>
      <c r="BRO266" s="18"/>
      <c r="BRP266" s="18"/>
      <c r="BRQ266" s="18"/>
      <c r="BRR266" s="18"/>
      <c r="BRS266" s="18"/>
      <c r="BRT266" s="18"/>
      <c r="BRU266" s="18"/>
      <c r="BRV266" s="18"/>
      <c r="BRW266" s="18"/>
      <c r="BRX266" s="18"/>
      <c r="BRY266" s="18"/>
      <c r="BRZ266" s="18"/>
      <c r="BSA266" s="18"/>
      <c r="BSB266" s="18"/>
      <c r="BSC266" s="18"/>
      <c r="BSD266" s="18"/>
      <c r="BSE266" s="18"/>
      <c r="BSF266" s="18"/>
      <c r="BSG266" s="18"/>
      <c r="BSH266" s="18"/>
      <c r="BSI266" s="18"/>
      <c r="BSJ266" s="18"/>
      <c r="BSK266" s="18"/>
      <c r="BSL266" s="18"/>
      <c r="BSM266" s="18"/>
      <c r="BSN266" s="18"/>
      <c r="BSO266" s="18"/>
      <c r="BSP266" s="18"/>
      <c r="BSQ266" s="18"/>
      <c r="BSR266" s="18"/>
      <c r="BSS266" s="18"/>
      <c r="BST266" s="18"/>
      <c r="BSU266" s="18"/>
      <c r="BSV266" s="18"/>
      <c r="BSW266" s="18"/>
      <c r="BSX266" s="18"/>
      <c r="BSY266" s="18"/>
      <c r="BSZ266" s="18"/>
      <c r="BTA266" s="18"/>
      <c r="BTB266" s="18"/>
      <c r="BTC266" s="18"/>
      <c r="BTD266" s="18"/>
      <c r="BTE266" s="18"/>
      <c r="BTF266" s="18"/>
      <c r="BTG266" s="18"/>
      <c r="BTH266" s="18"/>
      <c r="BTI266" s="18"/>
    </row>
    <row r="267" spans="1:1881" s="769" customFormat="1" ht="78.75" hidden="1" customHeight="1" x14ac:dyDescent="0.3">
      <c r="A267" s="108">
        <v>602</v>
      </c>
      <c r="B267" s="671" t="s">
        <v>59</v>
      </c>
      <c r="C267" s="671" t="s">
        <v>317</v>
      </c>
      <c r="D267" s="107" t="s">
        <v>407</v>
      </c>
      <c r="E267" s="669" t="e">
        <f>HLOOKUP($D$2,'2020 Data(H)'!$C$1:$CZ$426,262,FALSE)</f>
        <v>#N/A</v>
      </c>
      <c r="F267" s="294">
        <v>0</v>
      </c>
      <c r="G267" s="773" t="str">
        <f>IF(ISBLANK(F267),"Please do not leave blank","")</f>
        <v/>
      </c>
      <c r="H267" s="730">
        <f>IF(F267&lt;0,"Note: Number is normally positive.",)</f>
        <v>0</v>
      </c>
      <c r="I267" s="79"/>
      <c r="J267" s="575"/>
      <c r="K267" s="18"/>
      <c r="L267" s="18"/>
      <c r="M267" s="18"/>
      <c r="N267" s="296"/>
      <c r="O267" s="18"/>
      <c r="P267" s="18"/>
      <c r="Q267" s="18"/>
      <c r="R267" s="18"/>
      <c r="S267" s="18"/>
      <c r="T267" s="18"/>
      <c r="U267" s="18"/>
      <c r="V267" s="18"/>
      <c r="W267" s="18"/>
      <c r="X267" s="18"/>
      <c r="Y267" s="18"/>
      <c r="Z267" s="108"/>
      <c r="AA267" s="108"/>
      <c r="AB267" s="108"/>
      <c r="AC267" s="108"/>
      <c r="AD267" s="108"/>
      <c r="AE267" s="108"/>
      <c r="AF267" s="108"/>
      <c r="AG267" s="108"/>
      <c r="AH267" s="108"/>
      <c r="AI267" s="108"/>
      <c r="AJ267" s="108"/>
      <c r="AK267" s="108"/>
      <c r="AL267" s="108"/>
      <c r="AM267" s="108"/>
      <c r="AN267" s="108"/>
      <c r="AO267" s="108"/>
      <c r="AP267" s="108"/>
      <c r="AQ267" s="108"/>
      <c r="AR267" s="10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c r="GU267" s="18"/>
      <c r="GV267" s="18"/>
      <c r="GW267" s="18"/>
      <c r="GX267" s="18"/>
      <c r="GY267" s="18"/>
      <c r="GZ267" s="18"/>
      <c r="HA267" s="18"/>
      <c r="HB267" s="18"/>
      <c r="HC267" s="18"/>
      <c r="HD267" s="18"/>
      <c r="HE267" s="18"/>
      <c r="HF267" s="18"/>
      <c r="HG267" s="18"/>
      <c r="HH267" s="18"/>
      <c r="HI267" s="18"/>
      <c r="HJ267" s="18"/>
      <c r="HK267" s="18"/>
      <c r="HL267" s="18"/>
      <c r="HM267" s="18"/>
      <c r="HN267" s="18"/>
      <c r="HO267" s="18"/>
      <c r="HP267" s="18"/>
      <c r="HQ267" s="18"/>
      <c r="HR267" s="18"/>
      <c r="HS267" s="18"/>
      <c r="HT267" s="18"/>
      <c r="HU267" s="18"/>
      <c r="HV267" s="18"/>
      <c r="HW267" s="18"/>
      <c r="HX267" s="18"/>
      <c r="HY267" s="18"/>
      <c r="HZ267" s="18"/>
      <c r="IA267" s="18"/>
      <c r="IB267" s="18"/>
      <c r="IC267" s="18"/>
      <c r="ID267" s="18"/>
      <c r="IE267" s="18"/>
      <c r="IF267" s="18"/>
      <c r="IG267" s="18"/>
      <c r="IH267" s="18"/>
      <c r="II267" s="18"/>
      <c r="IJ267" s="18"/>
      <c r="IK267" s="18"/>
      <c r="IL267" s="18"/>
      <c r="IM267" s="18"/>
      <c r="IN267" s="18"/>
      <c r="IO267" s="18"/>
      <c r="IP267" s="18"/>
      <c r="IQ267" s="18"/>
      <c r="IR267" s="18"/>
      <c r="IS267" s="18"/>
      <c r="IT267" s="18"/>
      <c r="IU267" s="18"/>
      <c r="IV267" s="18"/>
      <c r="IW267" s="18"/>
      <c r="IX267" s="18"/>
      <c r="IY267" s="18"/>
      <c r="IZ267" s="18"/>
      <c r="JA267" s="18"/>
      <c r="JB267" s="18"/>
      <c r="JC267" s="18"/>
      <c r="JD267" s="18"/>
      <c r="JE267" s="18"/>
      <c r="JF267" s="18"/>
      <c r="JG267" s="18"/>
      <c r="JH267" s="18"/>
      <c r="JI267" s="18"/>
      <c r="JJ267" s="18"/>
      <c r="JK267" s="18"/>
      <c r="JL267" s="18"/>
      <c r="JM267" s="18"/>
      <c r="JN267" s="18"/>
      <c r="JO267" s="18"/>
      <c r="JP267" s="18"/>
      <c r="JQ267" s="18"/>
      <c r="JR267" s="18"/>
      <c r="JS267" s="18"/>
      <c r="JT267" s="18"/>
      <c r="JU267" s="18"/>
      <c r="JV267" s="18"/>
      <c r="JW267" s="18"/>
      <c r="JX267" s="18"/>
      <c r="JY267" s="18"/>
      <c r="JZ267" s="18"/>
      <c r="KA267" s="18"/>
      <c r="KB267" s="18"/>
      <c r="KC267" s="18"/>
      <c r="KD267" s="18"/>
      <c r="KE267" s="18"/>
      <c r="KF267" s="18"/>
      <c r="KG267" s="18"/>
      <c r="KH267" s="18"/>
      <c r="KI267" s="18"/>
      <c r="KJ267" s="18"/>
      <c r="KK267" s="18"/>
      <c r="KL267" s="18"/>
      <c r="KM267" s="18"/>
      <c r="KN267" s="18"/>
      <c r="KO267" s="18"/>
      <c r="KP267" s="18"/>
      <c r="KQ267" s="18"/>
      <c r="KR267" s="18"/>
      <c r="KS267" s="18"/>
      <c r="KT267" s="18"/>
      <c r="KU267" s="18"/>
      <c r="KV267" s="18"/>
      <c r="KW267" s="18"/>
      <c r="KX267" s="18"/>
      <c r="KY267" s="18"/>
      <c r="KZ267" s="18"/>
      <c r="LA267" s="18"/>
      <c r="LB267" s="18"/>
      <c r="LC267" s="18"/>
      <c r="LD267" s="18"/>
      <c r="LE267" s="18"/>
      <c r="LF267" s="18"/>
      <c r="LG267" s="18"/>
      <c r="LH267" s="18"/>
      <c r="LI267" s="18"/>
      <c r="LJ267" s="18"/>
      <c r="LK267" s="18"/>
      <c r="LL267" s="18"/>
      <c r="LM267" s="18"/>
      <c r="LN267" s="18"/>
      <c r="LO267" s="18"/>
      <c r="LP267" s="18"/>
      <c r="LQ267" s="18"/>
      <c r="LR267" s="18"/>
      <c r="LS267" s="18"/>
      <c r="LT267" s="18"/>
      <c r="LU267" s="18"/>
      <c r="LV267" s="18"/>
      <c r="LW267" s="18"/>
      <c r="LX267" s="18"/>
      <c r="LY267" s="18"/>
      <c r="LZ267" s="18"/>
      <c r="MA267" s="18"/>
      <c r="MB267" s="18"/>
      <c r="MC267" s="18"/>
      <c r="MD267" s="18"/>
      <c r="ME267" s="18"/>
      <c r="MF267" s="18"/>
      <c r="MG267" s="18"/>
      <c r="MH267" s="18"/>
      <c r="MI267" s="18"/>
      <c r="MJ267" s="18"/>
      <c r="MK267" s="18"/>
      <c r="ML267" s="18"/>
      <c r="MM267" s="18"/>
      <c r="MN267" s="18"/>
      <c r="MO267" s="18"/>
      <c r="MP267" s="18"/>
      <c r="MQ267" s="18"/>
      <c r="MR267" s="18"/>
      <c r="MS267" s="18"/>
      <c r="MT267" s="18"/>
      <c r="MU267" s="18"/>
      <c r="MV267" s="18"/>
      <c r="MW267" s="18"/>
      <c r="MX267" s="18"/>
      <c r="MY267" s="18"/>
      <c r="MZ267" s="18"/>
      <c r="NA267" s="18"/>
      <c r="NB267" s="18"/>
      <c r="NC267" s="18"/>
      <c r="ND267" s="18"/>
      <c r="NE267" s="18"/>
      <c r="NF267" s="18"/>
      <c r="NG267" s="18"/>
      <c r="NH267" s="18"/>
      <c r="NI267" s="18"/>
      <c r="NJ267" s="18"/>
      <c r="NK267" s="18"/>
      <c r="NL267" s="18"/>
      <c r="NM267" s="18"/>
      <c r="NN267" s="18"/>
      <c r="NO267" s="18"/>
      <c r="NP267" s="18"/>
      <c r="NQ267" s="18"/>
      <c r="NR267" s="18"/>
      <c r="NS267" s="18"/>
      <c r="NT267" s="18"/>
      <c r="NU267" s="18"/>
      <c r="NV267" s="18"/>
      <c r="NW267" s="18"/>
      <c r="NX267" s="18"/>
      <c r="NY267" s="18"/>
      <c r="NZ267" s="18"/>
      <c r="OA267" s="18"/>
      <c r="OB267" s="18"/>
      <c r="OC267" s="18"/>
      <c r="OD267" s="18"/>
      <c r="OE267" s="18"/>
      <c r="OF267" s="18"/>
      <c r="OG267" s="18"/>
      <c r="OH267" s="18"/>
      <c r="OI267" s="18"/>
      <c r="OJ267" s="18"/>
      <c r="OK267" s="18"/>
      <c r="OL267" s="18"/>
      <c r="OM267" s="18"/>
      <c r="ON267" s="18"/>
      <c r="OO267" s="18"/>
      <c r="OP267" s="18"/>
      <c r="OQ267" s="18"/>
      <c r="OR267" s="18"/>
      <c r="OS267" s="18"/>
      <c r="OT267" s="18"/>
      <c r="OU267" s="18"/>
      <c r="OV267" s="18"/>
      <c r="OW267" s="18"/>
      <c r="OX267" s="18"/>
      <c r="OY267" s="18"/>
      <c r="OZ267" s="18"/>
      <c r="PA267" s="18"/>
      <c r="PB267" s="18"/>
      <c r="PC267" s="18"/>
      <c r="PD267" s="18"/>
      <c r="PE267" s="18"/>
      <c r="PF267" s="18"/>
      <c r="PG267" s="18"/>
      <c r="PH267" s="18"/>
      <c r="PI267" s="18"/>
      <c r="PJ267" s="18"/>
      <c r="PK267" s="18"/>
      <c r="PL267" s="18"/>
      <c r="PM267" s="18"/>
      <c r="PN267" s="18"/>
      <c r="PO267" s="18"/>
      <c r="PP267" s="18"/>
      <c r="PQ267" s="18"/>
      <c r="PR267" s="18"/>
      <c r="PS267" s="18"/>
      <c r="PT267" s="18"/>
      <c r="PU267" s="18"/>
      <c r="PV267" s="18"/>
      <c r="PW267" s="18"/>
      <c r="PX267" s="18"/>
      <c r="PY267" s="18"/>
      <c r="PZ267" s="18"/>
      <c r="QA267" s="18"/>
      <c r="QB267" s="18"/>
      <c r="QC267" s="18"/>
      <c r="QD267" s="18"/>
      <c r="QE267" s="18"/>
      <c r="QF267" s="18"/>
      <c r="QG267" s="18"/>
      <c r="QH267" s="18"/>
      <c r="QI267" s="18"/>
      <c r="QJ267" s="18"/>
      <c r="QK267" s="18"/>
      <c r="QL267" s="18"/>
      <c r="QM267" s="18"/>
      <c r="QN267" s="18"/>
      <c r="QO267" s="18"/>
      <c r="QP267" s="18"/>
      <c r="QQ267" s="18"/>
      <c r="QR267" s="18"/>
      <c r="QS267" s="18"/>
      <c r="QT267" s="18"/>
      <c r="QU267" s="18"/>
      <c r="QV267" s="18"/>
      <c r="QW267" s="18"/>
      <c r="QX267" s="18"/>
      <c r="QY267" s="18"/>
      <c r="QZ267" s="18"/>
      <c r="RA267" s="18"/>
      <c r="RB267" s="18"/>
      <c r="RC267" s="18"/>
      <c r="RD267" s="18"/>
      <c r="RE267" s="18"/>
      <c r="RF267" s="18"/>
      <c r="RG267" s="18"/>
      <c r="RH267" s="18"/>
      <c r="RI267" s="18"/>
      <c r="RJ267" s="18"/>
      <c r="RK267" s="18"/>
      <c r="RL267" s="18"/>
      <c r="RM267" s="18"/>
      <c r="RN267" s="18"/>
      <c r="RO267" s="18"/>
      <c r="RP267" s="18"/>
      <c r="RQ267" s="18"/>
      <c r="RR267" s="18"/>
      <c r="RS267" s="18"/>
      <c r="RT267" s="18"/>
      <c r="RU267" s="18"/>
      <c r="RV267" s="18"/>
      <c r="RW267" s="18"/>
      <c r="RX267" s="18"/>
      <c r="RY267" s="18"/>
      <c r="RZ267" s="18"/>
      <c r="SA267" s="18"/>
      <c r="SB267" s="18"/>
      <c r="SC267" s="18"/>
      <c r="SD267" s="18"/>
      <c r="SE267" s="18"/>
      <c r="SF267" s="18"/>
      <c r="SG267" s="18"/>
      <c r="SH267" s="18"/>
      <c r="SI267" s="18"/>
      <c r="SJ267" s="18"/>
      <c r="SK267" s="18"/>
      <c r="SL267" s="18"/>
      <c r="SM267" s="18"/>
      <c r="SN267" s="18"/>
      <c r="SO267" s="18"/>
      <c r="SP267" s="18"/>
      <c r="SQ267" s="18"/>
      <c r="SR267" s="18"/>
      <c r="SS267" s="18"/>
      <c r="ST267" s="18"/>
      <c r="SU267" s="18"/>
      <c r="SV267" s="18"/>
      <c r="SW267" s="18"/>
      <c r="SX267" s="18"/>
      <c r="SY267" s="18"/>
      <c r="SZ267" s="18"/>
      <c r="TA267" s="18"/>
      <c r="TB267" s="18"/>
      <c r="TC267" s="18"/>
      <c r="TD267" s="18"/>
      <c r="TE267" s="18"/>
      <c r="TF267" s="18"/>
      <c r="TG267" s="18"/>
      <c r="TH267" s="18"/>
      <c r="TI267" s="18"/>
      <c r="TJ267" s="18"/>
      <c r="TK267" s="18"/>
      <c r="TL267" s="18"/>
      <c r="TM267" s="18"/>
      <c r="TN267" s="18"/>
      <c r="TO267" s="18"/>
      <c r="TP267" s="18"/>
      <c r="TQ267" s="18"/>
      <c r="TR267" s="18"/>
      <c r="TS267" s="18"/>
      <c r="TT267" s="18"/>
      <c r="TU267" s="18"/>
      <c r="TV267" s="18"/>
      <c r="TW267" s="18"/>
      <c r="TX267" s="18"/>
      <c r="TY267" s="18"/>
      <c r="TZ267" s="18"/>
      <c r="UA267" s="18"/>
      <c r="UB267" s="18"/>
      <c r="UC267" s="18"/>
      <c r="UD267" s="18"/>
      <c r="UE267" s="18"/>
      <c r="UF267" s="18"/>
      <c r="UG267" s="18"/>
      <c r="UH267" s="18"/>
      <c r="UI267" s="18"/>
      <c r="UJ267" s="18"/>
      <c r="UK267" s="18"/>
      <c r="UL267" s="18"/>
      <c r="UM267" s="18"/>
      <c r="UN267" s="18"/>
      <c r="UO267" s="18"/>
      <c r="UP267" s="18"/>
      <c r="UQ267" s="18"/>
      <c r="UR267" s="18"/>
      <c r="US267" s="18"/>
      <c r="UT267" s="18"/>
      <c r="UU267" s="18"/>
      <c r="UV267" s="18"/>
      <c r="UW267" s="18"/>
      <c r="UX267" s="18"/>
      <c r="UY267" s="18"/>
      <c r="UZ267" s="18"/>
      <c r="VA267" s="18"/>
      <c r="VB267" s="18"/>
      <c r="VC267" s="18"/>
      <c r="VD267" s="18"/>
      <c r="VE267" s="18"/>
      <c r="VF267" s="18"/>
      <c r="VG267" s="18"/>
      <c r="VH267" s="18"/>
      <c r="VI267" s="18"/>
      <c r="VJ267" s="18"/>
      <c r="VK267" s="18"/>
      <c r="VL267" s="18"/>
      <c r="VM267" s="18"/>
      <c r="VN267" s="18"/>
      <c r="VO267" s="18"/>
      <c r="VP267" s="18"/>
      <c r="VQ267" s="18"/>
      <c r="VR267" s="18"/>
      <c r="VS267" s="18"/>
      <c r="VT267" s="18"/>
      <c r="VU267" s="18"/>
      <c r="VV267" s="18"/>
      <c r="VW267" s="18"/>
      <c r="VX267" s="18"/>
      <c r="VY267" s="18"/>
      <c r="VZ267" s="18"/>
      <c r="WA267" s="18"/>
      <c r="WB267" s="18"/>
      <c r="WC267" s="18"/>
      <c r="WD267" s="18"/>
      <c r="WE267" s="18"/>
      <c r="WF267" s="18"/>
      <c r="WG267" s="18"/>
      <c r="WH267" s="18"/>
      <c r="WI267" s="18"/>
      <c r="WJ267" s="18"/>
      <c r="WK267" s="18"/>
      <c r="WL267" s="18"/>
      <c r="WM267" s="18"/>
      <c r="WN267" s="18"/>
      <c r="WO267" s="18"/>
      <c r="WP267" s="18"/>
      <c r="WQ267" s="18"/>
      <c r="WR267" s="18"/>
      <c r="WS267" s="18"/>
      <c r="WT267" s="18"/>
      <c r="WU267" s="18"/>
      <c r="WV267" s="18"/>
      <c r="WW267" s="18"/>
      <c r="WX267" s="18"/>
      <c r="WY267" s="18"/>
      <c r="WZ267" s="18"/>
      <c r="XA267" s="18"/>
      <c r="XB267" s="18"/>
      <c r="XC267" s="18"/>
      <c r="XD267" s="18"/>
      <c r="XE267" s="18"/>
      <c r="XF267" s="18"/>
      <c r="XG267" s="18"/>
      <c r="XH267" s="18"/>
      <c r="XI267" s="18"/>
      <c r="XJ267" s="18"/>
      <c r="XK267" s="18"/>
      <c r="XL267" s="18"/>
      <c r="XM267" s="18"/>
      <c r="XN267" s="18"/>
      <c r="XO267" s="18"/>
      <c r="XP267" s="18"/>
      <c r="XQ267" s="18"/>
      <c r="XR267" s="18"/>
      <c r="XS267" s="18"/>
      <c r="XT267" s="18"/>
      <c r="XU267" s="18"/>
      <c r="XV267" s="18"/>
      <c r="XW267" s="18"/>
      <c r="XX267" s="18"/>
      <c r="XY267" s="18"/>
      <c r="XZ267" s="18"/>
      <c r="YA267" s="18"/>
      <c r="YB267" s="18"/>
      <c r="YC267" s="18"/>
      <c r="YD267" s="18"/>
      <c r="YE267" s="18"/>
      <c r="YF267" s="18"/>
      <c r="YG267" s="18"/>
      <c r="YH267" s="18"/>
      <c r="YI267" s="18"/>
      <c r="YJ267" s="18"/>
      <c r="YK267" s="18"/>
      <c r="YL267" s="18"/>
      <c r="YM267" s="18"/>
      <c r="YN267" s="18"/>
      <c r="YO267" s="18"/>
      <c r="YP267" s="18"/>
      <c r="YQ267" s="18"/>
      <c r="YR267" s="18"/>
      <c r="YS267" s="18"/>
      <c r="YT267" s="18"/>
      <c r="YU267" s="18"/>
      <c r="YV267" s="18"/>
      <c r="YW267" s="18"/>
      <c r="YX267" s="18"/>
      <c r="YY267" s="18"/>
      <c r="YZ267" s="18"/>
      <c r="ZA267" s="18"/>
      <c r="ZB267" s="18"/>
      <c r="ZC267" s="18"/>
      <c r="ZD267" s="18"/>
      <c r="ZE267" s="18"/>
      <c r="ZF267" s="18"/>
      <c r="ZG267" s="18"/>
      <c r="ZH267" s="18"/>
      <c r="ZI267" s="18"/>
      <c r="ZJ267" s="18"/>
      <c r="ZK267" s="18"/>
      <c r="ZL267" s="18"/>
      <c r="ZM267" s="18"/>
      <c r="ZN267" s="18"/>
      <c r="ZO267" s="18"/>
      <c r="ZP267" s="18"/>
      <c r="ZQ267" s="18"/>
      <c r="ZR267" s="18"/>
      <c r="ZS267" s="18"/>
      <c r="ZT267" s="18"/>
      <c r="ZU267" s="18"/>
      <c r="ZV267" s="18"/>
      <c r="ZW267" s="18"/>
      <c r="ZX267" s="18"/>
      <c r="ZY267" s="18"/>
      <c r="ZZ267" s="18"/>
      <c r="AAA267" s="18"/>
      <c r="AAB267" s="18"/>
      <c r="AAC267" s="18"/>
      <c r="AAD267" s="18"/>
      <c r="AAE267" s="18"/>
      <c r="AAF267" s="18"/>
      <c r="AAG267" s="18"/>
      <c r="AAH267" s="18"/>
      <c r="AAI267" s="18"/>
      <c r="AAJ267" s="18"/>
      <c r="AAK267" s="18"/>
      <c r="AAL267" s="18"/>
      <c r="AAM267" s="18"/>
      <c r="AAN267" s="18"/>
      <c r="AAO267" s="18"/>
      <c r="AAP267" s="18"/>
      <c r="AAQ267" s="18"/>
      <c r="AAR267" s="18"/>
      <c r="AAS267" s="18"/>
      <c r="AAT267" s="18"/>
      <c r="AAU267" s="18"/>
      <c r="AAV267" s="18"/>
      <c r="AAW267" s="18"/>
      <c r="AAX267" s="18"/>
      <c r="AAY267" s="18"/>
      <c r="AAZ267" s="18"/>
      <c r="ABA267" s="18"/>
      <c r="ABB267" s="18"/>
      <c r="ABC267" s="18"/>
      <c r="ABD267" s="18"/>
      <c r="ABE267" s="18"/>
      <c r="ABF267" s="18"/>
      <c r="ABG267" s="18"/>
      <c r="ABH267" s="18"/>
      <c r="ABI267" s="18"/>
      <c r="ABJ267" s="18"/>
      <c r="ABK267" s="18"/>
      <c r="ABL267" s="18"/>
      <c r="ABM267" s="18"/>
      <c r="ABN267" s="18"/>
      <c r="ABO267" s="18"/>
      <c r="ABP267" s="18"/>
      <c r="ABQ267" s="18"/>
      <c r="ABR267" s="18"/>
      <c r="ABS267" s="18"/>
      <c r="ABT267" s="18"/>
      <c r="ABU267" s="18"/>
      <c r="ABV267" s="18"/>
      <c r="ABW267" s="18"/>
      <c r="ABX267" s="18"/>
      <c r="ABY267" s="18"/>
      <c r="ABZ267" s="18"/>
      <c r="ACA267" s="18"/>
      <c r="ACB267" s="18"/>
      <c r="ACC267" s="18"/>
      <c r="ACD267" s="18"/>
      <c r="ACE267" s="18"/>
      <c r="ACF267" s="18"/>
      <c r="ACG267" s="18"/>
      <c r="ACH267" s="18"/>
      <c r="ACI267" s="18"/>
      <c r="ACJ267" s="18"/>
      <c r="ACK267" s="18"/>
      <c r="ACL267" s="18"/>
      <c r="ACM267" s="18"/>
      <c r="ACN267" s="18"/>
      <c r="ACO267" s="18"/>
      <c r="ACP267" s="18"/>
      <c r="ACQ267" s="18"/>
      <c r="ACR267" s="18"/>
      <c r="ACS267" s="18"/>
      <c r="ACT267" s="18"/>
      <c r="ACU267" s="18"/>
      <c r="ACV267" s="18"/>
      <c r="ACW267" s="18"/>
      <c r="ACX267" s="18"/>
      <c r="ACY267" s="18"/>
      <c r="ACZ267" s="18"/>
      <c r="ADA267" s="18"/>
      <c r="ADB267" s="18"/>
      <c r="ADC267" s="18"/>
      <c r="ADD267" s="18"/>
      <c r="ADE267" s="18"/>
      <c r="ADF267" s="18"/>
      <c r="ADG267" s="18"/>
      <c r="ADH267" s="18"/>
      <c r="ADI267" s="18"/>
      <c r="ADJ267" s="18"/>
      <c r="ADK267" s="18"/>
      <c r="ADL267" s="18"/>
      <c r="ADM267" s="18"/>
      <c r="ADN267" s="18"/>
      <c r="ADO267" s="18"/>
      <c r="ADP267" s="18"/>
      <c r="ADQ267" s="18"/>
      <c r="ADR267" s="18"/>
      <c r="ADS267" s="18"/>
      <c r="ADT267" s="18"/>
      <c r="ADU267" s="18"/>
      <c r="ADV267" s="18"/>
      <c r="ADW267" s="18"/>
      <c r="ADX267" s="18"/>
      <c r="ADY267" s="18"/>
      <c r="ADZ267" s="18"/>
      <c r="AEA267" s="18"/>
      <c r="AEB267" s="18"/>
      <c r="AEC267" s="18"/>
      <c r="AED267" s="18"/>
      <c r="AEE267" s="18"/>
      <c r="AEF267" s="18"/>
      <c r="AEG267" s="18"/>
      <c r="AEH267" s="18"/>
      <c r="AEI267" s="18"/>
      <c r="AEJ267" s="18"/>
      <c r="AEK267" s="18"/>
      <c r="AEL267" s="18"/>
      <c r="AEM267" s="18"/>
      <c r="AEN267" s="18"/>
      <c r="AEO267" s="18"/>
      <c r="AEP267" s="18"/>
      <c r="AEQ267" s="18"/>
      <c r="AER267" s="18"/>
      <c r="AES267" s="18"/>
      <c r="AET267" s="18"/>
      <c r="AEU267" s="18"/>
      <c r="AEV267" s="18"/>
      <c r="AEW267" s="18"/>
      <c r="AEX267" s="18"/>
      <c r="AEY267" s="18"/>
      <c r="AEZ267" s="18"/>
      <c r="AFA267" s="18"/>
      <c r="AFB267" s="18"/>
      <c r="AFC267" s="18"/>
      <c r="AFD267" s="18"/>
      <c r="AFE267" s="18"/>
      <c r="AFF267" s="18"/>
      <c r="AFG267" s="18"/>
      <c r="AFH267" s="18"/>
      <c r="AFI267" s="18"/>
      <c r="AFJ267" s="18"/>
      <c r="AFK267" s="18"/>
      <c r="AFL267" s="18"/>
      <c r="AFM267" s="18"/>
      <c r="AFN267" s="18"/>
      <c r="AFO267" s="18"/>
      <c r="AFP267" s="18"/>
      <c r="AFQ267" s="18"/>
      <c r="AFR267" s="18"/>
      <c r="AFS267" s="18"/>
      <c r="AFT267" s="18"/>
      <c r="AFU267" s="18"/>
      <c r="AFV267" s="18"/>
      <c r="AFW267" s="18"/>
      <c r="AFX267" s="18"/>
      <c r="AFY267" s="18"/>
      <c r="AFZ267" s="18"/>
      <c r="AGA267" s="18"/>
      <c r="AGB267" s="18"/>
      <c r="AGC267" s="18"/>
      <c r="AGD267" s="18"/>
      <c r="AGE267" s="18"/>
      <c r="AGF267" s="18"/>
      <c r="AGG267" s="18"/>
      <c r="AGH267" s="18"/>
      <c r="AGI267" s="18"/>
      <c r="AGJ267" s="18"/>
      <c r="AGK267" s="18"/>
      <c r="AGL267" s="18"/>
      <c r="AGM267" s="18"/>
      <c r="AGN267" s="18"/>
      <c r="AGO267" s="18"/>
      <c r="AGP267" s="18"/>
      <c r="AGQ267" s="18"/>
      <c r="AGR267" s="18"/>
      <c r="AGS267" s="18"/>
      <c r="AGT267" s="18"/>
      <c r="AGU267" s="18"/>
      <c r="AGV267" s="18"/>
      <c r="AGW267" s="18"/>
      <c r="AGX267" s="18"/>
      <c r="AGY267" s="18"/>
      <c r="AGZ267" s="18"/>
      <c r="AHA267" s="18"/>
      <c r="AHB267" s="18"/>
      <c r="AHC267" s="18"/>
      <c r="AHD267" s="18"/>
      <c r="AHE267" s="18"/>
      <c r="AHF267" s="18"/>
      <c r="AHG267" s="18"/>
      <c r="AHH267" s="18"/>
      <c r="AHI267" s="18"/>
      <c r="AHJ267" s="18"/>
      <c r="AHK267" s="18"/>
      <c r="AHL267" s="18"/>
      <c r="AHM267" s="18"/>
      <c r="AHN267" s="18"/>
      <c r="AHO267" s="18"/>
      <c r="AHP267" s="18"/>
      <c r="AHQ267" s="18"/>
      <c r="AHR267" s="18"/>
      <c r="AHS267" s="18"/>
      <c r="AHT267" s="18"/>
      <c r="AHU267" s="18"/>
      <c r="AHV267" s="18"/>
      <c r="AHW267" s="18"/>
      <c r="AHX267" s="18"/>
      <c r="AHY267" s="18"/>
      <c r="AHZ267" s="18"/>
      <c r="AIA267" s="18"/>
      <c r="AIB267" s="18"/>
      <c r="AIC267" s="18"/>
      <c r="AID267" s="18"/>
      <c r="AIE267" s="18"/>
      <c r="AIF267" s="18"/>
      <c r="AIG267" s="18"/>
      <c r="AIH267" s="18"/>
      <c r="AII267" s="18"/>
      <c r="AIJ267" s="18"/>
      <c r="AIK267" s="18"/>
      <c r="AIL267" s="18"/>
      <c r="AIM267" s="18"/>
      <c r="AIN267" s="18"/>
      <c r="AIO267" s="18"/>
      <c r="AIP267" s="18"/>
      <c r="AIQ267" s="18"/>
      <c r="AIR267" s="18"/>
      <c r="AIS267" s="18"/>
      <c r="AIT267" s="18"/>
      <c r="AIU267" s="18"/>
      <c r="AIV267" s="18"/>
      <c r="AIW267" s="18"/>
      <c r="AIX267" s="18"/>
      <c r="AIY267" s="18"/>
      <c r="AIZ267" s="18"/>
      <c r="AJA267" s="18"/>
      <c r="AJB267" s="18"/>
      <c r="AJC267" s="18"/>
      <c r="AJD267" s="18"/>
      <c r="AJE267" s="18"/>
      <c r="AJF267" s="18"/>
      <c r="AJG267" s="18"/>
      <c r="AJH267" s="18"/>
      <c r="AJI267" s="18"/>
      <c r="AJJ267" s="18"/>
      <c r="AJK267" s="18"/>
      <c r="AJL267" s="18"/>
      <c r="AJM267" s="18"/>
      <c r="AJN267" s="18"/>
      <c r="AJO267" s="18"/>
      <c r="AJP267" s="18"/>
      <c r="AJQ267" s="18"/>
      <c r="AJR267" s="18"/>
      <c r="AJS267" s="18"/>
      <c r="AJT267" s="18"/>
      <c r="AJU267" s="18"/>
      <c r="AJV267" s="18"/>
      <c r="AJW267" s="18"/>
      <c r="AJX267" s="18"/>
      <c r="AJY267" s="18"/>
      <c r="AJZ267" s="18"/>
      <c r="AKA267" s="18"/>
      <c r="AKB267" s="18"/>
      <c r="AKC267" s="18"/>
      <c r="AKD267" s="18"/>
      <c r="AKE267" s="18"/>
      <c r="AKF267" s="18"/>
      <c r="AKG267" s="18"/>
      <c r="AKH267" s="18"/>
      <c r="AKI267" s="18"/>
      <c r="AKJ267" s="18"/>
      <c r="AKK267" s="18"/>
      <c r="AKL267" s="18"/>
      <c r="AKM267" s="18"/>
      <c r="AKN267" s="18"/>
      <c r="AKO267" s="18"/>
      <c r="AKP267" s="18"/>
      <c r="AKQ267" s="18"/>
      <c r="AKR267" s="18"/>
      <c r="AKS267" s="18"/>
      <c r="AKT267" s="18"/>
      <c r="AKU267" s="18"/>
      <c r="AKV267" s="18"/>
      <c r="AKW267" s="18"/>
      <c r="AKX267" s="18"/>
      <c r="AKY267" s="18"/>
      <c r="AKZ267" s="18"/>
      <c r="ALA267" s="18"/>
      <c r="ALB267" s="18"/>
      <c r="ALC267" s="18"/>
      <c r="ALD267" s="18"/>
      <c r="ALE267" s="18"/>
      <c r="ALF267" s="18"/>
      <c r="ALG267" s="18"/>
      <c r="ALH267" s="18"/>
      <c r="ALI267" s="18"/>
      <c r="ALJ267" s="18"/>
      <c r="ALK267" s="18"/>
      <c r="ALL267" s="18"/>
      <c r="ALM267" s="18"/>
      <c r="ALN267" s="18"/>
      <c r="ALO267" s="18"/>
      <c r="ALP267" s="18"/>
      <c r="ALQ267" s="18"/>
      <c r="ALR267" s="18"/>
      <c r="ALS267" s="18"/>
      <c r="ALT267" s="18"/>
      <c r="ALU267" s="18"/>
      <c r="ALV267" s="18"/>
      <c r="ALW267" s="18"/>
      <c r="ALX267" s="18"/>
      <c r="ALY267" s="18"/>
      <c r="ALZ267" s="18"/>
      <c r="AMA267" s="18"/>
      <c r="AMB267" s="18"/>
      <c r="AMC267" s="18"/>
      <c r="AMD267" s="18"/>
      <c r="AME267" s="18"/>
      <c r="AMF267" s="18"/>
      <c r="AMG267" s="18"/>
      <c r="AMH267" s="18"/>
      <c r="AMI267" s="18"/>
      <c r="AMJ267" s="18"/>
      <c r="AMK267" s="18"/>
      <c r="AML267" s="18"/>
      <c r="AMM267" s="18"/>
      <c r="AMN267" s="18"/>
      <c r="AMO267" s="18"/>
      <c r="AMP267" s="18"/>
      <c r="AMQ267" s="18"/>
      <c r="AMR267" s="18"/>
      <c r="AMS267" s="18"/>
      <c r="AMT267" s="18"/>
      <c r="AMU267" s="18"/>
      <c r="AMV267" s="18"/>
      <c r="AMW267" s="18"/>
      <c r="AMX267" s="18"/>
      <c r="AMY267" s="18"/>
      <c r="AMZ267" s="18"/>
      <c r="ANA267" s="18"/>
      <c r="ANB267" s="18"/>
      <c r="ANC267" s="18"/>
      <c r="AND267" s="18"/>
      <c r="ANE267" s="18"/>
      <c r="ANF267" s="18"/>
      <c r="ANG267" s="18"/>
      <c r="ANH267" s="18"/>
      <c r="ANI267" s="18"/>
      <c r="ANJ267" s="18"/>
      <c r="ANK267" s="18"/>
      <c r="ANL267" s="18"/>
      <c r="ANM267" s="18"/>
      <c r="ANN267" s="18"/>
      <c r="ANO267" s="18"/>
      <c r="ANP267" s="18"/>
      <c r="ANQ267" s="18"/>
      <c r="ANR267" s="18"/>
      <c r="ANS267" s="18"/>
      <c r="ANT267" s="18"/>
      <c r="ANU267" s="18"/>
      <c r="ANV267" s="18"/>
      <c r="ANW267" s="18"/>
      <c r="ANX267" s="18"/>
      <c r="ANY267" s="18"/>
      <c r="ANZ267" s="18"/>
      <c r="AOA267" s="18"/>
      <c r="AOB267" s="18"/>
      <c r="AOC267" s="18"/>
      <c r="AOD267" s="18"/>
      <c r="AOE267" s="18"/>
      <c r="AOF267" s="18"/>
      <c r="AOG267" s="18"/>
      <c r="AOH267" s="18"/>
      <c r="AOI267" s="18"/>
      <c r="AOJ267" s="18"/>
      <c r="AOK267" s="18"/>
      <c r="AOL267" s="18"/>
      <c r="AOM267" s="18"/>
      <c r="AON267" s="18"/>
      <c r="AOO267" s="18"/>
      <c r="AOP267" s="18"/>
      <c r="AOQ267" s="18"/>
      <c r="AOR267" s="18"/>
      <c r="AOS267" s="18"/>
      <c r="AOT267" s="18"/>
      <c r="AOU267" s="18"/>
      <c r="AOV267" s="18"/>
      <c r="AOW267" s="18"/>
      <c r="AOX267" s="18"/>
      <c r="AOY267" s="18"/>
      <c r="AOZ267" s="18"/>
      <c r="APA267" s="18"/>
      <c r="APB267" s="18"/>
      <c r="APC267" s="18"/>
      <c r="APD267" s="18"/>
      <c r="APE267" s="18"/>
      <c r="APF267" s="18"/>
      <c r="APG267" s="18"/>
      <c r="APH267" s="18"/>
      <c r="API267" s="18"/>
      <c r="APJ267" s="18"/>
      <c r="APK267" s="18"/>
      <c r="APL267" s="18"/>
      <c r="APM267" s="18"/>
      <c r="APN267" s="18"/>
      <c r="APO267" s="18"/>
      <c r="APP267" s="18"/>
      <c r="APQ267" s="18"/>
      <c r="APR267" s="18"/>
      <c r="APS267" s="18"/>
      <c r="APT267" s="18"/>
      <c r="APU267" s="18"/>
      <c r="APV267" s="18"/>
      <c r="APW267" s="18"/>
      <c r="APX267" s="18"/>
      <c r="APY267" s="18"/>
      <c r="APZ267" s="18"/>
      <c r="AQA267" s="18"/>
      <c r="AQB267" s="18"/>
      <c r="AQC267" s="18"/>
      <c r="AQD267" s="18"/>
      <c r="AQE267" s="18"/>
      <c r="AQF267" s="18"/>
      <c r="AQG267" s="18"/>
      <c r="AQH267" s="18"/>
      <c r="AQI267" s="18"/>
      <c r="AQJ267" s="18"/>
      <c r="AQK267" s="18"/>
      <c r="AQL267" s="18"/>
      <c r="AQM267" s="18"/>
      <c r="AQN267" s="18"/>
      <c r="AQO267" s="18"/>
      <c r="AQP267" s="18"/>
      <c r="AQQ267" s="18"/>
      <c r="AQR267" s="18"/>
      <c r="AQS267" s="18"/>
      <c r="AQT267" s="18"/>
      <c r="AQU267" s="18"/>
      <c r="AQV267" s="18"/>
      <c r="AQW267" s="18"/>
      <c r="AQX267" s="18"/>
      <c r="AQY267" s="18"/>
      <c r="AQZ267" s="18"/>
      <c r="ARA267" s="18"/>
      <c r="ARB267" s="18"/>
      <c r="ARC267" s="18"/>
      <c r="ARD267" s="18"/>
      <c r="ARE267" s="18"/>
      <c r="ARF267" s="18"/>
      <c r="ARG267" s="18"/>
      <c r="ARH267" s="18"/>
      <c r="ARI267" s="18"/>
      <c r="ARJ267" s="18"/>
      <c r="ARK267" s="18"/>
      <c r="ARL267" s="18"/>
      <c r="ARM267" s="18"/>
      <c r="ARN267" s="18"/>
      <c r="ARO267" s="18"/>
      <c r="ARP267" s="18"/>
      <c r="ARQ267" s="18"/>
      <c r="ARR267" s="18"/>
      <c r="ARS267" s="18"/>
      <c r="ART267" s="18"/>
      <c r="ARU267" s="18"/>
      <c r="ARV267" s="18"/>
      <c r="ARW267" s="18"/>
      <c r="ARX267" s="18"/>
      <c r="ARY267" s="18"/>
      <c r="ARZ267" s="18"/>
      <c r="ASA267" s="18"/>
      <c r="ASB267" s="18"/>
      <c r="ASC267" s="18"/>
      <c r="ASD267" s="18"/>
      <c r="ASE267" s="18"/>
      <c r="ASF267" s="18"/>
      <c r="ASG267" s="18"/>
      <c r="ASH267" s="18"/>
      <c r="ASI267" s="18"/>
      <c r="ASJ267" s="18"/>
      <c r="ASK267" s="18"/>
      <c r="ASL267" s="18"/>
      <c r="ASM267" s="18"/>
      <c r="ASN267" s="18"/>
      <c r="ASO267" s="18"/>
      <c r="ASP267" s="18"/>
      <c r="ASQ267" s="18"/>
      <c r="ASR267" s="18"/>
      <c r="ASS267" s="18"/>
      <c r="AST267" s="18"/>
      <c r="ASU267" s="18"/>
      <c r="ASV267" s="18"/>
      <c r="ASW267" s="18"/>
      <c r="ASX267" s="18"/>
      <c r="ASY267" s="18"/>
      <c r="ASZ267" s="18"/>
      <c r="ATA267" s="18"/>
      <c r="ATB267" s="18"/>
      <c r="ATC267" s="18"/>
      <c r="ATD267" s="18"/>
      <c r="ATE267" s="18"/>
      <c r="ATF267" s="18"/>
      <c r="ATG267" s="18"/>
      <c r="ATH267" s="18"/>
      <c r="ATI267" s="18"/>
      <c r="ATJ267" s="18"/>
      <c r="ATK267" s="18"/>
      <c r="ATL267" s="18"/>
      <c r="ATM267" s="18"/>
      <c r="ATN267" s="18"/>
      <c r="ATO267" s="18"/>
      <c r="ATP267" s="18"/>
      <c r="ATQ267" s="18"/>
      <c r="ATR267" s="18"/>
      <c r="ATS267" s="18"/>
      <c r="ATT267" s="18"/>
      <c r="ATU267" s="18"/>
      <c r="ATV267" s="18"/>
      <c r="ATW267" s="18"/>
      <c r="ATX267" s="18"/>
      <c r="ATY267" s="18"/>
      <c r="ATZ267" s="18"/>
      <c r="AUA267" s="18"/>
      <c r="AUB267" s="18"/>
      <c r="AUC267" s="18"/>
      <c r="AUD267" s="18"/>
      <c r="AUE267" s="18"/>
      <c r="AUF267" s="18"/>
      <c r="AUG267" s="18"/>
      <c r="AUH267" s="18"/>
      <c r="AUI267" s="18"/>
      <c r="AUJ267" s="18"/>
      <c r="AUK267" s="18"/>
      <c r="AUL267" s="18"/>
      <c r="AUM267" s="18"/>
      <c r="AUN267" s="18"/>
      <c r="AUO267" s="18"/>
      <c r="AUP267" s="18"/>
      <c r="AUQ267" s="18"/>
      <c r="AUR267" s="18"/>
      <c r="AUS267" s="18"/>
      <c r="AUT267" s="18"/>
      <c r="AUU267" s="18"/>
      <c r="AUV267" s="18"/>
      <c r="AUW267" s="18"/>
      <c r="AUX267" s="18"/>
      <c r="AUY267" s="18"/>
      <c r="AUZ267" s="18"/>
      <c r="AVA267" s="18"/>
      <c r="AVB267" s="18"/>
      <c r="AVC267" s="18"/>
      <c r="AVD267" s="18"/>
      <c r="AVE267" s="18"/>
      <c r="AVF267" s="18"/>
      <c r="AVG267" s="18"/>
      <c r="AVH267" s="18"/>
      <c r="AVI267" s="18"/>
      <c r="AVJ267" s="18"/>
      <c r="AVK267" s="18"/>
      <c r="AVL267" s="18"/>
      <c r="AVM267" s="18"/>
      <c r="AVN267" s="18"/>
      <c r="AVO267" s="18"/>
      <c r="AVP267" s="18"/>
      <c r="AVQ267" s="18"/>
      <c r="AVR267" s="18"/>
      <c r="AVS267" s="18"/>
      <c r="AVT267" s="18"/>
      <c r="AVU267" s="18"/>
      <c r="AVV267" s="18"/>
      <c r="AVW267" s="18"/>
      <c r="AVX267" s="18"/>
      <c r="AVY267" s="18"/>
      <c r="AVZ267" s="18"/>
      <c r="AWA267" s="18"/>
      <c r="AWB267" s="18"/>
      <c r="AWC267" s="18"/>
      <c r="AWD267" s="18"/>
      <c r="AWE267" s="18"/>
      <c r="AWF267" s="18"/>
      <c r="AWG267" s="18"/>
      <c r="AWH267" s="18"/>
      <c r="AWI267" s="18"/>
      <c r="AWJ267" s="18"/>
      <c r="AWK267" s="18"/>
      <c r="AWL267" s="18"/>
      <c r="AWM267" s="18"/>
      <c r="AWN267" s="18"/>
      <c r="AWO267" s="18"/>
      <c r="AWP267" s="18"/>
      <c r="AWQ267" s="18"/>
      <c r="AWR267" s="18"/>
      <c r="AWS267" s="18"/>
      <c r="AWT267" s="18"/>
      <c r="AWU267" s="18"/>
      <c r="AWV267" s="18"/>
      <c r="AWW267" s="18"/>
      <c r="AWX267" s="18"/>
      <c r="AWY267" s="18"/>
      <c r="AWZ267" s="18"/>
      <c r="AXA267" s="18"/>
      <c r="AXB267" s="18"/>
      <c r="AXC267" s="18"/>
      <c r="AXD267" s="18"/>
      <c r="AXE267" s="18"/>
      <c r="AXF267" s="18"/>
      <c r="AXG267" s="18"/>
      <c r="AXH267" s="18"/>
      <c r="AXI267" s="18"/>
      <c r="AXJ267" s="18"/>
      <c r="AXK267" s="18"/>
      <c r="AXL267" s="18"/>
      <c r="AXM267" s="18"/>
      <c r="AXN267" s="18"/>
      <c r="AXO267" s="18"/>
      <c r="AXP267" s="18"/>
      <c r="AXQ267" s="18"/>
      <c r="AXR267" s="18"/>
      <c r="AXS267" s="18"/>
      <c r="AXT267" s="18"/>
      <c r="AXU267" s="18"/>
      <c r="AXV267" s="18"/>
      <c r="AXW267" s="18"/>
      <c r="AXX267" s="18"/>
      <c r="AXY267" s="18"/>
      <c r="AXZ267" s="18"/>
      <c r="AYA267" s="18"/>
      <c r="AYB267" s="18"/>
      <c r="AYC267" s="18"/>
      <c r="AYD267" s="18"/>
      <c r="AYE267" s="18"/>
      <c r="AYF267" s="18"/>
      <c r="AYG267" s="18"/>
      <c r="AYH267" s="18"/>
      <c r="AYI267" s="18"/>
      <c r="AYJ267" s="18"/>
      <c r="AYK267" s="18"/>
      <c r="AYL267" s="18"/>
      <c r="AYM267" s="18"/>
      <c r="AYN267" s="18"/>
      <c r="AYO267" s="18"/>
      <c r="AYP267" s="18"/>
      <c r="AYQ267" s="18"/>
      <c r="AYR267" s="18"/>
      <c r="AYS267" s="18"/>
      <c r="AYT267" s="18"/>
      <c r="AYU267" s="18"/>
      <c r="AYV267" s="18"/>
      <c r="AYW267" s="18"/>
      <c r="AYX267" s="18"/>
      <c r="AYY267" s="18"/>
      <c r="AYZ267" s="18"/>
      <c r="AZA267" s="18"/>
      <c r="AZB267" s="18"/>
      <c r="AZC267" s="18"/>
      <c r="AZD267" s="18"/>
      <c r="AZE267" s="18"/>
      <c r="AZF267" s="18"/>
      <c r="AZG267" s="18"/>
      <c r="AZH267" s="18"/>
      <c r="AZI267" s="18"/>
      <c r="AZJ267" s="18"/>
      <c r="AZK267" s="18"/>
      <c r="AZL267" s="18"/>
      <c r="AZM267" s="18"/>
      <c r="AZN267" s="18"/>
      <c r="AZO267" s="18"/>
      <c r="AZP267" s="18"/>
      <c r="AZQ267" s="18"/>
      <c r="AZR267" s="18"/>
      <c r="AZS267" s="18"/>
      <c r="AZT267" s="18"/>
      <c r="AZU267" s="18"/>
      <c r="AZV267" s="18"/>
      <c r="AZW267" s="18"/>
      <c r="AZX267" s="18"/>
      <c r="AZY267" s="18"/>
      <c r="AZZ267" s="18"/>
      <c r="BAA267" s="18"/>
      <c r="BAB267" s="18"/>
      <c r="BAC267" s="18"/>
      <c r="BAD267" s="18"/>
      <c r="BAE267" s="18"/>
      <c r="BAF267" s="18"/>
      <c r="BAG267" s="18"/>
      <c r="BAH267" s="18"/>
      <c r="BAI267" s="18"/>
      <c r="BAJ267" s="18"/>
      <c r="BAK267" s="18"/>
      <c r="BAL267" s="18"/>
      <c r="BAM267" s="18"/>
      <c r="BAN267" s="18"/>
      <c r="BAO267" s="18"/>
      <c r="BAP267" s="18"/>
      <c r="BAQ267" s="18"/>
      <c r="BAR267" s="18"/>
      <c r="BAS267" s="18"/>
      <c r="BAT267" s="18"/>
      <c r="BAU267" s="18"/>
      <c r="BAV267" s="18"/>
      <c r="BAW267" s="18"/>
      <c r="BAX267" s="18"/>
      <c r="BAY267" s="18"/>
      <c r="BAZ267" s="18"/>
      <c r="BBA267" s="18"/>
      <c r="BBB267" s="18"/>
      <c r="BBC267" s="18"/>
      <c r="BBD267" s="18"/>
      <c r="BBE267" s="18"/>
      <c r="BBF267" s="18"/>
      <c r="BBG267" s="18"/>
      <c r="BBH267" s="18"/>
      <c r="BBI267" s="18"/>
      <c r="BBJ267" s="18"/>
      <c r="BBK267" s="18"/>
      <c r="BBL267" s="18"/>
      <c r="BBM267" s="18"/>
      <c r="BBN267" s="18"/>
      <c r="BBO267" s="18"/>
      <c r="BBP267" s="18"/>
      <c r="BBQ267" s="18"/>
      <c r="BBR267" s="18"/>
      <c r="BBS267" s="18"/>
      <c r="BBT267" s="18"/>
      <c r="BBU267" s="18"/>
      <c r="BBV267" s="18"/>
      <c r="BBW267" s="18"/>
      <c r="BBX267" s="18"/>
      <c r="BBY267" s="18"/>
      <c r="BBZ267" s="18"/>
      <c r="BCA267" s="18"/>
      <c r="BCB267" s="18"/>
      <c r="BCC267" s="18"/>
      <c r="BCD267" s="18"/>
      <c r="BCE267" s="18"/>
      <c r="BCF267" s="18"/>
      <c r="BCG267" s="18"/>
      <c r="BCH267" s="18"/>
      <c r="BCI267" s="18"/>
      <c r="BCJ267" s="18"/>
      <c r="BCK267" s="18"/>
      <c r="BCL267" s="18"/>
      <c r="BCM267" s="18"/>
      <c r="BCN267" s="18"/>
      <c r="BCO267" s="18"/>
      <c r="BCP267" s="18"/>
      <c r="BCQ267" s="18"/>
      <c r="BCR267" s="18"/>
      <c r="BCS267" s="18"/>
      <c r="BCT267" s="18"/>
      <c r="BCU267" s="18"/>
      <c r="BCV267" s="18"/>
      <c r="BCW267" s="18"/>
      <c r="BCX267" s="18"/>
      <c r="BCY267" s="18"/>
      <c r="BCZ267" s="18"/>
      <c r="BDA267" s="18"/>
      <c r="BDB267" s="18"/>
      <c r="BDC267" s="18"/>
      <c r="BDD267" s="18"/>
      <c r="BDE267" s="18"/>
      <c r="BDF267" s="18"/>
      <c r="BDG267" s="18"/>
      <c r="BDH267" s="18"/>
      <c r="BDI267" s="18"/>
      <c r="BDJ267" s="18"/>
      <c r="BDK267" s="18"/>
      <c r="BDL267" s="18"/>
      <c r="BDM267" s="18"/>
      <c r="BDN267" s="18"/>
      <c r="BDO267" s="18"/>
      <c r="BDP267" s="18"/>
      <c r="BDQ267" s="18"/>
      <c r="BDR267" s="18"/>
      <c r="BDS267" s="18"/>
      <c r="BDT267" s="18"/>
      <c r="BDU267" s="18"/>
      <c r="BDV267" s="18"/>
      <c r="BDW267" s="18"/>
      <c r="BDX267" s="18"/>
      <c r="BDY267" s="18"/>
      <c r="BDZ267" s="18"/>
      <c r="BEA267" s="18"/>
      <c r="BEB267" s="18"/>
      <c r="BEC267" s="18"/>
      <c r="BED267" s="18"/>
      <c r="BEE267" s="18"/>
      <c r="BEF267" s="18"/>
      <c r="BEG267" s="18"/>
      <c r="BEH267" s="18"/>
      <c r="BEI267" s="18"/>
      <c r="BEJ267" s="18"/>
      <c r="BEK267" s="18"/>
      <c r="BEL267" s="18"/>
      <c r="BEM267" s="18"/>
      <c r="BEN267" s="18"/>
      <c r="BEO267" s="18"/>
      <c r="BEP267" s="18"/>
      <c r="BEQ267" s="18"/>
      <c r="BER267" s="18"/>
      <c r="BES267" s="18"/>
      <c r="BET267" s="18"/>
      <c r="BEU267" s="18"/>
      <c r="BEV267" s="18"/>
      <c r="BEW267" s="18"/>
      <c r="BEX267" s="18"/>
      <c r="BEY267" s="18"/>
      <c r="BEZ267" s="18"/>
      <c r="BFA267" s="18"/>
      <c r="BFB267" s="18"/>
      <c r="BFC267" s="18"/>
      <c r="BFD267" s="18"/>
      <c r="BFE267" s="18"/>
      <c r="BFF267" s="18"/>
      <c r="BFG267" s="18"/>
      <c r="BFH267" s="18"/>
      <c r="BFI267" s="18"/>
      <c r="BFJ267" s="18"/>
      <c r="BFK267" s="18"/>
      <c r="BFL267" s="18"/>
      <c r="BFM267" s="18"/>
      <c r="BFN267" s="18"/>
      <c r="BFO267" s="18"/>
      <c r="BFP267" s="18"/>
      <c r="BFQ267" s="18"/>
      <c r="BFR267" s="18"/>
      <c r="BFS267" s="18"/>
      <c r="BFT267" s="18"/>
      <c r="BFU267" s="18"/>
      <c r="BFV267" s="18"/>
      <c r="BFW267" s="18"/>
      <c r="BFX267" s="18"/>
      <c r="BFY267" s="18"/>
      <c r="BFZ267" s="18"/>
      <c r="BGA267" s="18"/>
      <c r="BGB267" s="18"/>
      <c r="BGC267" s="18"/>
      <c r="BGD267" s="18"/>
      <c r="BGE267" s="18"/>
      <c r="BGF267" s="18"/>
      <c r="BGG267" s="18"/>
      <c r="BGH267" s="18"/>
      <c r="BGI267" s="18"/>
      <c r="BGJ267" s="18"/>
      <c r="BGK267" s="18"/>
      <c r="BGL267" s="18"/>
      <c r="BGM267" s="18"/>
      <c r="BGN267" s="18"/>
      <c r="BGO267" s="18"/>
      <c r="BGP267" s="18"/>
      <c r="BGQ267" s="18"/>
      <c r="BGR267" s="18"/>
      <c r="BGS267" s="18"/>
      <c r="BGT267" s="18"/>
      <c r="BGU267" s="18"/>
      <c r="BGV267" s="18"/>
      <c r="BGW267" s="18"/>
      <c r="BGX267" s="18"/>
      <c r="BGY267" s="18"/>
      <c r="BGZ267" s="18"/>
      <c r="BHA267" s="18"/>
      <c r="BHB267" s="18"/>
      <c r="BHC267" s="18"/>
      <c r="BHD267" s="18"/>
      <c r="BHE267" s="18"/>
      <c r="BHF267" s="18"/>
      <c r="BHG267" s="18"/>
      <c r="BHH267" s="18"/>
      <c r="BHI267" s="18"/>
      <c r="BHJ267" s="18"/>
      <c r="BHK267" s="18"/>
      <c r="BHL267" s="18"/>
      <c r="BHM267" s="18"/>
      <c r="BHN267" s="18"/>
      <c r="BHO267" s="18"/>
      <c r="BHP267" s="18"/>
      <c r="BHQ267" s="18"/>
      <c r="BHR267" s="18"/>
      <c r="BHS267" s="18"/>
      <c r="BHT267" s="18"/>
      <c r="BHU267" s="18"/>
      <c r="BHV267" s="18"/>
      <c r="BHW267" s="18"/>
      <c r="BHX267" s="18"/>
      <c r="BHY267" s="18"/>
      <c r="BHZ267" s="18"/>
      <c r="BIA267" s="18"/>
      <c r="BIB267" s="18"/>
      <c r="BIC267" s="18"/>
      <c r="BID267" s="18"/>
      <c r="BIE267" s="18"/>
      <c r="BIF267" s="18"/>
      <c r="BIG267" s="18"/>
      <c r="BIH267" s="18"/>
      <c r="BII267" s="18"/>
      <c r="BIJ267" s="18"/>
      <c r="BIK267" s="18"/>
      <c r="BIL267" s="18"/>
      <c r="BIM267" s="18"/>
      <c r="BIN267" s="18"/>
      <c r="BIO267" s="18"/>
      <c r="BIP267" s="18"/>
      <c r="BIQ267" s="18"/>
      <c r="BIR267" s="18"/>
      <c r="BIS267" s="18"/>
      <c r="BIT267" s="18"/>
      <c r="BIU267" s="18"/>
      <c r="BIV267" s="18"/>
      <c r="BIW267" s="18"/>
      <c r="BIX267" s="18"/>
      <c r="BIY267" s="18"/>
      <c r="BIZ267" s="18"/>
      <c r="BJA267" s="18"/>
      <c r="BJB267" s="18"/>
      <c r="BJC267" s="18"/>
      <c r="BJD267" s="18"/>
      <c r="BJE267" s="18"/>
      <c r="BJF267" s="18"/>
      <c r="BJG267" s="18"/>
      <c r="BJH267" s="18"/>
      <c r="BJI267" s="18"/>
      <c r="BJJ267" s="18"/>
      <c r="BJK267" s="18"/>
      <c r="BJL267" s="18"/>
      <c r="BJM267" s="18"/>
      <c r="BJN267" s="18"/>
      <c r="BJO267" s="18"/>
      <c r="BJP267" s="18"/>
      <c r="BJQ267" s="18"/>
      <c r="BJR267" s="18"/>
      <c r="BJS267" s="18"/>
      <c r="BJT267" s="18"/>
      <c r="BJU267" s="18"/>
      <c r="BJV267" s="18"/>
      <c r="BJW267" s="18"/>
      <c r="BJX267" s="18"/>
      <c r="BJY267" s="18"/>
      <c r="BJZ267" s="18"/>
      <c r="BKA267" s="18"/>
      <c r="BKB267" s="18"/>
      <c r="BKC267" s="18"/>
      <c r="BKD267" s="18"/>
      <c r="BKE267" s="18"/>
      <c r="BKF267" s="18"/>
      <c r="BKG267" s="18"/>
      <c r="BKH267" s="18"/>
      <c r="BKI267" s="18"/>
      <c r="BKJ267" s="18"/>
      <c r="BKK267" s="18"/>
      <c r="BKL267" s="18"/>
      <c r="BKM267" s="18"/>
      <c r="BKN267" s="18"/>
      <c r="BKO267" s="18"/>
      <c r="BKP267" s="18"/>
      <c r="BKQ267" s="18"/>
      <c r="BKR267" s="18"/>
      <c r="BKS267" s="18"/>
      <c r="BKT267" s="18"/>
      <c r="BKU267" s="18"/>
      <c r="BKV267" s="18"/>
      <c r="BKW267" s="18"/>
      <c r="BKX267" s="18"/>
      <c r="BKY267" s="18"/>
      <c r="BKZ267" s="18"/>
      <c r="BLA267" s="18"/>
      <c r="BLB267" s="18"/>
      <c r="BLC267" s="18"/>
      <c r="BLD267" s="18"/>
      <c r="BLE267" s="18"/>
      <c r="BLF267" s="18"/>
      <c r="BLG267" s="18"/>
      <c r="BLH267" s="18"/>
      <c r="BLI267" s="18"/>
      <c r="BLJ267" s="18"/>
      <c r="BLK267" s="18"/>
      <c r="BLL267" s="18"/>
      <c r="BLM267" s="18"/>
      <c r="BLN267" s="18"/>
      <c r="BLO267" s="18"/>
      <c r="BLP267" s="18"/>
      <c r="BLQ267" s="18"/>
      <c r="BLR267" s="18"/>
      <c r="BLS267" s="18"/>
      <c r="BLT267" s="18"/>
      <c r="BLU267" s="18"/>
      <c r="BLV267" s="18"/>
      <c r="BLW267" s="18"/>
      <c r="BLX267" s="18"/>
      <c r="BLY267" s="18"/>
      <c r="BLZ267" s="18"/>
      <c r="BMA267" s="18"/>
      <c r="BMB267" s="18"/>
      <c r="BMC267" s="18"/>
      <c r="BMD267" s="18"/>
      <c r="BME267" s="18"/>
      <c r="BMF267" s="18"/>
      <c r="BMG267" s="18"/>
      <c r="BMH267" s="18"/>
      <c r="BMI267" s="18"/>
      <c r="BMJ267" s="18"/>
      <c r="BMK267" s="18"/>
      <c r="BML267" s="18"/>
      <c r="BMM267" s="18"/>
      <c r="BMN267" s="18"/>
      <c r="BMO267" s="18"/>
      <c r="BMP267" s="18"/>
      <c r="BMQ267" s="18"/>
      <c r="BMR267" s="18"/>
      <c r="BMS267" s="18"/>
      <c r="BMT267" s="18"/>
      <c r="BMU267" s="18"/>
      <c r="BMV267" s="18"/>
      <c r="BMW267" s="18"/>
      <c r="BMX267" s="18"/>
      <c r="BMY267" s="18"/>
      <c r="BMZ267" s="18"/>
      <c r="BNA267" s="18"/>
      <c r="BNB267" s="18"/>
      <c r="BNC267" s="18"/>
      <c r="BND267" s="18"/>
      <c r="BNE267" s="18"/>
      <c r="BNF267" s="18"/>
      <c r="BNG267" s="18"/>
      <c r="BNH267" s="18"/>
      <c r="BNI267" s="18"/>
      <c r="BNJ267" s="18"/>
      <c r="BNK267" s="18"/>
      <c r="BNL267" s="18"/>
      <c r="BNM267" s="18"/>
      <c r="BNN267" s="18"/>
      <c r="BNO267" s="18"/>
      <c r="BNP267" s="18"/>
      <c r="BNQ267" s="18"/>
      <c r="BNR267" s="18"/>
      <c r="BNS267" s="18"/>
      <c r="BNT267" s="18"/>
      <c r="BNU267" s="18"/>
      <c r="BNV267" s="18"/>
      <c r="BNW267" s="18"/>
      <c r="BNX267" s="18"/>
      <c r="BNY267" s="18"/>
      <c r="BNZ267" s="18"/>
      <c r="BOA267" s="18"/>
      <c r="BOB267" s="18"/>
      <c r="BOC267" s="18"/>
      <c r="BOD267" s="18"/>
      <c r="BOE267" s="18"/>
      <c r="BOF267" s="18"/>
      <c r="BOG267" s="18"/>
      <c r="BOH267" s="18"/>
      <c r="BOI267" s="18"/>
      <c r="BOJ267" s="18"/>
      <c r="BOK267" s="18"/>
      <c r="BOL267" s="18"/>
      <c r="BOM267" s="18"/>
      <c r="BON267" s="18"/>
      <c r="BOO267" s="18"/>
      <c r="BOP267" s="18"/>
      <c r="BOQ267" s="18"/>
      <c r="BOR267" s="18"/>
      <c r="BOS267" s="18"/>
      <c r="BOT267" s="18"/>
      <c r="BOU267" s="18"/>
      <c r="BOV267" s="18"/>
      <c r="BOW267" s="18"/>
      <c r="BOX267" s="18"/>
      <c r="BOY267" s="18"/>
      <c r="BOZ267" s="18"/>
      <c r="BPA267" s="18"/>
      <c r="BPB267" s="18"/>
      <c r="BPC267" s="18"/>
      <c r="BPD267" s="18"/>
      <c r="BPE267" s="18"/>
      <c r="BPF267" s="18"/>
      <c r="BPG267" s="18"/>
      <c r="BPH267" s="18"/>
      <c r="BPI267" s="18"/>
      <c r="BPJ267" s="18"/>
      <c r="BPK267" s="18"/>
      <c r="BPL267" s="18"/>
      <c r="BPM267" s="18"/>
      <c r="BPN267" s="18"/>
      <c r="BPO267" s="18"/>
      <c r="BPP267" s="18"/>
      <c r="BPQ267" s="18"/>
      <c r="BPR267" s="18"/>
      <c r="BPS267" s="18"/>
      <c r="BPT267" s="18"/>
      <c r="BPU267" s="18"/>
      <c r="BPV267" s="18"/>
      <c r="BPW267" s="18"/>
      <c r="BPX267" s="18"/>
      <c r="BPY267" s="18"/>
      <c r="BPZ267" s="18"/>
      <c r="BQA267" s="18"/>
      <c r="BQB267" s="18"/>
      <c r="BQC267" s="18"/>
      <c r="BQD267" s="18"/>
      <c r="BQE267" s="18"/>
      <c r="BQF267" s="18"/>
      <c r="BQG267" s="18"/>
      <c r="BQH267" s="18"/>
      <c r="BQI267" s="18"/>
      <c r="BQJ267" s="18"/>
      <c r="BQK267" s="18"/>
      <c r="BQL267" s="18"/>
      <c r="BQM267" s="18"/>
      <c r="BQN267" s="18"/>
      <c r="BQO267" s="18"/>
      <c r="BQP267" s="18"/>
      <c r="BQQ267" s="18"/>
      <c r="BQR267" s="18"/>
      <c r="BQS267" s="18"/>
      <c r="BQT267" s="18"/>
      <c r="BQU267" s="18"/>
      <c r="BQV267" s="18"/>
      <c r="BQW267" s="18"/>
      <c r="BQX267" s="18"/>
      <c r="BQY267" s="18"/>
      <c r="BQZ267" s="18"/>
      <c r="BRA267" s="18"/>
      <c r="BRB267" s="18"/>
      <c r="BRC267" s="18"/>
      <c r="BRD267" s="18"/>
      <c r="BRE267" s="18"/>
      <c r="BRF267" s="18"/>
      <c r="BRG267" s="18"/>
      <c r="BRH267" s="18"/>
      <c r="BRI267" s="18"/>
      <c r="BRJ267" s="18"/>
      <c r="BRK267" s="18"/>
      <c r="BRL267" s="18"/>
      <c r="BRM267" s="18"/>
      <c r="BRN267" s="18"/>
      <c r="BRO267" s="18"/>
      <c r="BRP267" s="18"/>
      <c r="BRQ267" s="18"/>
      <c r="BRR267" s="18"/>
      <c r="BRS267" s="18"/>
      <c r="BRT267" s="18"/>
      <c r="BRU267" s="18"/>
      <c r="BRV267" s="18"/>
      <c r="BRW267" s="18"/>
      <c r="BRX267" s="18"/>
      <c r="BRY267" s="18"/>
      <c r="BRZ267" s="18"/>
      <c r="BSA267" s="18"/>
      <c r="BSB267" s="18"/>
      <c r="BSC267" s="18"/>
      <c r="BSD267" s="18"/>
      <c r="BSE267" s="18"/>
      <c r="BSF267" s="18"/>
      <c r="BSG267" s="18"/>
      <c r="BSH267" s="18"/>
      <c r="BSI267" s="18"/>
      <c r="BSJ267" s="18"/>
      <c r="BSK267" s="18"/>
      <c r="BSL267" s="18"/>
      <c r="BSM267" s="18"/>
      <c r="BSN267" s="18"/>
      <c r="BSO267" s="18"/>
      <c r="BSP267" s="18"/>
      <c r="BSQ267" s="18"/>
      <c r="BSR267" s="18"/>
      <c r="BSS267" s="18"/>
      <c r="BST267" s="18"/>
      <c r="BSU267" s="18"/>
      <c r="BSV267" s="18"/>
      <c r="BSW267" s="18"/>
      <c r="BSX267" s="18"/>
      <c r="BSY267" s="18"/>
      <c r="BSZ267" s="18"/>
      <c r="BTA267" s="18"/>
      <c r="BTB267" s="18"/>
      <c r="BTC267" s="18"/>
      <c r="BTD267" s="18"/>
      <c r="BTE267" s="18"/>
      <c r="BTF267" s="18"/>
      <c r="BTG267" s="18"/>
      <c r="BTH267" s="18"/>
      <c r="BTI267" s="18"/>
    </row>
    <row r="268" spans="1:1881" s="769" customFormat="1" ht="90" hidden="1" customHeight="1" x14ac:dyDescent="0.3">
      <c r="A268" s="108">
        <v>619</v>
      </c>
      <c r="B268" s="671" t="s">
        <v>59</v>
      </c>
      <c r="C268" s="671" t="s">
        <v>422</v>
      </c>
      <c r="D268" s="94" t="s">
        <v>430</v>
      </c>
      <c r="E268" s="35" t="e">
        <f>HLOOKUP($D$2,'2020 Data(H)'!$C$1:$CZ$426,279,FALSE)</f>
        <v>#N/A</v>
      </c>
      <c r="F268" s="899">
        <v>0</v>
      </c>
      <c r="G268" s="773" t="str">
        <f>IF(ISBLANK(F268),"Please do not leave blank ",IF(F268=H268,"","Please review percentage"))</f>
        <v/>
      </c>
      <c r="H268" s="774">
        <f>ROUND(IFERROR((F267/F266)*100,0),1)</f>
        <v>0</v>
      </c>
      <c r="I268" s="296"/>
      <c r="J268" s="18"/>
      <c r="K268" s="18"/>
      <c r="L268" s="18"/>
      <c r="M268" s="18"/>
      <c r="N268" s="296"/>
      <c r="O268" s="18"/>
      <c r="P268" s="18"/>
      <c r="Q268" s="18"/>
      <c r="R268" s="18"/>
      <c r="S268" s="18"/>
      <c r="T268" s="18"/>
      <c r="U268" s="18"/>
      <c r="V268" s="18"/>
      <c r="W268" s="18"/>
      <c r="X268" s="18"/>
      <c r="Y268" s="18"/>
      <c r="Z268" s="108"/>
      <c r="AA268" s="108"/>
      <c r="AB268" s="108"/>
      <c r="AC268" s="108"/>
      <c r="AD268" s="108"/>
      <c r="AE268" s="108"/>
      <c r="AF268" s="108"/>
      <c r="AG268" s="108"/>
      <c r="AH268" s="108"/>
      <c r="AI268" s="108"/>
      <c r="AJ268" s="108"/>
      <c r="AK268" s="108"/>
      <c r="AL268" s="108"/>
      <c r="AM268" s="108"/>
      <c r="AN268" s="108"/>
      <c r="AO268" s="108"/>
      <c r="AP268" s="108"/>
      <c r="AQ268" s="108"/>
      <c r="AR268" s="10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c r="GS268" s="18"/>
      <c r="GT268" s="18"/>
      <c r="GU268" s="18"/>
      <c r="GV268" s="18"/>
      <c r="GW268" s="18"/>
      <c r="GX268" s="18"/>
      <c r="GY268" s="18"/>
      <c r="GZ268" s="18"/>
      <c r="HA268" s="18"/>
      <c r="HB268" s="18"/>
      <c r="HC268" s="18"/>
      <c r="HD268" s="18"/>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c r="JI268" s="18"/>
      <c r="JJ268" s="18"/>
      <c r="JK268" s="18"/>
      <c r="JL268" s="18"/>
      <c r="JM268" s="18"/>
      <c r="JN268" s="18"/>
      <c r="JO268" s="18"/>
      <c r="JP268" s="18"/>
      <c r="JQ268" s="18"/>
      <c r="JR268" s="18"/>
      <c r="JS268" s="18"/>
      <c r="JT268" s="18"/>
      <c r="JU268" s="18"/>
      <c r="JV268" s="18"/>
      <c r="JW268" s="18"/>
      <c r="JX268" s="18"/>
      <c r="JY268" s="18"/>
      <c r="JZ268" s="18"/>
      <c r="KA268" s="18"/>
      <c r="KB268" s="18"/>
      <c r="KC268" s="18"/>
      <c r="KD268" s="18"/>
      <c r="KE268" s="18"/>
      <c r="KF268" s="18"/>
      <c r="KG268" s="18"/>
      <c r="KH268" s="18"/>
      <c r="KI268" s="18"/>
      <c r="KJ268" s="18"/>
      <c r="KK268" s="18"/>
      <c r="KL268" s="18"/>
      <c r="KM268" s="18"/>
      <c r="KN268" s="18"/>
      <c r="KO268" s="18"/>
      <c r="KP268" s="18"/>
      <c r="KQ268" s="18"/>
      <c r="KR268" s="18"/>
      <c r="KS268" s="18"/>
      <c r="KT268" s="18"/>
      <c r="KU268" s="18"/>
      <c r="KV268" s="18"/>
      <c r="KW268" s="18"/>
      <c r="KX268" s="18"/>
      <c r="KY268" s="18"/>
      <c r="KZ268" s="18"/>
      <c r="LA268" s="18"/>
      <c r="LB268" s="18"/>
      <c r="LC268" s="18"/>
      <c r="LD268" s="18"/>
      <c r="LE268" s="18"/>
      <c r="LF268" s="18"/>
      <c r="LG268" s="18"/>
      <c r="LH268" s="18"/>
      <c r="LI268" s="18"/>
      <c r="LJ268" s="18"/>
      <c r="LK268" s="18"/>
      <c r="LL268" s="18"/>
      <c r="LM268" s="18"/>
      <c r="LN268" s="18"/>
      <c r="LO268" s="18"/>
      <c r="LP268" s="18"/>
      <c r="LQ268" s="18"/>
      <c r="LR268" s="18"/>
      <c r="LS268" s="18"/>
      <c r="LT268" s="18"/>
      <c r="LU268" s="18"/>
      <c r="LV268" s="18"/>
      <c r="LW268" s="18"/>
      <c r="LX268" s="18"/>
      <c r="LY268" s="18"/>
      <c r="LZ268" s="18"/>
      <c r="MA268" s="18"/>
      <c r="MB268" s="18"/>
      <c r="MC268" s="18"/>
      <c r="MD268" s="18"/>
      <c r="ME268" s="18"/>
      <c r="MF268" s="18"/>
      <c r="MG268" s="18"/>
      <c r="MH268" s="18"/>
      <c r="MI268" s="18"/>
      <c r="MJ268" s="18"/>
      <c r="MK268" s="18"/>
      <c r="ML268" s="18"/>
      <c r="MM268" s="18"/>
      <c r="MN268" s="18"/>
      <c r="MO268" s="18"/>
      <c r="MP268" s="18"/>
      <c r="MQ268" s="18"/>
      <c r="MR268" s="18"/>
      <c r="MS268" s="18"/>
      <c r="MT268" s="18"/>
      <c r="MU268" s="18"/>
      <c r="MV268" s="18"/>
      <c r="MW268" s="18"/>
      <c r="MX268" s="18"/>
      <c r="MY268" s="18"/>
      <c r="MZ268" s="18"/>
      <c r="NA268" s="18"/>
      <c r="NB268" s="18"/>
      <c r="NC268" s="18"/>
      <c r="ND268" s="18"/>
      <c r="NE268" s="18"/>
      <c r="NF268" s="18"/>
      <c r="NG268" s="18"/>
      <c r="NH268" s="18"/>
      <c r="NI268" s="18"/>
      <c r="NJ268" s="18"/>
      <c r="NK268" s="18"/>
      <c r="NL268" s="18"/>
      <c r="NM268" s="18"/>
      <c r="NN268" s="18"/>
      <c r="NO268" s="18"/>
      <c r="NP268" s="18"/>
      <c r="NQ268" s="18"/>
      <c r="NR268" s="18"/>
      <c r="NS268" s="18"/>
      <c r="NT268" s="18"/>
      <c r="NU268" s="18"/>
      <c r="NV268" s="18"/>
      <c r="NW268" s="18"/>
      <c r="NX268" s="18"/>
      <c r="NY268" s="18"/>
      <c r="NZ268" s="18"/>
      <c r="OA268" s="18"/>
      <c r="OB268" s="18"/>
      <c r="OC268" s="18"/>
      <c r="OD268" s="18"/>
      <c r="OE268" s="18"/>
      <c r="OF268" s="18"/>
      <c r="OG268" s="18"/>
      <c r="OH268" s="18"/>
      <c r="OI268" s="18"/>
      <c r="OJ268" s="18"/>
      <c r="OK268" s="18"/>
      <c r="OL268" s="18"/>
      <c r="OM268" s="18"/>
      <c r="ON268" s="18"/>
      <c r="OO268" s="18"/>
      <c r="OP268" s="18"/>
      <c r="OQ268" s="18"/>
      <c r="OR268" s="18"/>
      <c r="OS268" s="18"/>
      <c r="OT268" s="18"/>
      <c r="OU268" s="18"/>
      <c r="OV268" s="18"/>
      <c r="OW268" s="18"/>
      <c r="OX268" s="18"/>
      <c r="OY268" s="18"/>
      <c r="OZ268" s="18"/>
      <c r="PA268" s="18"/>
      <c r="PB268" s="18"/>
      <c r="PC268" s="18"/>
      <c r="PD268" s="18"/>
      <c r="PE268" s="18"/>
      <c r="PF268" s="18"/>
      <c r="PG268" s="18"/>
      <c r="PH268" s="18"/>
      <c r="PI268" s="18"/>
      <c r="PJ268" s="18"/>
      <c r="PK268" s="18"/>
      <c r="PL268" s="18"/>
      <c r="PM268" s="18"/>
      <c r="PN268" s="18"/>
      <c r="PO268" s="18"/>
      <c r="PP268" s="18"/>
      <c r="PQ268" s="18"/>
      <c r="PR268" s="18"/>
      <c r="PS268" s="18"/>
      <c r="PT268" s="18"/>
      <c r="PU268" s="18"/>
      <c r="PV268" s="18"/>
      <c r="PW268" s="18"/>
      <c r="PX268" s="18"/>
      <c r="PY268" s="18"/>
      <c r="PZ268" s="18"/>
      <c r="QA268" s="18"/>
      <c r="QB268" s="18"/>
      <c r="QC268" s="18"/>
      <c r="QD268" s="18"/>
      <c r="QE268" s="18"/>
      <c r="QF268" s="18"/>
      <c r="QG268" s="18"/>
      <c r="QH268" s="18"/>
      <c r="QI268" s="18"/>
      <c r="QJ268" s="18"/>
      <c r="QK268" s="18"/>
      <c r="QL268" s="18"/>
      <c r="QM268" s="18"/>
      <c r="QN268" s="18"/>
      <c r="QO268" s="18"/>
      <c r="QP268" s="18"/>
      <c r="QQ268" s="18"/>
      <c r="QR268" s="18"/>
      <c r="QS268" s="18"/>
      <c r="QT268" s="18"/>
      <c r="QU268" s="18"/>
      <c r="QV268" s="18"/>
      <c r="QW268" s="18"/>
      <c r="QX268" s="18"/>
      <c r="QY268" s="18"/>
      <c r="QZ268" s="18"/>
      <c r="RA268" s="18"/>
      <c r="RB268" s="18"/>
      <c r="RC268" s="18"/>
      <c r="RD268" s="18"/>
      <c r="RE268" s="18"/>
      <c r="RF268" s="18"/>
      <c r="RG268" s="18"/>
      <c r="RH268" s="18"/>
      <c r="RI268" s="18"/>
      <c r="RJ268" s="18"/>
      <c r="RK268" s="18"/>
      <c r="RL268" s="18"/>
      <c r="RM268" s="18"/>
      <c r="RN268" s="18"/>
      <c r="RO268" s="18"/>
      <c r="RP268" s="18"/>
      <c r="RQ268" s="18"/>
      <c r="RR268" s="18"/>
      <c r="RS268" s="18"/>
      <c r="RT268" s="18"/>
      <c r="RU268" s="18"/>
      <c r="RV268" s="18"/>
      <c r="RW268" s="18"/>
      <c r="RX268" s="18"/>
      <c r="RY268" s="18"/>
      <c r="RZ268" s="18"/>
      <c r="SA268" s="18"/>
      <c r="SB268" s="18"/>
      <c r="SC268" s="18"/>
      <c r="SD268" s="18"/>
      <c r="SE268" s="18"/>
      <c r="SF268" s="18"/>
      <c r="SG268" s="18"/>
      <c r="SH268" s="18"/>
      <c r="SI268" s="18"/>
      <c r="SJ268" s="18"/>
      <c r="SK268" s="18"/>
      <c r="SL268" s="18"/>
      <c r="SM268" s="18"/>
      <c r="SN268" s="18"/>
      <c r="SO268" s="18"/>
      <c r="SP268" s="18"/>
      <c r="SQ268" s="18"/>
      <c r="SR268" s="18"/>
      <c r="SS268" s="18"/>
      <c r="ST268" s="18"/>
      <c r="SU268" s="18"/>
      <c r="SV268" s="18"/>
      <c r="SW268" s="18"/>
      <c r="SX268" s="18"/>
      <c r="SY268" s="18"/>
      <c r="SZ268" s="18"/>
      <c r="TA268" s="18"/>
      <c r="TB268" s="18"/>
      <c r="TC268" s="18"/>
      <c r="TD268" s="18"/>
      <c r="TE268" s="18"/>
      <c r="TF268" s="18"/>
      <c r="TG268" s="18"/>
      <c r="TH268" s="18"/>
      <c r="TI268" s="18"/>
      <c r="TJ268" s="18"/>
      <c r="TK268" s="18"/>
      <c r="TL268" s="18"/>
      <c r="TM268" s="18"/>
      <c r="TN268" s="18"/>
      <c r="TO268" s="18"/>
      <c r="TP268" s="18"/>
      <c r="TQ268" s="18"/>
      <c r="TR268" s="18"/>
      <c r="TS268" s="18"/>
      <c r="TT268" s="18"/>
      <c r="TU268" s="18"/>
      <c r="TV268" s="18"/>
      <c r="TW268" s="18"/>
      <c r="TX268" s="18"/>
      <c r="TY268" s="18"/>
      <c r="TZ268" s="18"/>
      <c r="UA268" s="18"/>
      <c r="UB268" s="18"/>
      <c r="UC268" s="18"/>
      <c r="UD268" s="18"/>
      <c r="UE268" s="18"/>
      <c r="UF268" s="18"/>
      <c r="UG268" s="18"/>
      <c r="UH268" s="18"/>
      <c r="UI268" s="18"/>
      <c r="UJ268" s="18"/>
      <c r="UK268" s="18"/>
      <c r="UL268" s="18"/>
      <c r="UM268" s="18"/>
      <c r="UN268" s="18"/>
      <c r="UO268" s="18"/>
      <c r="UP268" s="18"/>
      <c r="UQ268" s="18"/>
      <c r="UR268" s="18"/>
      <c r="US268" s="18"/>
      <c r="UT268" s="18"/>
      <c r="UU268" s="18"/>
      <c r="UV268" s="18"/>
      <c r="UW268" s="18"/>
      <c r="UX268" s="18"/>
      <c r="UY268" s="18"/>
      <c r="UZ268" s="18"/>
      <c r="VA268" s="18"/>
      <c r="VB268" s="18"/>
      <c r="VC268" s="18"/>
      <c r="VD268" s="18"/>
      <c r="VE268" s="18"/>
      <c r="VF268" s="18"/>
      <c r="VG268" s="18"/>
      <c r="VH268" s="18"/>
      <c r="VI268" s="18"/>
      <c r="VJ268" s="18"/>
      <c r="VK268" s="18"/>
      <c r="VL268" s="18"/>
      <c r="VM268" s="18"/>
      <c r="VN268" s="18"/>
      <c r="VO268" s="18"/>
      <c r="VP268" s="18"/>
      <c r="VQ268" s="18"/>
      <c r="VR268" s="18"/>
      <c r="VS268" s="18"/>
      <c r="VT268" s="18"/>
      <c r="VU268" s="18"/>
      <c r="VV268" s="18"/>
      <c r="VW268" s="18"/>
      <c r="VX268" s="18"/>
      <c r="VY268" s="18"/>
      <c r="VZ268" s="18"/>
      <c r="WA268" s="18"/>
      <c r="WB268" s="18"/>
      <c r="WC268" s="18"/>
      <c r="WD268" s="18"/>
      <c r="WE268" s="18"/>
      <c r="WF268" s="18"/>
      <c r="WG268" s="18"/>
      <c r="WH268" s="18"/>
      <c r="WI268" s="18"/>
      <c r="WJ268" s="18"/>
      <c r="WK268" s="18"/>
      <c r="WL268" s="18"/>
      <c r="WM268" s="18"/>
      <c r="WN268" s="18"/>
      <c r="WO268" s="18"/>
      <c r="WP268" s="18"/>
      <c r="WQ268" s="18"/>
      <c r="WR268" s="18"/>
      <c r="WS268" s="18"/>
      <c r="WT268" s="18"/>
      <c r="WU268" s="18"/>
      <c r="WV268" s="18"/>
      <c r="WW268" s="18"/>
      <c r="WX268" s="18"/>
      <c r="WY268" s="18"/>
      <c r="WZ268" s="18"/>
      <c r="XA268" s="18"/>
      <c r="XB268" s="18"/>
      <c r="XC268" s="18"/>
      <c r="XD268" s="18"/>
      <c r="XE268" s="18"/>
      <c r="XF268" s="18"/>
      <c r="XG268" s="18"/>
      <c r="XH268" s="18"/>
      <c r="XI268" s="18"/>
      <c r="XJ268" s="18"/>
      <c r="XK268" s="18"/>
      <c r="XL268" s="18"/>
      <c r="XM268" s="18"/>
      <c r="XN268" s="18"/>
      <c r="XO268" s="18"/>
      <c r="XP268" s="18"/>
      <c r="XQ268" s="18"/>
      <c r="XR268" s="18"/>
      <c r="XS268" s="18"/>
      <c r="XT268" s="18"/>
      <c r="XU268" s="18"/>
      <c r="XV268" s="18"/>
      <c r="XW268" s="18"/>
      <c r="XX268" s="18"/>
      <c r="XY268" s="18"/>
      <c r="XZ268" s="18"/>
      <c r="YA268" s="18"/>
      <c r="YB268" s="18"/>
      <c r="YC268" s="18"/>
      <c r="YD268" s="18"/>
      <c r="YE268" s="18"/>
      <c r="YF268" s="18"/>
      <c r="YG268" s="18"/>
      <c r="YH268" s="18"/>
      <c r="YI268" s="18"/>
      <c r="YJ268" s="18"/>
      <c r="YK268" s="18"/>
      <c r="YL268" s="18"/>
      <c r="YM268" s="18"/>
      <c r="YN268" s="18"/>
      <c r="YO268" s="18"/>
      <c r="YP268" s="18"/>
      <c r="YQ268" s="18"/>
      <c r="YR268" s="18"/>
      <c r="YS268" s="18"/>
      <c r="YT268" s="18"/>
      <c r="YU268" s="18"/>
      <c r="YV268" s="18"/>
      <c r="YW268" s="18"/>
      <c r="YX268" s="18"/>
      <c r="YY268" s="18"/>
      <c r="YZ268" s="18"/>
      <c r="ZA268" s="18"/>
      <c r="ZB268" s="18"/>
      <c r="ZC268" s="18"/>
      <c r="ZD268" s="18"/>
      <c r="ZE268" s="18"/>
      <c r="ZF268" s="18"/>
      <c r="ZG268" s="18"/>
      <c r="ZH268" s="18"/>
      <c r="ZI268" s="18"/>
      <c r="ZJ268" s="18"/>
      <c r="ZK268" s="18"/>
      <c r="ZL268" s="18"/>
      <c r="ZM268" s="18"/>
      <c r="ZN268" s="18"/>
      <c r="ZO268" s="18"/>
      <c r="ZP268" s="18"/>
      <c r="ZQ268" s="18"/>
      <c r="ZR268" s="18"/>
      <c r="ZS268" s="18"/>
      <c r="ZT268" s="18"/>
      <c r="ZU268" s="18"/>
      <c r="ZV268" s="18"/>
      <c r="ZW268" s="18"/>
      <c r="ZX268" s="18"/>
      <c r="ZY268" s="18"/>
      <c r="ZZ268" s="18"/>
      <c r="AAA268" s="18"/>
      <c r="AAB268" s="18"/>
      <c r="AAC268" s="18"/>
      <c r="AAD268" s="18"/>
      <c r="AAE268" s="18"/>
      <c r="AAF268" s="18"/>
      <c r="AAG268" s="18"/>
      <c r="AAH268" s="18"/>
      <c r="AAI268" s="18"/>
      <c r="AAJ268" s="18"/>
      <c r="AAK268" s="18"/>
      <c r="AAL268" s="18"/>
      <c r="AAM268" s="18"/>
      <c r="AAN268" s="18"/>
      <c r="AAO268" s="18"/>
      <c r="AAP268" s="18"/>
      <c r="AAQ268" s="18"/>
      <c r="AAR268" s="18"/>
      <c r="AAS268" s="18"/>
      <c r="AAT268" s="18"/>
      <c r="AAU268" s="18"/>
      <c r="AAV268" s="18"/>
      <c r="AAW268" s="18"/>
      <c r="AAX268" s="18"/>
      <c r="AAY268" s="18"/>
      <c r="AAZ268" s="18"/>
      <c r="ABA268" s="18"/>
      <c r="ABB268" s="18"/>
      <c r="ABC268" s="18"/>
      <c r="ABD268" s="18"/>
      <c r="ABE268" s="18"/>
      <c r="ABF268" s="18"/>
      <c r="ABG268" s="18"/>
      <c r="ABH268" s="18"/>
      <c r="ABI268" s="18"/>
      <c r="ABJ268" s="18"/>
      <c r="ABK268" s="18"/>
      <c r="ABL268" s="18"/>
      <c r="ABM268" s="18"/>
      <c r="ABN268" s="18"/>
      <c r="ABO268" s="18"/>
      <c r="ABP268" s="18"/>
      <c r="ABQ268" s="18"/>
      <c r="ABR268" s="18"/>
      <c r="ABS268" s="18"/>
      <c r="ABT268" s="18"/>
      <c r="ABU268" s="18"/>
      <c r="ABV268" s="18"/>
      <c r="ABW268" s="18"/>
      <c r="ABX268" s="18"/>
      <c r="ABY268" s="18"/>
      <c r="ABZ268" s="18"/>
      <c r="ACA268" s="18"/>
      <c r="ACB268" s="18"/>
      <c r="ACC268" s="18"/>
      <c r="ACD268" s="18"/>
      <c r="ACE268" s="18"/>
      <c r="ACF268" s="18"/>
      <c r="ACG268" s="18"/>
      <c r="ACH268" s="18"/>
      <c r="ACI268" s="18"/>
      <c r="ACJ268" s="18"/>
      <c r="ACK268" s="18"/>
      <c r="ACL268" s="18"/>
      <c r="ACM268" s="18"/>
      <c r="ACN268" s="18"/>
      <c r="ACO268" s="18"/>
      <c r="ACP268" s="18"/>
      <c r="ACQ268" s="18"/>
      <c r="ACR268" s="18"/>
      <c r="ACS268" s="18"/>
      <c r="ACT268" s="18"/>
      <c r="ACU268" s="18"/>
      <c r="ACV268" s="18"/>
      <c r="ACW268" s="18"/>
      <c r="ACX268" s="18"/>
      <c r="ACY268" s="18"/>
      <c r="ACZ268" s="18"/>
      <c r="ADA268" s="18"/>
      <c r="ADB268" s="18"/>
      <c r="ADC268" s="18"/>
      <c r="ADD268" s="18"/>
      <c r="ADE268" s="18"/>
      <c r="ADF268" s="18"/>
      <c r="ADG268" s="18"/>
      <c r="ADH268" s="18"/>
      <c r="ADI268" s="18"/>
      <c r="ADJ268" s="18"/>
      <c r="ADK268" s="18"/>
      <c r="ADL268" s="18"/>
      <c r="ADM268" s="18"/>
      <c r="ADN268" s="18"/>
      <c r="ADO268" s="18"/>
      <c r="ADP268" s="18"/>
      <c r="ADQ268" s="18"/>
      <c r="ADR268" s="18"/>
      <c r="ADS268" s="18"/>
      <c r="ADT268" s="18"/>
      <c r="ADU268" s="18"/>
      <c r="ADV268" s="18"/>
      <c r="ADW268" s="18"/>
      <c r="ADX268" s="18"/>
      <c r="ADY268" s="18"/>
      <c r="ADZ268" s="18"/>
      <c r="AEA268" s="18"/>
      <c r="AEB268" s="18"/>
      <c r="AEC268" s="18"/>
      <c r="AED268" s="18"/>
      <c r="AEE268" s="18"/>
      <c r="AEF268" s="18"/>
      <c r="AEG268" s="18"/>
      <c r="AEH268" s="18"/>
      <c r="AEI268" s="18"/>
      <c r="AEJ268" s="18"/>
      <c r="AEK268" s="18"/>
      <c r="AEL268" s="18"/>
      <c r="AEM268" s="18"/>
      <c r="AEN268" s="18"/>
      <c r="AEO268" s="18"/>
      <c r="AEP268" s="18"/>
      <c r="AEQ268" s="18"/>
      <c r="AER268" s="18"/>
      <c r="AES268" s="18"/>
      <c r="AET268" s="18"/>
      <c r="AEU268" s="18"/>
      <c r="AEV268" s="18"/>
      <c r="AEW268" s="18"/>
      <c r="AEX268" s="18"/>
      <c r="AEY268" s="18"/>
      <c r="AEZ268" s="18"/>
      <c r="AFA268" s="18"/>
      <c r="AFB268" s="18"/>
      <c r="AFC268" s="18"/>
      <c r="AFD268" s="18"/>
      <c r="AFE268" s="18"/>
      <c r="AFF268" s="18"/>
      <c r="AFG268" s="18"/>
      <c r="AFH268" s="18"/>
      <c r="AFI268" s="18"/>
      <c r="AFJ268" s="18"/>
      <c r="AFK268" s="18"/>
      <c r="AFL268" s="18"/>
      <c r="AFM268" s="18"/>
      <c r="AFN268" s="18"/>
      <c r="AFO268" s="18"/>
      <c r="AFP268" s="18"/>
      <c r="AFQ268" s="18"/>
      <c r="AFR268" s="18"/>
      <c r="AFS268" s="18"/>
      <c r="AFT268" s="18"/>
      <c r="AFU268" s="18"/>
      <c r="AFV268" s="18"/>
      <c r="AFW268" s="18"/>
      <c r="AFX268" s="18"/>
      <c r="AFY268" s="18"/>
      <c r="AFZ268" s="18"/>
      <c r="AGA268" s="18"/>
      <c r="AGB268" s="18"/>
      <c r="AGC268" s="18"/>
      <c r="AGD268" s="18"/>
      <c r="AGE268" s="18"/>
      <c r="AGF268" s="18"/>
      <c r="AGG268" s="18"/>
      <c r="AGH268" s="18"/>
      <c r="AGI268" s="18"/>
      <c r="AGJ268" s="18"/>
      <c r="AGK268" s="18"/>
      <c r="AGL268" s="18"/>
      <c r="AGM268" s="18"/>
      <c r="AGN268" s="18"/>
      <c r="AGO268" s="18"/>
      <c r="AGP268" s="18"/>
      <c r="AGQ268" s="18"/>
      <c r="AGR268" s="18"/>
      <c r="AGS268" s="18"/>
      <c r="AGT268" s="18"/>
      <c r="AGU268" s="18"/>
      <c r="AGV268" s="18"/>
      <c r="AGW268" s="18"/>
      <c r="AGX268" s="18"/>
      <c r="AGY268" s="18"/>
      <c r="AGZ268" s="18"/>
      <c r="AHA268" s="18"/>
      <c r="AHB268" s="18"/>
      <c r="AHC268" s="18"/>
      <c r="AHD268" s="18"/>
      <c r="AHE268" s="18"/>
      <c r="AHF268" s="18"/>
      <c r="AHG268" s="18"/>
      <c r="AHH268" s="18"/>
      <c r="AHI268" s="18"/>
      <c r="AHJ268" s="18"/>
      <c r="AHK268" s="18"/>
      <c r="AHL268" s="18"/>
      <c r="AHM268" s="18"/>
      <c r="AHN268" s="18"/>
      <c r="AHO268" s="18"/>
      <c r="AHP268" s="18"/>
      <c r="AHQ268" s="18"/>
      <c r="AHR268" s="18"/>
      <c r="AHS268" s="18"/>
      <c r="AHT268" s="18"/>
      <c r="AHU268" s="18"/>
      <c r="AHV268" s="18"/>
      <c r="AHW268" s="18"/>
      <c r="AHX268" s="18"/>
      <c r="AHY268" s="18"/>
      <c r="AHZ268" s="18"/>
      <c r="AIA268" s="18"/>
      <c r="AIB268" s="18"/>
      <c r="AIC268" s="18"/>
      <c r="AID268" s="18"/>
      <c r="AIE268" s="18"/>
      <c r="AIF268" s="18"/>
      <c r="AIG268" s="18"/>
      <c r="AIH268" s="18"/>
      <c r="AII268" s="18"/>
      <c r="AIJ268" s="18"/>
      <c r="AIK268" s="18"/>
      <c r="AIL268" s="18"/>
      <c r="AIM268" s="18"/>
      <c r="AIN268" s="18"/>
      <c r="AIO268" s="18"/>
      <c r="AIP268" s="18"/>
      <c r="AIQ268" s="18"/>
      <c r="AIR268" s="18"/>
      <c r="AIS268" s="18"/>
      <c r="AIT268" s="18"/>
      <c r="AIU268" s="18"/>
      <c r="AIV268" s="18"/>
      <c r="AIW268" s="18"/>
      <c r="AIX268" s="18"/>
      <c r="AIY268" s="18"/>
      <c r="AIZ268" s="18"/>
      <c r="AJA268" s="18"/>
      <c r="AJB268" s="18"/>
      <c r="AJC268" s="18"/>
      <c r="AJD268" s="18"/>
      <c r="AJE268" s="18"/>
      <c r="AJF268" s="18"/>
      <c r="AJG268" s="18"/>
      <c r="AJH268" s="18"/>
      <c r="AJI268" s="18"/>
      <c r="AJJ268" s="18"/>
      <c r="AJK268" s="18"/>
      <c r="AJL268" s="18"/>
      <c r="AJM268" s="18"/>
      <c r="AJN268" s="18"/>
      <c r="AJO268" s="18"/>
      <c r="AJP268" s="18"/>
      <c r="AJQ268" s="18"/>
      <c r="AJR268" s="18"/>
      <c r="AJS268" s="18"/>
      <c r="AJT268" s="18"/>
      <c r="AJU268" s="18"/>
      <c r="AJV268" s="18"/>
      <c r="AJW268" s="18"/>
      <c r="AJX268" s="18"/>
      <c r="AJY268" s="18"/>
      <c r="AJZ268" s="18"/>
      <c r="AKA268" s="18"/>
      <c r="AKB268" s="18"/>
      <c r="AKC268" s="18"/>
      <c r="AKD268" s="18"/>
      <c r="AKE268" s="18"/>
      <c r="AKF268" s="18"/>
      <c r="AKG268" s="18"/>
      <c r="AKH268" s="18"/>
      <c r="AKI268" s="18"/>
      <c r="AKJ268" s="18"/>
      <c r="AKK268" s="18"/>
      <c r="AKL268" s="18"/>
      <c r="AKM268" s="18"/>
      <c r="AKN268" s="18"/>
      <c r="AKO268" s="18"/>
      <c r="AKP268" s="18"/>
      <c r="AKQ268" s="18"/>
      <c r="AKR268" s="18"/>
      <c r="AKS268" s="18"/>
      <c r="AKT268" s="18"/>
      <c r="AKU268" s="18"/>
      <c r="AKV268" s="18"/>
      <c r="AKW268" s="18"/>
      <c r="AKX268" s="18"/>
      <c r="AKY268" s="18"/>
      <c r="AKZ268" s="18"/>
      <c r="ALA268" s="18"/>
      <c r="ALB268" s="18"/>
      <c r="ALC268" s="18"/>
      <c r="ALD268" s="18"/>
      <c r="ALE268" s="18"/>
      <c r="ALF268" s="18"/>
      <c r="ALG268" s="18"/>
      <c r="ALH268" s="18"/>
      <c r="ALI268" s="18"/>
      <c r="ALJ268" s="18"/>
      <c r="ALK268" s="18"/>
      <c r="ALL268" s="18"/>
      <c r="ALM268" s="18"/>
      <c r="ALN268" s="18"/>
      <c r="ALO268" s="18"/>
      <c r="ALP268" s="18"/>
      <c r="ALQ268" s="18"/>
      <c r="ALR268" s="18"/>
      <c r="ALS268" s="18"/>
      <c r="ALT268" s="18"/>
      <c r="ALU268" s="18"/>
      <c r="ALV268" s="18"/>
      <c r="ALW268" s="18"/>
      <c r="ALX268" s="18"/>
      <c r="ALY268" s="18"/>
      <c r="ALZ268" s="18"/>
      <c r="AMA268" s="18"/>
      <c r="AMB268" s="18"/>
      <c r="AMC268" s="18"/>
      <c r="AMD268" s="18"/>
      <c r="AME268" s="18"/>
      <c r="AMF268" s="18"/>
      <c r="AMG268" s="18"/>
      <c r="AMH268" s="18"/>
      <c r="AMI268" s="18"/>
      <c r="AMJ268" s="18"/>
      <c r="AMK268" s="18"/>
      <c r="AML268" s="18"/>
      <c r="AMM268" s="18"/>
      <c r="AMN268" s="18"/>
      <c r="AMO268" s="18"/>
      <c r="AMP268" s="18"/>
      <c r="AMQ268" s="18"/>
      <c r="AMR268" s="18"/>
      <c r="AMS268" s="18"/>
      <c r="AMT268" s="18"/>
      <c r="AMU268" s="18"/>
      <c r="AMV268" s="18"/>
      <c r="AMW268" s="18"/>
      <c r="AMX268" s="18"/>
      <c r="AMY268" s="18"/>
      <c r="AMZ268" s="18"/>
      <c r="ANA268" s="18"/>
      <c r="ANB268" s="18"/>
      <c r="ANC268" s="18"/>
      <c r="AND268" s="18"/>
      <c r="ANE268" s="18"/>
      <c r="ANF268" s="18"/>
      <c r="ANG268" s="18"/>
      <c r="ANH268" s="18"/>
      <c r="ANI268" s="18"/>
      <c r="ANJ268" s="18"/>
      <c r="ANK268" s="18"/>
      <c r="ANL268" s="18"/>
      <c r="ANM268" s="18"/>
      <c r="ANN268" s="18"/>
      <c r="ANO268" s="18"/>
      <c r="ANP268" s="18"/>
      <c r="ANQ268" s="18"/>
      <c r="ANR268" s="18"/>
      <c r="ANS268" s="18"/>
      <c r="ANT268" s="18"/>
      <c r="ANU268" s="18"/>
      <c r="ANV268" s="18"/>
      <c r="ANW268" s="18"/>
      <c r="ANX268" s="18"/>
      <c r="ANY268" s="18"/>
      <c r="ANZ268" s="18"/>
      <c r="AOA268" s="18"/>
      <c r="AOB268" s="18"/>
      <c r="AOC268" s="18"/>
      <c r="AOD268" s="18"/>
      <c r="AOE268" s="18"/>
      <c r="AOF268" s="18"/>
      <c r="AOG268" s="18"/>
      <c r="AOH268" s="18"/>
      <c r="AOI268" s="18"/>
      <c r="AOJ268" s="18"/>
      <c r="AOK268" s="18"/>
      <c r="AOL268" s="18"/>
      <c r="AOM268" s="18"/>
      <c r="AON268" s="18"/>
      <c r="AOO268" s="18"/>
      <c r="AOP268" s="18"/>
      <c r="AOQ268" s="18"/>
      <c r="AOR268" s="18"/>
      <c r="AOS268" s="18"/>
      <c r="AOT268" s="18"/>
      <c r="AOU268" s="18"/>
      <c r="AOV268" s="18"/>
      <c r="AOW268" s="18"/>
      <c r="AOX268" s="18"/>
      <c r="AOY268" s="18"/>
      <c r="AOZ268" s="18"/>
      <c r="APA268" s="18"/>
      <c r="APB268" s="18"/>
      <c r="APC268" s="18"/>
      <c r="APD268" s="18"/>
      <c r="APE268" s="18"/>
      <c r="APF268" s="18"/>
      <c r="APG268" s="18"/>
      <c r="APH268" s="18"/>
      <c r="API268" s="18"/>
      <c r="APJ268" s="18"/>
      <c r="APK268" s="18"/>
      <c r="APL268" s="18"/>
      <c r="APM268" s="18"/>
      <c r="APN268" s="18"/>
      <c r="APO268" s="18"/>
      <c r="APP268" s="18"/>
      <c r="APQ268" s="18"/>
      <c r="APR268" s="18"/>
      <c r="APS268" s="18"/>
      <c r="APT268" s="18"/>
      <c r="APU268" s="18"/>
      <c r="APV268" s="18"/>
      <c r="APW268" s="18"/>
      <c r="APX268" s="18"/>
      <c r="APY268" s="18"/>
      <c r="APZ268" s="18"/>
      <c r="AQA268" s="18"/>
      <c r="AQB268" s="18"/>
      <c r="AQC268" s="18"/>
      <c r="AQD268" s="18"/>
      <c r="AQE268" s="18"/>
      <c r="AQF268" s="18"/>
      <c r="AQG268" s="18"/>
      <c r="AQH268" s="18"/>
      <c r="AQI268" s="18"/>
      <c r="AQJ268" s="18"/>
      <c r="AQK268" s="18"/>
      <c r="AQL268" s="18"/>
      <c r="AQM268" s="18"/>
      <c r="AQN268" s="18"/>
      <c r="AQO268" s="18"/>
      <c r="AQP268" s="18"/>
      <c r="AQQ268" s="18"/>
      <c r="AQR268" s="18"/>
      <c r="AQS268" s="18"/>
      <c r="AQT268" s="18"/>
      <c r="AQU268" s="18"/>
      <c r="AQV268" s="18"/>
      <c r="AQW268" s="18"/>
      <c r="AQX268" s="18"/>
      <c r="AQY268" s="18"/>
      <c r="AQZ268" s="18"/>
      <c r="ARA268" s="18"/>
      <c r="ARB268" s="18"/>
      <c r="ARC268" s="18"/>
      <c r="ARD268" s="18"/>
      <c r="ARE268" s="18"/>
      <c r="ARF268" s="18"/>
      <c r="ARG268" s="18"/>
      <c r="ARH268" s="18"/>
      <c r="ARI268" s="18"/>
      <c r="ARJ268" s="18"/>
      <c r="ARK268" s="18"/>
      <c r="ARL268" s="18"/>
      <c r="ARM268" s="18"/>
      <c r="ARN268" s="18"/>
      <c r="ARO268" s="18"/>
      <c r="ARP268" s="18"/>
      <c r="ARQ268" s="18"/>
      <c r="ARR268" s="18"/>
      <c r="ARS268" s="18"/>
      <c r="ART268" s="18"/>
      <c r="ARU268" s="18"/>
      <c r="ARV268" s="18"/>
      <c r="ARW268" s="18"/>
      <c r="ARX268" s="18"/>
      <c r="ARY268" s="18"/>
      <c r="ARZ268" s="18"/>
      <c r="ASA268" s="18"/>
      <c r="ASB268" s="18"/>
      <c r="ASC268" s="18"/>
      <c r="ASD268" s="18"/>
      <c r="ASE268" s="18"/>
      <c r="ASF268" s="18"/>
      <c r="ASG268" s="18"/>
      <c r="ASH268" s="18"/>
      <c r="ASI268" s="18"/>
      <c r="ASJ268" s="18"/>
      <c r="ASK268" s="18"/>
      <c r="ASL268" s="18"/>
      <c r="ASM268" s="18"/>
      <c r="ASN268" s="18"/>
      <c r="ASO268" s="18"/>
      <c r="ASP268" s="18"/>
      <c r="ASQ268" s="18"/>
      <c r="ASR268" s="18"/>
      <c r="ASS268" s="18"/>
      <c r="AST268" s="18"/>
      <c r="ASU268" s="18"/>
      <c r="ASV268" s="18"/>
      <c r="ASW268" s="18"/>
      <c r="ASX268" s="18"/>
      <c r="ASY268" s="18"/>
      <c r="ASZ268" s="18"/>
      <c r="ATA268" s="18"/>
      <c r="ATB268" s="18"/>
      <c r="ATC268" s="18"/>
      <c r="ATD268" s="18"/>
      <c r="ATE268" s="18"/>
      <c r="ATF268" s="18"/>
      <c r="ATG268" s="18"/>
      <c r="ATH268" s="18"/>
      <c r="ATI268" s="18"/>
      <c r="ATJ268" s="18"/>
      <c r="ATK268" s="18"/>
      <c r="ATL268" s="18"/>
      <c r="ATM268" s="18"/>
      <c r="ATN268" s="18"/>
      <c r="ATO268" s="18"/>
      <c r="ATP268" s="18"/>
      <c r="ATQ268" s="18"/>
      <c r="ATR268" s="18"/>
      <c r="ATS268" s="18"/>
      <c r="ATT268" s="18"/>
      <c r="ATU268" s="18"/>
      <c r="ATV268" s="18"/>
      <c r="ATW268" s="18"/>
      <c r="ATX268" s="18"/>
      <c r="ATY268" s="18"/>
      <c r="ATZ268" s="18"/>
      <c r="AUA268" s="18"/>
      <c r="AUB268" s="18"/>
      <c r="AUC268" s="18"/>
      <c r="AUD268" s="18"/>
      <c r="AUE268" s="18"/>
      <c r="AUF268" s="18"/>
      <c r="AUG268" s="18"/>
      <c r="AUH268" s="18"/>
      <c r="AUI268" s="18"/>
      <c r="AUJ268" s="18"/>
      <c r="AUK268" s="18"/>
      <c r="AUL268" s="18"/>
      <c r="AUM268" s="18"/>
      <c r="AUN268" s="18"/>
      <c r="AUO268" s="18"/>
      <c r="AUP268" s="18"/>
      <c r="AUQ268" s="18"/>
      <c r="AUR268" s="18"/>
      <c r="AUS268" s="18"/>
      <c r="AUT268" s="18"/>
      <c r="AUU268" s="18"/>
      <c r="AUV268" s="18"/>
      <c r="AUW268" s="18"/>
      <c r="AUX268" s="18"/>
      <c r="AUY268" s="18"/>
      <c r="AUZ268" s="18"/>
      <c r="AVA268" s="18"/>
      <c r="AVB268" s="18"/>
      <c r="AVC268" s="18"/>
      <c r="AVD268" s="18"/>
      <c r="AVE268" s="18"/>
      <c r="AVF268" s="18"/>
      <c r="AVG268" s="18"/>
      <c r="AVH268" s="18"/>
      <c r="AVI268" s="18"/>
      <c r="AVJ268" s="18"/>
      <c r="AVK268" s="18"/>
      <c r="AVL268" s="18"/>
      <c r="AVM268" s="18"/>
      <c r="AVN268" s="18"/>
      <c r="AVO268" s="18"/>
      <c r="AVP268" s="18"/>
      <c r="AVQ268" s="18"/>
      <c r="AVR268" s="18"/>
      <c r="AVS268" s="18"/>
      <c r="AVT268" s="18"/>
      <c r="AVU268" s="18"/>
      <c r="AVV268" s="18"/>
      <c r="AVW268" s="18"/>
      <c r="AVX268" s="18"/>
      <c r="AVY268" s="18"/>
      <c r="AVZ268" s="18"/>
      <c r="AWA268" s="18"/>
      <c r="AWB268" s="18"/>
      <c r="AWC268" s="18"/>
      <c r="AWD268" s="18"/>
      <c r="AWE268" s="18"/>
      <c r="AWF268" s="18"/>
      <c r="AWG268" s="18"/>
      <c r="AWH268" s="18"/>
      <c r="AWI268" s="18"/>
      <c r="AWJ268" s="18"/>
      <c r="AWK268" s="18"/>
      <c r="AWL268" s="18"/>
      <c r="AWM268" s="18"/>
      <c r="AWN268" s="18"/>
      <c r="AWO268" s="18"/>
      <c r="AWP268" s="18"/>
      <c r="AWQ268" s="18"/>
      <c r="AWR268" s="18"/>
      <c r="AWS268" s="18"/>
      <c r="AWT268" s="18"/>
      <c r="AWU268" s="18"/>
      <c r="AWV268" s="18"/>
      <c r="AWW268" s="18"/>
      <c r="AWX268" s="18"/>
      <c r="AWY268" s="18"/>
      <c r="AWZ268" s="18"/>
      <c r="AXA268" s="18"/>
      <c r="AXB268" s="18"/>
      <c r="AXC268" s="18"/>
      <c r="AXD268" s="18"/>
      <c r="AXE268" s="18"/>
      <c r="AXF268" s="18"/>
      <c r="AXG268" s="18"/>
      <c r="AXH268" s="18"/>
      <c r="AXI268" s="18"/>
      <c r="AXJ268" s="18"/>
      <c r="AXK268" s="18"/>
      <c r="AXL268" s="18"/>
      <c r="AXM268" s="18"/>
      <c r="AXN268" s="18"/>
      <c r="AXO268" s="18"/>
      <c r="AXP268" s="18"/>
      <c r="AXQ268" s="18"/>
      <c r="AXR268" s="18"/>
      <c r="AXS268" s="18"/>
      <c r="AXT268" s="18"/>
      <c r="AXU268" s="18"/>
      <c r="AXV268" s="18"/>
      <c r="AXW268" s="18"/>
      <c r="AXX268" s="18"/>
      <c r="AXY268" s="18"/>
      <c r="AXZ268" s="18"/>
      <c r="AYA268" s="18"/>
      <c r="AYB268" s="18"/>
      <c r="AYC268" s="18"/>
      <c r="AYD268" s="18"/>
      <c r="AYE268" s="18"/>
      <c r="AYF268" s="18"/>
      <c r="AYG268" s="18"/>
      <c r="AYH268" s="18"/>
      <c r="AYI268" s="18"/>
      <c r="AYJ268" s="18"/>
      <c r="AYK268" s="18"/>
      <c r="AYL268" s="18"/>
      <c r="AYM268" s="18"/>
      <c r="AYN268" s="18"/>
      <c r="AYO268" s="18"/>
      <c r="AYP268" s="18"/>
      <c r="AYQ268" s="18"/>
      <c r="AYR268" s="18"/>
      <c r="AYS268" s="18"/>
      <c r="AYT268" s="18"/>
      <c r="AYU268" s="18"/>
      <c r="AYV268" s="18"/>
      <c r="AYW268" s="18"/>
      <c r="AYX268" s="18"/>
      <c r="AYY268" s="18"/>
      <c r="AYZ268" s="18"/>
      <c r="AZA268" s="18"/>
      <c r="AZB268" s="18"/>
      <c r="AZC268" s="18"/>
      <c r="AZD268" s="18"/>
      <c r="AZE268" s="18"/>
      <c r="AZF268" s="18"/>
      <c r="AZG268" s="18"/>
      <c r="AZH268" s="18"/>
      <c r="AZI268" s="18"/>
      <c r="AZJ268" s="18"/>
      <c r="AZK268" s="18"/>
      <c r="AZL268" s="18"/>
      <c r="AZM268" s="18"/>
      <c r="AZN268" s="18"/>
      <c r="AZO268" s="18"/>
      <c r="AZP268" s="18"/>
      <c r="AZQ268" s="18"/>
      <c r="AZR268" s="18"/>
      <c r="AZS268" s="18"/>
      <c r="AZT268" s="18"/>
      <c r="AZU268" s="18"/>
      <c r="AZV268" s="18"/>
      <c r="AZW268" s="18"/>
      <c r="AZX268" s="18"/>
      <c r="AZY268" s="18"/>
      <c r="AZZ268" s="18"/>
      <c r="BAA268" s="18"/>
      <c r="BAB268" s="18"/>
      <c r="BAC268" s="18"/>
      <c r="BAD268" s="18"/>
      <c r="BAE268" s="18"/>
      <c r="BAF268" s="18"/>
      <c r="BAG268" s="18"/>
      <c r="BAH268" s="18"/>
      <c r="BAI268" s="18"/>
      <c r="BAJ268" s="18"/>
      <c r="BAK268" s="18"/>
      <c r="BAL268" s="18"/>
      <c r="BAM268" s="18"/>
      <c r="BAN268" s="18"/>
      <c r="BAO268" s="18"/>
      <c r="BAP268" s="18"/>
      <c r="BAQ268" s="18"/>
      <c r="BAR268" s="18"/>
      <c r="BAS268" s="18"/>
      <c r="BAT268" s="18"/>
      <c r="BAU268" s="18"/>
      <c r="BAV268" s="18"/>
      <c r="BAW268" s="18"/>
      <c r="BAX268" s="18"/>
      <c r="BAY268" s="18"/>
      <c r="BAZ268" s="18"/>
      <c r="BBA268" s="18"/>
      <c r="BBB268" s="18"/>
      <c r="BBC268" s="18"/>
      <c r="BBD268" s="18"/>
      <c r="BBE268" s="18"/>
      <c r="BBF268" s="18"/>
      <c r="BBG268" s="18"/>
      <c r="BBH268" s="18"/>
      <c r="BBI268" s="18"/>
      <c r="BBJ268" s="18"/>
      <c r="BBK268" s="18"/>
      <c r="BBL268" s="18"/>
      <c r="BBM268" s="18"/>
      <c r="BBN268" s="18"/>
      <c r="BBO268" s="18"/>
      <c r="BBP268" s="18"/>
      <c r="BBQ268" s="18"/>
      <c r="BBR268" s="18"/>
      <c r="BBS268" s="18"/>
      <c r="BBT268" s="18"/>
      <c r="BBU268" s="18"/>
      <c r="BBV268" s="18"/>
      <c r="BBW268" s="18"/>
      <c r="BBX268" s="18"/>
      <c r="BBY268" s="18"/>
      <c r="BBZ268" s="18"/>
      <c r="BCA268" s="18"/>
      <c r="BCB268" s="18"/>
      <c r="BCC268" s="18"/>
      <c r="BCD268" s="18"/>
      <c r="BCE268" s="18"/>
      <c r="BCF268" s="18"/>
      <c r="BCG268" s="18"/>
      <c r="BCH268" s="18"/>
      <c r="BCI268" s="18"/>
      <c r="BCJ268" s="18"/>
      <c r="BCK268" s="18"/>
      <c r="BCL268" s="18"/>
      <c r="BCM268" s="18"/>
      <c r="BCN268" s="18"/>
      <c r="BCO268" s="18"/>
      <c r="BCP268" s="18"/>
      <c r="BCQ268" s="18"/>
      <c r="BCR268" s="18"/>
      <c r="BCS268" s="18"/>
      <c r="BCT268" s="18"/>
      <c r="BCU268" s="18"/>
      <c r="BCV268" s="18"/>
      <c r="BCW268" s="18"/>
      <c r="BCX268" s="18"/>
      <c r="BCY268" s="18"/>
      <c r="BCZ268" s="18"/>
      <c r="BDA268" s="18"/>
      <c r="BDB268" s="18"/>
      <c r="BDC268" s="18"/>
      <c r="BDD268" s="18"/>
      <c r="BDE268" s="18"/>
      <c r="BDF268" s="18"/>
      <c r="BDG268" s="18"/>
      <c r="BDH268" s="18"/>
      <c r="BDI268" s="18"/>
      <c r="BDJ268" s="18"/>
      <c r="BDK268" s="18"/>
      <c r="BDL268" s="18"/>
      <c r="BDM268" s="18"/>
      <c r="BDN268" s="18"/>
      <c r="BDO268" s="18"/>
      <c r="BDP268" s="18"/>
      <c r="BDQ268" s="18"/>
      <c r="BDR268" s="18"/>
      <c r="BDS268" s="18"/>
      <c r="BDT268" s="18"/>
      <c r="BDU268" s="18"/>
      <c r="BDV268" s="18"/>
      <c r="BDW268" s="18"/>
      <c r="BDX268" s="18"/>
      <c r="BDY268" s="18"/>
      <c r="BDZ268" s="18"/>
      <c r="BEA268" s="18"/>
      <c r="BEB268" s="18"/>
      <c r="BEC268" s="18"/>
      <c r="BED268" s="18"/>
      <c r="BEE268" s="18"/>
      <c r="BEF268" s="18"/>
      <c r="BEG268" s="18"/>
      <c r="BEH268" s="18"/>
      <c r="BEI268" s="18"/>
      <c r="BEJ268" s="18"/>
      <c r="BEK268" s="18"/>
      <c r="BEL268" s="18"/>
      <c r="BEM268" s="18"/>
      <c r="BEN268" s="18"/>
      <c r="BEO268" s="18"/>
      <c r="BEP268" s="18"/>
      <c r="BEQ268" s="18"/>
      <c r="BER268" s="18"/>
      <c r="BES268" s="18"/>
      <c r="BET268" s="18"/>
      <c r="BEU268" s="18"/>
      <c r="BEV268" s="18"/>
      <c r="BEW268" s="18"/>
      <c r="BEX268" s="18"/>
      <c r="BEY268" s="18"/>
      <c r="BEZ268" s="18"/>
      <c r="BFA268" s="18"/>
      <c r="BFB268" s="18"/>
      <c r="BFC268" s="18"/>
      <c r="BFD268" s="18"/>
      <c r="BFE268" s="18"/>
      <c r="BFF268" s="18"/>
      <c r="BFG268" s="18"/>
      <c r="BFH268" s="18"/>
      <c r="BFI268" s="18"/>
      <c r="BFJ268" s="18"/>
      <c r="BFK268" s="18"/>
      <c r="BFL268" s="18"/>
      <c r="BFM268" s="18"/>
      <c r="BFN268" s="18"/>
      <c r="BFO268" s="18"/>
      <c r="BFP268" s="18"/>
      <c r="BFQ268" s="18"/>
      <c r="BFR268" s="18"/>
      <c r="BFS268" s="18"/>
      <c r="BFT268" s="18"/>
      <c r="BFU268" s="18"/>
      <c r="BFV268" s="18"/>
      <c r="BFW268" s="18"/>
      <c r="BFX268" s="18"/>
      <c r="BFY268" s="18"/>
      <c r="BFZ268" s="18"/>
      <c r="BGA268" s="18"/>
      <c r="BGB268" s="18"/>
      <c r="BGC268" s="18"/>
      <c r="BGD268" s="18"/>
      <c r="BGE268" s="18"/>
      <c r="BGF268" s="18"/>
      <c r="BGG268" s="18"/>
      <c r="BGH268" s="18"/>
      <c r="BGI268" s="18"/>
      <c r="BGJ268" s="18"/>
      <c r="BGK268" s="18"/>
      <c r="BGL268" s="18"/>
      <c r="BGM268" s="18"/>
      <c r="BGN268" s="18"/>
      <c r="BGO268" s="18"/>
      <c r="BGP268" s="18"/>
      <c r="BGQ268" s="18"/>
      <c r="BGR268" s="18"/>
      <c r="BGS268" s="18"/>
      <c r="BGT268" s="18"/>
      <c r="BGU268" s="18"/>
      <c r="BGV268" s="18"/>
      <c r="BGW268" s="18"/>
      <c r="BGX268" s="18"/>
      <c r="BGY268" s="18"/>
      <c r="BGZ268" s="18"/>
      <c r="BHA268" s="18"/>
      <c r="BHB268" s="18"/>
      <c r="BHC268" s="18"/>
      <c r="BHD268" s="18"/>
      <c r="BHE268" s="18"/>
      <c r="BHF268" s="18"/>
      <c r="BHG268" s="18"/>
      <c r="BHH268" s="18"/>
      <c r="BHI268" s="18"/>
      <c r="BHJ268" s="18"/>
      <c r="BHK268" s="18"/>
      <c r="BHL268" s="18"/>
      <c r="BHM268" s="18"/>
      <c r="BHN268" s="18"/>
      <c r="BHO268" s="18"/>
      <c r="BHP268" s="18"/>
      <c r="BHQ268" s="18"/>
      <c r="BHR268" s="18"/>
      <c r="BHS268" s="18"/>
      <c r="BHT268" s="18"/>
      <c r="BHU268" s="18"/>
      <c r="BHV268" s="18"/>
      <c r="BHW268" s="18"/>
      <c r="BHX268" s="18"/>
      <c r="BHY268" s="18"/>
      <c r="BHZ268" s="18"/>
      <c r="BIA268" s="18"/>
      <c r="BIB268" s="18"/>
      <c r="BIC268" s="18"/>
      <c r="BID268" s="18"/>
      <c r="BIE268" s="18"/>
      <c r="BIF268" s="18"/>
      <c r="BIG268" s="18"/>
      <c r="BIH268" s="18"/>
      <c r="BII268" s="18"/>
      <c r="BIJ268" s="18"/>
      <c r="BIK268" s="18"/>
      <c r="BIL268" s="18"/>
      <c r="BIM268" s="18"/>
      <c r="BIN268" s="18"/>
      <c r="BIO268" s="18"/>
      <c r="BIP268" s="18"/>
      <c r="BIQ268" s="18"/>
      <c r="BIR268" s="18"/>
      <c r="BIS268" s="18"/>
      <c r="BIT268" s="18"/>
      <c r="BIU268" s="18"/>
      <c r="BIV268" s="18"/>
      <c r="BIW268" s="18"/>
      <c r="BIX268" s="18"/>
      <c r="BIY268" s="18"/>
      <c r="BIZ268" s="18"/>
      <c r="BJA268" s="18"/>
      <c r="BJB268" s="18"/>
      <c r="BJC268" s="18"/>
      <c r="BJD268" s="18"/>
      <c r="BJE268" s="18"/>
      <c r="BJF268" s="18"/>
      <c r="BJG268" s="18"/>
      <c r="BJH268" s="18"/>
      <c r="BJI268" s="18"/>
      <c r="BJJ268" s="18"/>
      <c r="BJK268" s="18"/>
      <c r="BJL268" s="18"/>
      <c r="BJM268" s="18"/>
      <c r="BJN268" s="18"/>
      <c r="BJO268" s="18"/>
      <c r="BJP268" s="18"/>
      <c r="BJQ268" s="18"/>
      <c r="BJR268" s="18"/>
      <c r="BJS268" s="18"/>
      <c r="BJT268" s="18"/>
      <c r="BJU268" s="18"/>
      <c r="BJV268" s="18"/>
      <c r="BJW268" s="18"/>
      <c r="BJX268" s="18"/>
      <c r="BJY268" s="18"/>
      <c r="BJZ268" s="18"/>
      <c r="BKA268" s="18"/>
      <c r="BKB268" s="18"/>
      <c r="BKC268" s="18"/>
      <c r="BKD268" s="18"/>
      <c r="BKE268" s="18"/>
      <c r="BKF268" s="18"/>
      <c r="BKG268" s="18"/>
      <c r="BKH268" s="18"/>
      <c r="BKI268" s="18"/>
      <c r="BKJ268" s="18"/>
      <c r="BKK268" s="18"/>
      <c r="BKL268" s="18"/>
      <c r="BKM268" s="18"/>
      <c r="BKN268" s="18"/>
      <c r="BKO268" s="18"/>
      <c r="BKP268" s="18"/>
      <c r="BKQ268" s="18"/>
      <c r="BKR268" s="18"/>
      <c r="BKS268" s="18"/>
      <c r="BKT268" s="18"/>
      <c r="BKU268" s="18"/>
      <c r="BKV268" s="18"/>
      <c r="BKW268" s="18"/>
      <c r="BKX268" s="18"/>
      <c r="BKY268" s="18"/>
      <c r="BKZ268" s="18"/>
      <c r="BLA268" s="18"/>
      <c r="BLB268" s="18"/>
      <c r="BLC268" s="18"/>
      <c r="BLD268" s="18"/>
      <c r="BLE268" s="18"/>
      <c r="BLF268" s="18"/>
      <c r="BLG268" s="18"/>
      <c r="BLH268" s="18"/>
      <c r="BLI268" s="18"/>
      <c r="BLJ268" s="18"/>
      <c r="BLK268" s="18"/>
      <c r="BLL268" s="18"/>
      <c r="BLM268" s="18"/>
      <c r="BLN268" s="18"/>
      <c r="BLO268" s="18"/>
      <c r="BLP268" s="18"/>
      <c r="BLQ268" s="18"/>
      <c r="BLR268" s="18"/>
      <c r="BLS268" s="18"/>
      <c r="BLT268" s="18"/>
      <c r="BLU268" s="18"/>
      <c r="BLV268" s="18"/>
      <c r="BLW268" s="18"/>
      <c r="BLX268" s="18"/>
      <c r="BLY268" s="18"/>
      <c r="BLZ268" s="18"/>
      <c r="BMA268" s="18"/>
      <c r="BMB268" s="18"/>
      <c r="BMC268" s="18"/>
      <c r="BMD268" s="18"/>
      <c r="BME268" s="18"/>
      <c r="BMF268" s="18"/>
      <c r="BMG268" s="18"/>
      <c r="BMH268" s="18"/>
      <c r="BMI268" s="18"/>
      <c r="BMJ268" s="18"/>
      <c r="BMK268" s="18"/>
      <c r="BML268" s="18"/>
      <c r="BMM268" s="18"/>
      <c r="BMN268" s="18"/>
      <c r="BMO268" s="18"/>
      <c r="BMP268" s="18"/>
      <c r="BMQ268" s="18"/>
      <c r="BMR268" s="18"/>
      <c r="BMS268" s="18"/>
      <c r="BMT268" s="18"/>
      <c r="BMU268" s="18"/>
      <c r="BMV268" s="18"/>
      <c r="BMW268" s="18"/>
      <c r="BMX268" s="18"/>
      <c r="BMY268" s="18"/>
      <c r="BMZ268" s="18"/>
      <c r="BNA268" s="18"/>
      <c r="BNB268" s="18"/>
      <c r="BNC268" s="18"/>
      <c r="BND268" s="18"/>
      <c r="BNE268" s="18"/>
      <c r="BNF268" s="18"/>
      <c r="BNG268" s="18"/>
      <c r="BNH268" s="18"/>
      <c r="BNI268" s="18"/>
      <c r="BNJ268" s="18"/>
      <c r="BNK268" s="18"/>
      <c r="BNL268" s="18"/>
      <c r="BNM268" s="18"/>
      <c r="BNN268" s="18"/>
      <c r="BNO268" s="18"/>
      <c r="BNP268" s="18"/>
      <c r="BNQ268" s="18"/>
      <c r="BNR268" s="18"/>
      <c r="BNS268" s="18"/>
      <c r="BNT268" s="18"/>
      <c r="BNU268" s="18"/>
      <c r="BNV268" s="18"/>
      <c r="BNW268" s="18"/>
      <c r="BNX268" s="18"/>
      <c r="BNY268" s="18"/>
      <c r="BNZ268" s="18"/>
      <c r="BOA268" s="18"/>
      <c r="BOB268" s="18"/>
      <c r="BOC268" s="18"/>
      <c r="BOD268" s="18"/>
      <c r="BOE268" s="18"/>
      <c r="BOF268" s="18"/>
      <c r="BOG268" s="18"/>
      <c r="BOH268" s="18"/>
      <c r="BOI268" s="18"/>
      <c r="BOJ268" s="18"/>
      <c r="BOK268" s="18"/>
      <c r="BOL268" s="18"/>
      <c r="BOM268" s="18"/>
      <c r="BON268" s="18"/>
      <c r="BOO268" s="18"/>
      <c r="BOP268" s="18"/>
      <c r="BOQ268" s="18"/>
      <c r="BOR268" s="18"/>
      <c r="BOS268" s="18"/>
      <c r="BOT268" s="18"/>
      <c r="BOU268" s="18"/>
      <c r="BOV268" s="18"/>
      <c r="BOW268" s="18"/>
      <c r="BOX268" s="18"/>
      <c r="BOY268" s="18"/>
      <c r="BOZ268" s="18"/>
      <c r="BPA268" s="18"/>
      <c r="BPB268" s="18"/>
      <c r="BPC268" s="18"/>
      <c r="BPD268" s="18"/>
      <c r="BPE268" s="18"/>
      <c r="BPF268" s="18"/>
      <c r="BPG268" s="18"/>
      <c r="BPH268" s="18"/>
      <c r="BPI268" s="18"/>
      <c r="BPJ268" s="18"/>
      <c r="BPK268" s="18"/>
      <c r="BPL268" s="18"/>
      <c r="BPM268" s="18"/>
      <c r="BPN268" s="18"/>
      <c r="BPO268" s="18"/>
      <c r="BPP268" s="18"/>
      <c r="BPQ268" s="18"/>
      <c r="BPR268" s="18"/>
      <c r="BPS268" s="18"/>
      <c r="BPT268" s="18"/>
      <c r="BPU268" s="18"/>
      <c r="BPV268" s="18"/>
      <c r="BPW268" s="18"/>
      <c r="BPX268" s="18"/>
      <c r="BPY268" s="18"/>
      <c r="BPZ268" s="18"/>
      <c r="BQA268" s="18"/>
      <c r="BQB268" s="18"/>
      <c r="BQC268" s="18"/>
      <c r="BQD268" s="18"/>
      <c r="BQE268" s="18"/>
      <c r="BQF268" s="18"/>
      <c r="BQG268" s="18"/>
      <c r="BQH268" s="18"/>
      <c r="BQI268" s="18"/>
      <c r="BQJ268" s="18"/>
      <c r="BQK268" s="18"/>
      <c r="BQL268" s="18"/>
      <c r="BQM268" s="18"/>
      <c r="BQN268" s="18"/>
      <c r="BQO268" s="18"/>
      <c r="BQP268" s="18"/>
      <c r="BQQ268" s="18"/>
      <c r="BQR268" s="18"/>
      <c r="BQS268" s="18"/>
      <c r="BQT268" s="18"/>
      <c r="BQU268" s="18"/>
      <c r="BQV268" s="18"/>
      <c r="BQW268" s="18"/>
      <c r="BQX268" s="18"/>
      <c r="BQY268" s="18"/>
      <c r="BQZ268" s="18"/>
      <c r="BRA268" s="18"/>
      <c r="BRB268" s="18"/>
      <c r="BRC268" s="18"/>
      <c r="BRD268" s="18"/>
      <c r="BRE268" s="18"/>
      <c r="BRF268" s="18"/>
      <c r="BRG268" s="18"/>
      <c r="BRH268" s="18"/>
      <c r="BRI268" s="18"/>
      <c r="BRJ268" s="18"/>
      <c r="BRK268" s="18"/>
      <c r="BRL268" s="18"/>
      <c r="BRM268" s="18"/>
      <c r="BRN268" s="18"/>
      <c r="BRO268" s="18"/>
      <c r="BRP268" s="18"/>
      <c r="BRQ268" s="18"/>
      <c r="BRR268" s="18"/>
      <c r="BRS268" s="18"/>
      <c r="BRT268" s="18"/>
      <c r="BRU268" s="18"/>
      <c r="BRV268" s="18"/>
      <c r="BRW268" s="18"/>
      <c r="BRX268" s="18"/>
      <c r="BRY268" s="18"/>
      <c r="BRZ268" s="18"/>
      <c r="BSA268" s="18"/>
      <c r="BSB268" s="18"/>
      <c r="BSC268" s="18"/>
      <c r="BSD268" s="18"/>
      <c r="BSE268" s="18"/>
      <c r="BSF268" s="18"/>
      <c r="BSG268" s="18"/>
      <c r="BSH268" s="18"/>
      <c r="BSI268" s="18"/>
      <c r="BSJ268" s="18"/>
      <c r="BSK268" s="18"/>
      <c r="BSL268" s="18"/>
      <c r="BSM268" s="18"/>
      <c r="BSN268" s="18"/>
      <c r="BSO268" s="18"/>
      <c r="BSP268" s="18"/>
      <c r="BSQ268" s="18"/>
      <c r="BSR268" s="18"/>
      <c r="BSS268" s="18"/>
      <c r="BST268" s="18"/>
      <c r="BSU268" s="18"/>
      <c r="BSV268" s="18"/>
      <c r="BSW268" s="18"/>
      <c r="BSX268" s="18"/>
      <c r="BSY268" s="18"/>
      <c r="BSZ268" s="18"/>
      <c r="BTA268" s="18"/>
      <c r="BTB268" s="18"/>
      <c r="BTC268" s="18"/>
      <c r="BTD268" s="18"/>
      <c r="BTE268" s="18"/>
      <c r="BTF268" s="18"/>
      <c r="BTG268" s="18"/>
      <c r="BTH268" s="18"/>
      <c r="BTI268" s="18"/>
    </row>
    <row r="269" spans="1:1881" ht="35.25" customHeight="1" x14ac:dyDescent="0.3">
      <c r="A269" s="108"/>
      <c r="B269" s="864" t="s">
        <v>25</v>
      </c>
      <c r="C269" s="865"/>
      <c r="D269" s="867"/>
      <c r="E269" s="881"/>
      <c r="F269" s="882"/>
      <c r="G269" s="849"/>
      <c r="H269" s="17"/>
      <c r="I269" s="79"/>
      <c r="J269" s="575"/>
      <c r="Z269" s="108"/>
      <c r="AA269" s="108"/>
      <c r="AB269" s="108"/>
      <c r="AC269" s="108"/>
      <c r="AD269" s="108"/>
      <c r="AE269" s="108"/>
      <c r="AF269" s="108"/>
      <c r="AG269" s="108"/>
      <c r="AH269" s="108"/>
      <c r="AI269" s="108"/>
      <c r="AJ269" s="108"/>
      <c r="AK269" s="108"/>
      <c r="AL269" s="108"/>
      <c r="AM269" s="108"/>
      <c r="AN269" s="108"/>
      <c r="AO269" s="108"/>
      <c r="AP269" s="108"/>
      <c r="AQ269" s="108"/>
      <c r="AR269" s="108"/>
    </row>
    <row r="270" spans="1:1881" ht="168" customHeight="1" x14ac:dyDescent="0.3">
      <c r="A270" s="125">
        <v>621</v>
      </c>
      <c r="B270" s="125" t="s">
        <v>362</v>
      </c>
      <c r="C270" s="124" t="s">
        <v>435</v>
      </c>
      <c r="D270" s="124" t="s">
        <v>1126</v>
      </c>
      <c r="E270" s="669" t="e">
        <f>HLOOKUP($D$2,'2020 Data(H)'!$C$1:$CZ$426,281,FALSE)</f>
        <v>#N/A</v>
      </c>
      <c r="F270" s="294">
        <v>0</v>
      </c>
      <c r="G270" s="773" t="s">
        <v>1127</v>
      </c>
      <c r="Z270" s="125"/>
      <c r="AA270" s="125"/>
      <c r="AB270" s="125"/>
      <c r="AC270" s="125"/>
      <c r="AD270" s="125"/>
      <c r="AE270" s="125"/>
      <c r="AF270" s="125"/>
      <c r="AG270" s="125"/>
      <c r="AH270" s="125"/>
      <c r="AI270" s="125"/>
      <c r="AJ270" s="125"/>
      <c r="AK270" s="125"/>
      <c r="AL270" s="125"/>
      <c r="AM270" s="125"/>
      <c r="AN270" s="125"/>
      <c r="AO270" s="125"/>
      <c r="AP270" s="125"/>
      <c r="AQ270" s="125"/>
      <c r="AR270" s="125"/>
    </row>
    <row r="271" spans="1:1881" ht="176.25" customHeight="1" x14ac:dyDescent="0.3">
      <c r="A271" s="108">
        <v>547</v>
      </c>
      <c r="B271" s="671"/>
      <c r="C271" s="671" t="s">
        <v>167</v>
      </c>
      <c r="D271" s="668" t="s">
        <v>320</v>
      </c>
      <c r="E271" s="669" t="e">
        <f>HLOOKUP($D$2,'2020 Data(H)'!$C$1:$CZ$426,197,FALSE)</f>
        <v>#N/A</v>
      </c>
      <c r="F271" s="738"/>
      <c r="G271" s="772" t="str">
        <f>IF(F271&lt;1,"Please answer this question","")</f>
        <v>Please answer this question</v>
      </c>
      <c r="H271" s="731"/>
      <c r="I271" s="732"/>
      <c r="Z271" s="108"/>
      <c r="AA271" s="108"/>
      <c r="AB271" s="108"/>
      <c r="AC271" s="108"/>
      <c r="AD271" s="108"/>
      <c r="AE271" s="108"/>
      <c r="AF271" s="108"/>
      <c r="AG271" s="108"/>
      <c r="AH271" s="108"/>
      <c r="AI271" s="108"/>
      <c r="AJ271" s="108"/>
      <c r="AK271" s="108"/>
      <c r="AL271" s="108"/>
      <c r="AM271" s="108"/>
      <c r="AN271" s="108"/>
      <c r="AO271" s="108"/>
      <c r="AP271" s="108"/>
      <c r="AQ271" s="108"/>
      <c r="AR271" s="108"/>
    </row>
    <row r="272" spans="1:1881" s="18" customFormat="1" ht="221.25" customHeight="1" x14ac:dyDescent="0.3">
      <c r="A272" s="307">
        <v>659</v>
      </c>
      <c r="B272" s="824" t="s">
        <v>59</v>
      </c>
      <c r="C272" s="824" t="s">
        <v>417</v>
      </c>
      <c r="D272" s="310" t="s">
        <v>1128</v>
      </c>
      <c r="E272" s="669" t="e">
        <f>HLOOKUP($D$2,'2020 Data(H)'!$C$1:$CZ$426,312,FALSE)</f>
        <v>#N/A</v>
      </c>
      <c r="F272" s="295">
        <v>0</v>
      </c>
      <c r="G272" s="773" t="s">
        <v>1129</v>
      </c>
      <c r="H272" s="730">
        <f>IF(F269&lt;0,"Error: Enter as positive.",)</f>
        <v>0</v>
      </c>
      <c r="I272" s="373"/>
      <c r="N272" s="296"/>
      <c r="Z272" s="307"/>
      <c r="AA272" s="307"/>
      <c r="AB272" s="307"/>
      <c r="AC272" s="307"/>
      <c r="AD272" s="307"/>
      <c r="AE272" s="307"/>
      <c r="AF272" s="307"/>
      <c r="AG272" s="307"/>
      <c r="AH272" s="307"/>
      <c r="AI272" s="307"/>
      <c r="AJ272" s="307"/>
      <c r="AK272" s="307"/>
      <c r="AL272" s="307"/>
      <c r="AM272" s="307"/>
      <c r="AN272" s="307"/>
      <c r="AO272" s="307"/>
      <c r="AP272" s="307"/>
      <c r="AQ272" s="307"/>
      <c r="AR272" s="307"/>
    </row>
    <row r="273" spans="1:44" ht="65.25" customHeight="1" x14ac:dyDescent="0.3">
      <c r="A273" s="307">
        <v>660</v>
      </c>
      <c r="B273" s="824" t="s">
        <v>59</v>
      </c>
      <c r="C273" s="824" t="s">
        <v>417</v>
      </c>
      <c r="D273" s="310" t="s">
        <v>1130</v>
      </c>
      <c r="E273" s="669" t="e">
        <f>HLOOKUP($D$2,'2020 Data(H)'!$C$1:$CZ$426,313,FALSE)</f>
        <v>#N/A</v>
      </c>
      <c r="F273" s="295">
        <v>0</v>
      </c>
      <c r="G273" s="773" t="str">
        <f>IF(ISBLANK(F273),"Please do not leave blank","")</f>
        <v/>
      </c>
      <c r="H273" s="730">
        <f>IF(F270&lt;0,"Note: Number is normally positive.",)</f>
        <v>0</v>
      </c>
      <c r="I273" s="17"/>
      <c r="Z273" s="307"/>
      <c r="AA273" s="307"/>
      <c r="AB273" s="307"/>
      <c r="AC273" s="307"/>
      <c r="AD273" s="307"/>
      <c r="AE273" s="307"/>
      <c r="AF273" s="307"/>
      <c r="AG273" s="307"/>
      <c r="AH273" s="307"/>
      <c r="AI273" s="307"/>
      <c r="AJ273" s="307"/>
      <c r="AK273" s="307"/>
      <c r="AL273" s="307"/>
      <c r="AM273" s="307"/>
      <c r="AN273" s="307"/>
      <c r="AO273" s="307"/>
      <c r="AP273" s="307"/>
      <c r="AQ273" s="307"/>
      <c r="AR273" s="307"/>
    </row>
    <row r="274" spans="1:44" ht="94.5" customHeight="1" x14ac:dyDescent="0.3">
      <c r="A274" s="307">
        <v>661</v>
      </c>
      <c r="B274" s="824" t="s">
        <v>59</v>
      </c>
      <c r="C274" s="824" t="s">
        <v>421</v>
      </c>
      <c r="D274" s="636" t="s">
        <v>1131</v>
      </c>
      <c r="E274" s="375" t="e">
        <f>HLOOKUP($D$2,'2020 Data(H)'!$C$1:$CZ$426,314,FALSE)</f>
        <v>#N/A</v>
      </c>
      <c r="F274" s="273">
        <v>0</v>
      </c>
      <c r="G274" s="773" t="str">
        <f>IF(ISBLANK(F274),"Please do not leave blank ",IF(F274=H274,"","Please review percentage"))</f>
        <v/>
      </c>
      <c r="H274" s="774">
        <f>ROUND(IFERROR((F273/F272)*100,0),1)</f>
        <v>0</v>
      </c>
      <c r="I274" s="774"/>
      <c r="Z274" s="307"/>
      <c r="AA274" s="307"/>
      <c r="AB274" s="307"/>
      <c r="AC274" s="307"/>
      <c r="AD274" s="307"/>
      <c r="AE274" s="307"/>
      <c r="AF274" s="307"/>
      <c r="AG274" s="307"/>
      <c r="AH274" s="307"/>
      <c r="AI274" s="307"/>
      <c r="AJ274" s="307"/>
      <c r="AK274" s="307"/>
      <c r="AL274" s="307"/>
      <c r="AM274" s="307"/>
      <c r="AN274" s="307"/>
      <c r="AO274" s="307"/>
      <c r="AP274" s="307"/>
      <c r="AQ274" s="307"/>
      <c r="AR274" s="307"/>
    </row>
    <row r="275" spans="1:44" ht="111.75" customHeight="1" x14ac:dyDescent="0.3">
      <c r="A275" s="108"/>
      <c r="B275" s="671"/>
      <c r="C275" s="671"/>
      <c r="D275" s="27" t="s">
        <v>26</v>
      </c>
      <c r="E275" s="673"/>
      <c r="F275" s="676"/>
      <c r="G275" s="773"/>
      <c r="H275" s="774"/>
      <c r="I275" s="775"/>
      <c r="Z275" s="108"/>
      <c r="AA275" s="108"/>
      <c r="AB275" s="108"/>
      <c r="AC275" s="108"/>
      <c r="AD275" s="108"/>
      <c r="AE275" s="108"/>
      <c r="AF275" s="108"/>
      <c r="AG275" s="108"/>
      <c r="AH275" s="108"/>
      <c r="AI275" s="108"/>
      <c r="AJ275" s="108"/>
      <c r="AK275" s="108"/>
      <c r="AL275" s="108"/>
      <c r="AM275" s="108"/>
      <c r="AN275" s="108"/>
      <c r="AO275" s="108"/>
      <c r="AP275" s="108"/>
      <c r="AQ275" s="108"/>
      <c r="AR275" s="108"/>
    </row>
    <row r="276" spans="1:44" ht="32.25" hidden="1" customHeight="1" x14ac:dyDescent="0.3">
      <c r="A276" s="108"/>
      <c r="B276" s="864" t="s">
        <v>27</v>
      </c>
      <c r="C276" s="865"/>
      <c r="D276" s="867"/>
      <c r="E276" s="881"/>
      <c r="F276" s="881"/>
      <c r="G276" s="849"/>
      <c r="H276" s="17"/>
      <c r="I276" s="79"/>
      <c r="Z276" s="108"/>
      <c r="AA276" s="108"/>
      <c r="AB276" s="108"/>
      <c r="AC276" s="108"/>
      <c r="AD276" s="108"/>
      <c r="AE276" s="108"/>
      <c r="AF276" s="108"/>
      <c r="AG276" s="108"/>
      <c r="AH276" s="108"/>
      <c r="AI276" s="108"/>
      <c r="AJ276" s="108"/>
      <c r="AK276" s="108"/>
      <c r="AL276" s="108"/>
      <c r="AM276" s="108"/>
      <c r="AN276" s="108"/>
      <c r="AO276" s="108"/>
      <c r="AP276" s="108"/>
      <c r="AQ276" s="108"/>
      <c r="AR276" s="108"/>
    </row>
    <row r="277" spans="1:44" ht="63.75" hidden="1" customHeight="1" x14ac:dyDescent="0.3">
      <c r="A277" s="33">
        <v>371</v>
      </c>
      <c r="B277" s="4" t="s">
        <v>56</v>
      </c>
      <c r="C277" s="4" t="s">
        <v>168</v>
      </c>
      <c r="D277" s="24" t="s">
        <v>1233</v>
      </c>
      <c r="E277" s="669" t="e">
        <f>HLOOKUP($D$2,'2020 Data(H)'!$C$1:$CZ$426,132,FALSE)</f>
        <v>#N/A</v>
      </c>
      <c r="F277" s="295">
        <v>0</v>
      </c>
      <c r="G277" s="730">
        <f>IF(F277&lt;0,"Error: Enter as positive.",)</f>
        <v>0</v>
      </c>
      <c r="H277" s="17"/>
      <c r="I277" s="79"/>
      <c r="Z277" s="33"/>
      <c r="AA277" s="33"/>
      <c r="AB277" s="33"/>
      <c r="AC277" s="33"/>
      <c r="AD277" s="33"/>
      <c r="AE277" s="33"/>
      <c r="AF277" s="33"/>
      <c r="AG277" s="33"/>
      <c r="AH277" s="33"/>
      <c r="AI277" s="33"/>
      <c r="AJ277" s="33"/>
      <c r="AK277" s="33"/>
      <c r="AL277" s="33"/>
      <c r="AM277" s="33"/>
      <c r="AN277" s="33"/>
      <c r="AO277" s="33"/>
      <c r="AP277" s="33"/>
      <c r="AQ277" s="33"/>
      <c r="AR277" s="33"/>
    </row>
    <row r="278" spans="1:44" ht="70.5" hidden="1" customHeight="1" x14ac:dyDescent="0.3">
      <c r="A278" s="108">
        <v>513</v>
      </c>
      <c r="B278" s="822" t="s">
        <v>58</v>
      </c>
      <c r="C278" s="4" t="s">
        <v>168</v>
      </c>
      <c r="D278" s="24" t="s">
        <v>1234</v>
      </c>
      <c r="E278" s="669" t="e">
        <f>HLOOKUP($D$2,'2020 Data(H)'!$C$1:$CZ$426,163,FALSE)</f>
        <v>#N/A</v>
      </c>
      <c r="F278" s="295">
        <v>0</v>
      </c>
      <c r="G278" s="730">
        <f>IF(F278&lt;0,"Error: Enter as positive.",)</f>
        <v>0</v>
      </c>
      <c r="H278" s="731"/>
      <c r="I278" s="732"/>
      <c r="Z278" s="108"/>
      <c r="AA278" s="108"/>
      <c r="AB278" s="108"/>
      <c r="AC278" s="108"/>
      <c r="AD278" s="108"/>
      <c r="AE278" s="108"/>
      <c r="AF278" s="108"/>
      <c r="AG278" s="108"/>
      <c r="AH278" s="108"/>
      <c r="AI278" s="108"/>
      <c r="AJ278" s="108"/>
      <c r="AK278" s="108"/>
      <c r="AL278" s="108"/>
      <c r="AM278" s="108"/>
      <c r="AN278" s="108"/>
      <c r="AO278" s="108"/>
      <c r="AP278" s="108"/>
      <c r="AQ278" s="108"/>
      <c r="AR278" s="108"/>
    </row>
    <row r="279" spans="1:44" ht="80.25" hidden="1" customHeight="1" x14ac:dyDescent="0.3">
      <c r="A279" s="108">
        <v>514</v>
      </c>
      <c r="B279" s="822" t="s">
        <v>58</v>
      </c>
      <c r="C279" s="4" t="s">
        <v>168</v>
      </c>
      <c r="D279" s="24" t="s">
        <v>1235</v>
      </c>
      <c r="E279" s="669" t="e">
        <f>HLOOKUP($D$2,'2020 Data(H)'!$C$1:$CZ$426,164,FALSE)</f>
        <v>#N/A</v>
      </c>
      <c r="F279" s="295">
        <v>0</v>
      </c>
      <c r="G279" s="730">
        <f>IF(F279&lt;0,"Error: Enter as positive.",)</f>
        <v>0</v>
      </c>
      <c r="H279" s="17"/>
      <c r="I279" s="732"/>
      <c r="Z279" s="108"/>
      <c r="AA279" s="108"/>
      <c r="AB279" s="108"/>
      <c r="AC279" s="108"/>
      <c r="AD279" s="108"/>
      <c r="AE279" s="108"/>
      <c r="AF279" s="108"/>
      <c r="AG279" s="108"/>
      <c r="AH279" s="108"/>
      <c r="AI279" s="108"/>
      <c r="AJ279" s="108"/>
      <c r="AK279" s="108"/>
      <c r="AL279" s="108"/>
      <c r="AM279" s="108"/>
      <c r="AN279" s="108"/>
      <c r="AO279" s="108"/>
      <c r="AP279" s="108"/>
      <c r="AQ279" s="108"/>
      <c r="AR279" s="108"/>
    </row>
    <row r="280" spans="1:44" ht="80.25" hidden="1" customHeight="1" x14ac:dyDescent="0.3">
      <c r="A280" s="108">
        <v>990</v>
      </c>
      <c r="B280" s="831" t="s">
        <v>755</v>
      </c>
      <c r="C280" s="828" t="s">
        <v>168</v>
      </c>
      <c r="D280" s="757" t="s">
        <v>756</v>
      </c>
      <c r="E280" s="671" t="s">
        <v>732</v>
      </c>
      <c r="F280" s="295">
        <v>0</v>
      </c>
      <c r="G280" s="730"/>
      <c r="H280" s="17"/>
      <c r="I280" s="732"/>
      <c r="Z280" s="108"/>
      <c r="AA280" s="108"/>
      <c r="AB280" s="108"/>
      <c r="AC280" s="108"/>
      <c r="AD280" s="108"/>
      <c r="AE280" s="108"/>
      <c r="AF280" s="108"/>
      <c r="AG280" s="108"/>
      <c r="AH280" s="108"/>
      <c r="AI280" s="108"/>
      <c r="AJ280" s="108"/>
      <c r="AK280" s="108"/>
      <c r="AL280" s="108"/>
      <c r="AM280" s="108"/>
      <c r="AN280" s="108"/>
      <c r="AO280" s="108"/>
      <c r="AP280" s="108"/>
      <c r="AQ280" s="108"/>
      <c r="AR280" s="108"/>
    </row>
    <row r="281" spans="1:44" ht="32.25" customHeight="1" x14ac:dyDescent="0.3">
      <c r="A281" s="108"/>
      <c r="B281" s="864" t="s">
        <v>28</v>
      </c>
      <c r="C281" s="865"/>
      <c r="D281" s="867"/>
      <c r="E281" s="881"/>
      <c r="F281" s="849"/>
      <c r="G281" s="849"/>
      <c r="H281" s="17"/>
      <c r="I281" s="79"/>
      <c r="Z281" s="108"/>
      <c r="AA281" s="108"/>
      <c r="AB281" s="108"/>
      <c r="AC281" s="108"/>
      <c r="AD281" s="108"/>
      <c r="AE281" s="108"/>
      <c r="AF281" s="108"/>
      <c r="AG281" s="108"/>
      <c r="AH281" s="108"/>
      <c r="AI281" s="108"/>
      <c r="AJ281" s="108"/>
      <c r="AK281" s="108"/>
      <c r="AL281" s="108"/>
      <c r="AM281" s="108"/>
      <c r="AN281" s="108"/>
      <c r="AO281" s="108"/>
      <c r="AP281" s="108"/>
      <c r="AQ281" s="108"/>
      <c r="AR281" s="108"/>
    </row>
    <row r="282" spans="1:44" ht="68.25" customHeight="1" x14ac:dyDescent="0.3">
      <c r="A282" s="108">
        <v>6</v>
      </c>
      <c r="B282" s="4" t="s">
        <v>55</v>
      </c>
      <c r="C282" s="4" t="s">
        <v>169</v>
      </c>
      <c r="D282" s="24" t="s">
        <v>1236</v>
      </c>
      <c r="E282" s="669" t="e">
        <f>HLOOKUP($D$2,'2020 Data(H)'!$C$1:$CZ$426,5,FALSE)</f>
        <v>#N/A</v>
      </c>
      <c r="F282" s="295">
        <v>0</v>
      </c>
      <c r="G282" s="730">
        <f>IF(F282&lt;0,"Error: Enter as positive.",)</f>
        <v>0</v>
      </c>
      <c r="H282" s="17"/>
      <c r="I282" s="79"/>
      <c r="J282" s="575"/>
      <c r="Z282" s="108"/>
      <c r="AA282" s="108"/>
      <c r="AB282" s="108"/>
      <c r="AC282" s="108"/>
      <c r="AD282" s="108"/>
      <c r="AE282" s="108"/>
      <c r="AF282" s="108"/>
      <c r="AG282" s="108"/>
      <c r="AH282" s="108"/>
      <c r="AI282" s="108"/>
      <c r="AJ282" s="108"/>
      <c r="AK282" s="108"/>
      <c r="AL282" s="108"/>
      <c r="AM282" s="108"/>
      <c r="AN282" s="108"/>
      <c r="AO282" s="108"/>
      <c r="AP282" s="108"/>
      <c r="AQ282" s="108"/>
      <c r="AR282" s="108"/>
    </row>
    <row r="283" spans="1:44" ht="33" hidden="1" customHeight="1" x14ac:dyDescent="0.3">
      <c r="A283" s="108"/>
      <c r="B283" s="864" t="s">
        <v>180</v>
      </c>
      <c r="C283" s="865"/>
      <c r="D283" s="867"/>
      <c r="E283" s="883"/>
      <c r="F283" s="859"/>
      <c r="G283" s="859"/>
      <c r="H283" s="731"/>
      <c r="I283" s="732"/>
      <c r="J283" s="575"/>
      <c r="Z283" s="108"/>
      <c r="AA283" s="108"/>
      <c r="AB283" s="108"/>
      <c r="AC283" s="108"/>
      <c r="AD283" s="108"/>
      <c r="AE283" s="108"/>
      <c r="AF283" s="108"/>
      <c r="AG283" s="108"/>
      <c r="AH283" s="108"/>
      <c r="AI283" s="108"/>
      <c r="AJ283" s="108"/>
      <c r="AK283" s="108"/>
      <c r="AL283" s="108"/>
      <c r="AM283" s="108"/>
      <c r="AN283" s="108"/>
      <c r="AO283" s="108"/>
      <c r="AP283" s="108"/>
      <c r="AQ283" s="108"/>
      <c r="AR283" s="108"/>
    </row>
    <row r="284" spans="1:44" ht="141" hidden="1" customHeight="1" x14ac:dyDescent="0.3">
      <c r="A284" s="108">
        <v>541</v>
      </c>
      <c r="B284" s="671" t="s">
        <v>59</v>
      </c>
      <c r="C284" s="671" t="s">
        <v>1237</v>
      </c>
      <c r="D284" s="668" t="s">
        <v>1238</v>
      </c>
      <c r="E284" s="669" t="e">
        <f>HLOOKUP($D$2,'2020 Data(H)'!$C$1:$CZ$426,191,FALSE)</f>
        <v>#N/A</v>
      </c>
      <c r="F284" s="295">
        <v>0</v>
      </c>
      <c r="G284" s="730"/>
      <c r="H284" s="731"/>
      <c r="I284" s="732"/>
      <c r="J284" s="575"/>
      <c r="Z284" s="108"/>
      <c r="AA284" s="108"/>
      <c r="AB284" s="108"/>
      <c r="AC284" s="108"/>
      <c r="AD284" s="108"/>
      <c r="AE284" s="108"/>
      <c r="AF284" s="108"/>
      <c r="AG284" s="108"/>
      <c r="AH284" s="108"/>
      <c r="AI284" s="108"/>
      <c r="AJ284" s="108"/>
      <c r="AK284" s="108"/>
      <c r="AL284" s="108"/>
      <c r="AM284" s="108"/>
      <c r="AN284" s="108"/>
      <c r="AO284" s="108"/>
      <c r="AP284" s="108"/>
      <c r="AQ284" s="108"/>
      <c r="AR284" s="108"/>
    </row>
    <row r="285" spans="1:44" ht="28.5" hidden="1" customHeight="1" x14ac:dyDescent="0.3">
      <c r="A285" s="108"/>
      <c r="B285" s="865" t="s">
        <v>50</v>
      </c>
      <c r="C285" s="865"/>
      <c r="D285" s="867"/>
      <c r="E285" s="883"/>
      <c r="F285" s="879"/>
      <c r="G285" s="879"/>
      <c r="H285" s="731"/>
      <c r="I285" s="732"/>
      <c r="Z285" s="108"/>
      <c r="AA285" s="108"/>
      <c r="AB285" s="108"/>
      <c r="AC285" s="108"/>
      <c r="AD285" s="108"/>
      <c r="AE285" s="108"/>
      <c r="AF285" s="108"/>
      <c r="AG285" s="108"/>
      <c r="AH285" s="108"/>
      <c r="AI285" s="108"/>
      <c r="AJ285" s="108"/>
      <c r="AK285" s="108"/>
      <c r="AL285" s="108"/>
      <c r="AM285" s="108"/>
      <c r="AN285" s="108"/>
      <c r="AO285" s="108"/>
      <c r="AP285" s="108"/>
      <c r="AQ285" s="108"/>
      <c r="AR285" s="108"/>
    </row>
    <row r="286" spans="1:44" ht="77.25" hidden="1" customHeight="1" x14ac:dyDescent="0.3">
      <c r="A286" s="108">
        <v>542</v>
      </c>
      <c r="B286" s="671" t="s">
        <v>59</v>
      </c>
      <c r="C286" s="832" t="s">
        <v>1239</v>
      </c>
      <c r="D286" s="29" t="s">
        <v>170</v>
      </c>
      <c r="E286" s="669" t="e">
        <f>HLOOKUP($D$2,'2020 Data(H)'!$C$1:$CZ$426,192,FALSE)</f>
        <v>#N/A</v>
      </c>
      <c r="F286" s="295">
        <v>0</v>
      </c>
      <c r="G286" s="730"/>
      <c r="H286" s="731"/>
      <c r="I286" s="776"/>
      <c r="Z286" s="108"/>
      <c r="AA286" s="108"/>
      <c r="AB286" s="108"/>
      <c r="AC286" s="108"/>
      <c r="AD286" s="108"/>
      <c r="AE286" s="108"/>
      <c r="AF286" s="108"/>
      <c r="AG286" s="108"/>
      <c r="AH286" s="108"/>
      <c r="AI286" s="108"/>
      <c r="AJ286" s="108"/>
      <c r="AK286" s="108"/>
      <c r="AL286" s="108"/>
      <c r="AM286" s="108"/>
      <c r="AN286" s="108"/>
      <c r="AO286" s="108"/>
      <c r="AP286" s="108"/>
      <c r="AQ286" s="108"/>
      <c r="AR286" s="108"/>
    </row>
    <row r="287" spans="1:44" ht="24.75" hidden="1" customHeight="1" x14ac:dyDescent="0.3">
      <c r="A287" s="108"/>
      <c r="B287" s="864" t="s">
        <v>1240</v>
      </c>
      <c r="C287" s="864"/>
      <c r="D287" s="840"/>
      <c r="E287" s="841"/>
      <c r="F287" s="861"/>
      <c r="G287" s="861"/>
      <c r="H287" s="17"/>
      <c r="I287" s="79"/>
      <c r="Z287" s="108"/>
      <c r="AA287" s="108"/>
      <c r="AB287" s="108"/>
      <c r="AC287" s="108"/>
      <c r="AD287" s="108"/>
      <c r="AE287" s="108"/>
      <c r="AF287" s="108"/>
      <c r="AG287" s="108"/>
      <c r="AH287" s="108"/>
      <c r="AI287" s="108"/>
      <c r="AJ287" s="108"/>
      <c r="AK287" s="108"/>
      <c r="AL287" s="108"/>
      <c r="AM287" s="108"/>
      <c r="AN287" s="108"/>
      <c r="AO287" s="108"/>
      <c r="AP287" s="108"/>
      <c r="AQ287" s="108"/>
      <c r="AR287" s="108"/>
    </row>
    <row r="288" spans="1:44" ht="25.5" hidden="1" customHeight="1" x14ac:dyDescent="0.3">
      <c r="A288" s="108"/>
      <c r="B288" s="884" t="s">
        <v>12</v>
      </c>
      <c r="C288" s="884"/>
      <c r="D288" s="840"/>
      <c r="E288" s="841"/>
      <c r="F288" s="885"/>
      <c r="G288" s="861"/>
      <c r="H288" s="17"/>
      <c r="I288" s="79"/>
      <c r="Z288" s="108"/>
      <c r="AA288" s="108"/>
      <c r="AB288" s="108"/>
      <c r="AC288" s="108"/>
      <c r="AD288" s="108"/>
      <c r="AE288" s="108"/>
      <c r="AF288" s="108"/>
      <c r="AG288" s="108"/>
      <c r="AH288" s="108"/>
      <c r="AI288" s="108"/>
      <c r="AJ288" s="108"/>
      <c r="AK288" s="108"/>
      <c r="AL288" s="108"/>
      <c r="AM288" s="108"/>
      <c r="AN288" s="108"/>
      <c r="AO288" s="108"/>
      <c r="AP288" s="108"/>
      <c r="AQ288" s="108"/>
      <c r="AR288" s="108"/>
    </row>
    <row r="289" spans="1:44" ht="77.25" hidden="1" customHeight="1" x14ac:dyDescent="0.3">
      <c r="A289" s="34">
        <v>528</v>
      </c>
      <c r="B289" s="671" t="s">
        <v>55</v>
      </c>
      <c r="C289" s="4" t="s">
        <v>171</v>
      </c>
      <c r="D289" s="608" t="s">
        <v>1277</v>
      </c>
      <c r="E289" s="669" t="e">
        <f>HLOOKUP($D$2,'2020 Data(H)'!$C$1:$CZ$426,178,FALSE)</f>
        <v>#N/A</v>
      </c>
      <c r="F289" s="295">
        <v>0</v>
      </c>
      <c r="G289" s="730">
        <f>IF(F289="","Error: Unit must enter this information if they levy taxes.",)</f>
        <v>0</v>
      </c>
      <c r="H289" s="777"/>
      <c r="I289" s="79"/>
      <c r="J289" s="778"/>
      <c r="Z289" s="34"/>
      <c r="AA289" s="34"/>
      <c r="AB289" s="34"/>
      <c r="AC289" s="34"/>
      <c r="AD289" s="34"/>
      <c r="AE289" s="34"/>
      <c r="AF289" s="34"/>
      <c r="AG289" s="34"/>
      <c r="AH289" s="34"/>
      <c r="AI289" s="34"/>
      <c r="AJ289" s="34"/>
      <c r="AK289" s="34"/>
      <c r="AL289" s="34"/>
      <c r="AM289" s="34"/>
      <c r="AN289" s="34"/>
      <c r="AO289" s="34"/>
      <c r="AP289" s="34"/>
      <c r="AQ289" s="34"/>
      <c r="AR289" s="34"/>
    </row>
    <row r="290" spans="1:44" ht="69" hidden="1" customHeight="1" x14ac:dyDescent="0.3">
      <c r="A290" s="34">
        <v>529</v>
      </c>
      <c r="B290" s="671" t="s">
        <v>55</v>
      </c>
      <c r="C290" s="4" t="s">
        <v>171</v>
      </c>
      <c r="D290" s="608" t="s">
        <v>1241</v>
      </c>
      <c r="E290" s="669" t="e">
        <f>HLOOKUP($D$2,'2020 Data(H)'!$C$1:$CZ$426,179,FALSE)</f>
        <v>#N/A</v>
      </c>
      <c r="F290" s="295">
        <v>0</v>
      </c>
      <c r="G290" s="730">
        <f>IF(F290="","Error: Unit must enter this information if they levy taxes.",)</f>
        <v>0</v>
      </c>
      <c r="H290" s="17"/>
      <c r="I290" s="79"/>
      <c r="Z290" s="34"/>
      <c r="AA290" s="34"/>
      <c r="AB290" s="34"/>
      <c r="AC290" s="34"/>
      <c r="AD290" s="34"/>
      <c r="AE290" s="34"/>
      <c r="AF290" s="34"/>
      <c r="AG290" s="34"/>
      <c r="AH290" s="34"/>
      <c r="AI290" s="34"/>
      <c r="AJ290" s="34"/>
      <c r="AK290" s="34"/>
      <c r="AL290" s="34"/>
      <c r="AM290" s="34"/>
      <c r="AN290" s="34"/>
      <c r="AO290" s="34"/>
      <c r="AP290" s="34"/>
      <c r="AQ290" s="34"/>
      <c r="AR290" s="34"/>
    </row>
    <row r="291" spans="1:44" ht="69" hidden="1" customHeight="1" x14ac:dyDescent="0.3">
      <c r="A291" s="34">
        <v>530</v>
      </c>
      <c r="B291" s="671" t="s">
        <v>55</v>
      </c>
      <c r="C291" s="4" t="s">
        <v>171</v>
      </c>
      <c r="D291" s="833" t="s">
        <v>1242</v>
      </c>
      <c r="E291" s="669" t="e">
        <f>HLOOKUP($D$2,'2020 Data(H)'!$C$1:$CZ$426,180,FALSE)</f>
        <v>#N/A</v>
      </c>
      <c r="F291" s="295">
        <v>0</v>
      </c>
      <c r="G291" s="730">
        <f>IF(F291="","Error: Unit must enter this information if they levy taxes.",)</f>
        <v>0</v>
      </c>
      <c r="H291" s="17"/>
      <c r="I291" s="79"/>
      <c r="Z291" s="34"/>
      <c r="AA291" s="34"/>
      <c r="AB291" s="34"/>
      <c r="AC291" s="34"/>
      <c r="AD291" s="34"/>
      <c r="AE291" s="34"/>
      <c r="AF291" s="34"/>
      <c r="AG291" s="34"/>
      <c r="AH291" s="34"/>
      <c r="AI291" s="34"/>
      <c r="AJ291" s="34"/>
      <c r="AK291" s="34"/>
      <c r="AL291" s="34"/>
      <c r="AM291" s="34"/>
      <c r="AN291" s="34"/>
      <c r="AO291" s="34"/>
      <c r="AP291" s="34"/>
      <c r="AQ291" s="34"/>
      <c r="AR291" s="34"/>
    </row>
    <row r="292" spans="1:44" ht="55.5" hidden="1" customHeight="1" x14ac:dyDescent="0.3">
      <c r="A292" s="34">
        <v>531</v>
      </c>
      <c r="B292" s="671" t="s">
        <v>55</v>
      </c>
      <c r="C292" s="4" t="s">
        <v>171</v>
      </c>
      <c r="D292" s="833" t="s">
        <v>1243</v>
      </c>
      <c r="E292" s="669" t="e">
        <f>HLOOKUP($D$2,'2020 Data(H)'!$C$1:$CZ$426,181,FALSE)</f>
        <v>#N/A</v>
      </c>
      <c r="F292" s="295">
        <v>0</v>
      </c>
      <c r="G292" s="730">
        <f>IF(F292="","Error: Unit must enter this information if they levy taxes.",)</f>
        <v>0</v>
      </c>
      <c r="H292" s="17"/>
      <c r="I292" s="79"/>
      <c r="Z292" s="34"/>
      <c r="AA292" s="34"/>
      <c r="AB292" s="34"/>
      <c r="AC292" s="34"/>
      <c r="AD292" s="34"/>
      <c r="AE292" s="34"/>
      <c r="AF292" s="34"/>
      <c r="AG292" s="34"/>
      <c r="AH292" s="34"/>
      <c r="AI292" s="34"/>
      <c r="AJ292" s="34"/>
      <c r="AK292" s="34"/>
      <c r="AL292" s="34"/>
      <c r="AM292" s="34"/>
      <c r="AN292" s="34"/>
      <c r="AO292" s="34"/>
      <c r="AP292" s="34"/>
      <c r="AQ292" s="34"/>
      <c r="AR292" s="34"/>
    </row>
    <row r="293" spans="1:44" ht="69" hidden="1" customHeight="1" x14ac:dyDescent="0.3">
      <c r="A293" s="108">
        <v>61</v>
      </c>
      <c r="B293" s="4" t="s">
        <v>59</v>
      </c>
      <c r="C293" s="4" t="s">
        <v>171</v>
      </c>
      <c r="D293" s="29" t="s">
        <v>1244</v>
      </c>
      <c r="E293" s="35" t="e">
        <f>HLOOKUP($D$2,'2020 Data(H)'!$C$1:$CZ$426,43,FALSE)</f>
        <v>#N/A</v>
      </c>
      <c r="F293" s="282">
        <v>0</v>
      </c>
      <c r="G293" s="730" t="e">
        <f>IF(F293=H293," ","Please check values in account 528, 529, 530 and  531.")</f>
        <v>#DIV/0!</v>
      </c>
      <c r="H293" s="779" t="e">
        <f>ROUND((F289+F290-F291-F292)/(F289+F290)*100,2)</f>
        <v>#DIV/0!</v>
      </c>
      <c r="I293" s="79"/>
      <c r="Z293" s="108"/>
      <c r="AA293" s="108"/>
      <c r="AB293" s="108"/>
      <c r="AC293" s="108"/>
      <c r="AD293" s="108"/>
      <c r="AE293" s="108"/>
      <c r="AF293" s="108"/>
      <c r="AG293" s="108"/>
      <c r="AH293" s="108"/>
      <c r="AI293" s="108"/>
      <c r="AJ293" s="108"/>
      <c r="AK293" s="108"/>
      <c r="AL293" s="108"/>
      <c r="AM293" s="108"/>
      <c r="AN293" s="108"/>
      <c r="AO293" s="108"/>
      <c r="AP293" s="108"/>
      <c r="AQ293" s="108"/>
      <c r="AR293" s="108"/>
    </row>
    <row r="294" spans="1:44" ht="69" hidden="1" customHeight="1" x14ac:dyDescent="0.3">
      <c r="A294" s="108">
        <v>102</v>
      </c>
      <c r="B294" s="4" t="s">
        <v>59</v>
      </c>
      <c r="C294" s="4" t="s">
        <v>171</v>
      </c>
      <c r="D294" s="60" t="s">
        <v>1245</v>
      </c>
      <c r="E294" s="35" t="e">
        <f>HLOOKUP($D$2,'2020 Data(H)'!$C$1:$CZ$426,62,FALSE)</f>
        <v>#N/A</v>
      </c>
      <c r="F294" s="282">
        <v>0</v>
      </c>
      <c r="G294" s="730" t="e">
        <f>IF(F294=H294," ","Please check values in account 528 and 530.")</f>
        <v>#DIV/0!</v>
      </c>
      <c r="H294" s="779" t="e">
        <f>ROUND((F289-F291)/(F289)*100,2)</f>
        <v>#DIV/0!</v>
      </c>
      <c r="I294" s="79"/>
      <c r="Z294" s="108"/>
      <c r="AA294" s="108"/>
      <c r="AB294" s="108"/>
      <c r="AC294" s="108"/>
      <c r="AD294" s="108"/>
      <c r="AE294" s="108"/>
      <c r="AF294" s="108"/>
      <c r="AG294" s="108"/>
      <c r="AH294" s="108"/>
      <c r="AI294" s="108"/>
      <c r="AJ294" s="108"/>
      <c r="AK294" s="108"/>
      <c r="AL294" s="108"/>
      <c r="AM294" s="108"/>
      <c r="AN294" s="108"/>
      <c r="AO294" s="108"/>
      <c r="AP294" s="108"/>
      <c r="AQ294" s="108"/>
      <c r="AR294" s="108"/>
    </row>
    <row r="295" spans="1:44" ht="63.75" hidden="1" customHeight="1" x14ac:dyDescent="0.3">
      <c r="A295" s="108">
        <v>103</v>
      </c>
      <c r="B295" s="4" t="s">
        <v>59</v>
      </c>
      <c r="C295" s="4" t="s">
        <v>171</v>
      </c>
      <c r="D295" s="29" t="s">
        <v>1246</v>
      </c>
      <c r="E295" s="35" t="e">
        <f>HLOOKUP($D$2,'2020 Data(H)'!$C$1:$CZ$426,63,FALSE)</f>
        <v>#N/A</v>
      </c>
      <c r="F295" s="282">
        <v>0</v>
      </c>
      <c r="G295" s="730" t="e">
        <f>IF(F295=H295," ","Please check values in account 529 and 531.")</f>
        <v>#DIV/0!</v>
      </c>
      <c r="H295" s="779" t="e">
        <f>ROUND((F290-F292)/F290*100,2)</f>
        <v>#DIV/0!</v>
      </c>
      <c r="I295" s="79"/>
      <c r="M295" s="18" t="s">
        <v>733</v>
      </c>
      <c r="Z295" s="108"/>
      <c r="AA295" s="108"/>
      <c r="AB295" s="108"/>
      <c r="AC295" s="108"/>
      <c r="AD295" s="108"/>
      <c r="AE295" s="108"/>
      <c r="AF295" s="108"/>
      <c r="AG295" s="108"/>
      <c r="AH295" s="108"/>
      <c r="AI295" s="108"/>
      <c r="AJ295" s="108"/>
      <c r="AK295" s="108"/>
      <c r="AL295" s="108"/>
      <c r="AM295" s="108"/>
      <c r="AN295" s="108"/>
      <c r="AO295" s="108"/>
      <c r="AP295" s="108"/>
      <c r="AQ295" s="108"/>
      <c r="AR295" s="108"/>
    </row>
    <row r="296" spans="1:44" ht="72" hidden="1" customHeight="1" x14ac:dyDescent="0.3">
      <c r="A296" s="108">
        <v>544</v>
      </c>
      <c r="B296" s="671" t="s">
        <v>59</v>
      </c>
      <c r="C296" s="671" t="s">
        <v>171</v>
      </c>
      <c r="D296" s="24" t="s">
        <v>1247</v>
      </c>
      <c r="E296" s="36" t="e">
        <f>HLOOKUP($D$2,'2020 Data(H)'!$C$1:$CZ$426,194,FALSE)</f>
        <v>#N/A</v>
      </c>
      <c r="F296" s="364">
        <v>0</v>
      </c>
      <c r="G296" s="730"/>
      <c r="H296" s="17"/>
      <c r="I296" s="108"/>
      <c r="J296" s="834"/>
      <c r="M296" s="18" t="s">
        <v>51</v>
      </c>
      <c r="Z296" s="108"/>
      <c r="AA296" s="108"/>
      <c r="AB296" s="108"/>
      <c r="AC296" s="108"/>
      <c r="AD296" s="108"/>
      <c r="AE296" s="108"/>
      <c r="AF296" s="108"/>
      <c r="AG296" s="108"/>
      <c r="AH296" s="108"/>
      <c r="AI296" s="108"/>
      <c r="AJ296" s="108"/>
      <c r="AK296" s="108"/>
      <c r="AL296" s="108"/>
      <c r="AM296" s="108"/>
      <c r="AN296" s="108"/>
      <c r="AO296" s="108"/>
      <c r="AP296" s="108"/>
      <c r="AQ296" s="108"/>
      <c r="AR296" s="108"/>
    </row>
    <row r="297" spans="1:44" ht="73.5" hidden="1" customHeight="1" x14ac:dyDescent="0.3">
      <c r="A297" s="108">
        <v>545</v>
      </c>
      <c r="B297" s="671" t="s">
        <v>59</v>
      </c>
      <c r="C297" s="671" t="s">
        <v>171</v>
      </c>
      <c r="D297" s="24" t="s">
        <v>1248</v>
      </c>
      <c r="E297" s="36"/>
      <c r="F297" s="364">
        <v>0</v>
      </c>
      <c r="G297" s="730"/>
      <c r="H297" s="17"/>
      <c r="I297" s="137"/>
      <c r="J297" s="834"/>
      <c r="M297" s="18" t="s">
        <v>52</v>
      </c>
      <c r="Z297" s="108"/>
      <c r="AA297" s="108"/>
      <c r="AB297" s="108"/>
      <c r="AC297" s="108"/>
      <c r="AD297" s="108"/>
      <c r="AE297" s="108"/>
      <c r="AF297" s="108"/>
      <c r="AG297" s="108"/>
      <c r="AH297" s="108"/>
      <c r="AI297" s="108"/>
      <c r="AJ297" s="108"/>
      <c r="AK297" s="108"/>
      <c r="AL297" s="108"/>
      <c r="AM297" s="108"/>
      <c r="AN297" s="108"/>
      <c r="AO297" s="108"/>
      <c r="AP297" s="108"/>
      <c r="AQ297" s="108"/>
      <c r="AR297" s="108"/>
    </row>
    <row r="298" spans="1:44" ht="51.75" hidden="1" customHeight="1" x14ac:dyDescent="0.3">
      <c r="A298" s="125">
        <v>624</v>
      </c>
      <c r="B298" s="124" t="s">
        <v>59</v>
      </c>
      <c r="C298" s="124"/>
      <c r="D298" s="124" t="s">
        <v>436</v>
      </c>
      <c r="E298" s="36"/>
      <c r="F298" s="272"/>
      <c r="G298" s="772" t="str">
        <f>IF(+F298&lt;1,"Please answer this question","")</f>
        <v>Please answer this question</v>
      </c>
      <c r="H298" s="17"/>
      <c r="I298" s="108"/>
      <c r="J298" s="834"/>
      <c r="M298" s="18" t="s">
        <v>734</v>
      </c>
      <c r="Z298" s="125"/>
      <c r="AA298" s="125"/>
      <c r="AB298" s="125"/>
      <c r="AC298" s="125"/>
      <c r="AD298" s="125"/>
      <c r="AE298" s="125"/>
      <c r="AF298" s="125"/>
      <c r="AG298" s="125"/>
      <c r="AH298" s="125"/>
      <c r="AI298" s="125"/>
      <c r="AJ298" s="125"/>
      <c r="AK298" s="125"/>
      <c r="AL298" s="125"/>
      <c r="AM298" s="125"/>
      <c r="AN298" s="125"/>
      <c r="AO298" s="125"/>
      <c r="AP298" s="125"/>
      <c r="AQ298" s="125"/>
      <c r="AR298" s="125"/>
    </row>
    <row r="299" spans="1:44" ht="70.5" hidden="1" customHeight="1" x14ac:dyDescent="0.3">
      <c r="A299" s="672">
        <v>648</v>
      </c>
      <c r="B299" s="314" t="s">
        <v>838</v>
      </c>
      <c r="C299" s="828" t="s">
        <v>171</v>
      </c>
      <c r="D299" s="314" t="s">
        <v>1110</v>
      </c>
      <c r="E299" s="671" t="s">
        <v>732</v>
      </c>
      <c r="F299" s="364">
        <v>0</v>
      </c>
      <c r="G299" s="772"/>
      <c r="H299" s="17"/>
      <c r="I299" s="108"/>
      <c r="J299" s="834"/>
      <c r="Z299" s="672"/>
      <c r="AA299" s="672"/>
      <c r="AB299" s="672"/>
      <c r="AC299" s="672"/>
      <c r="AD299" s="672"/>
      <c r="AE299" s="672"/>
      <c r="AF299" s="672"/>
      <c r="AG299" s="672"/>
      <c r="AH299" s="672"/>
      <c r="AI299" s="672"/>
      <c r="AJ299" s="672"/>
      <c r="AK299" s="672"/>
      <c r="AL299" s="672"/>
      <c r="AM299" s="672"/>
      <c r="AN299" s="672"/>
      <c r="AO299" s="672"/>
      <c r="AP299" s="672"/>
      <c r="AQ299" s="672"/>
      <c r="AR299" s="672"/>
    </row>
    <row r="300" spans="1:44" ht="171" hidden="1" customHeight="1" x14ac:dyDescent="0.3">
      <c r="A300" s="672">
        <v>991</v>
      </c>
      <c r="B300" s="313" t="s">
        <v>762</v>
      </c>
      <c r="C300" s="314"/>
      <c r="D300" s="780" t="s">
        <v>1038</v>
      </c>
      <c r="E300" s="671" t="s">
        <v>732</v>
      </c>
      <c r="F300" s="272"/>
      <c r="G300" s="772"/>
      <c r="H300" s="781" t="s">
        <v>758</v>
      </c>
      <c r="I300" s="254"/>
      <c r="J300" s="834"/>
      <c r="M300" s="18" t="s">
        <v>759</v>
      </c>
      <c r="Z300" s="672"/>
      <c r="AA300" s="672"/>
      <c r="AB300" s="672"/>
      <c r="AC300" s="672"/>
      <c r="AD300" s="672"/>
      <c r="AE300" s="672"/>
      <c r="AF300" s="672"/>
      <c r="AG300" s="672"/>
      <c r="AH300" s="672"/>
      <c r="AI300" s="672"/>
      <c r="AJ300" s="672"/>
      <c r="AK300" s="672"/>
      <c r="AL300" s="672"/>
      <c r="AM300" s="672"/>
      <c r="AN300" s="672"/>
      <c r="AO300" s="672"/>
      <c r="AP300" s="672"/>
      <c r="AQ300" s="672"/>
      <c r="AR300" s="672"/>
    </row>
    <row r="301" spans="1:44" ht="27.75" hidden="1" customHeight="1" x14ac:dyDescent="0.3">
      <c r="A301" s="108"/>
      <c r="B301" s="864" t="s">
        <v>424</v>
      </c>
      <c r="C301" s="864"/>
      <c r="D301" s="864"/>
      <c r="E301" s="886"/>
      <c r="F301" s="886"/>
      <c r="G301" s="887"/>
      <c r="H301" s="17"/>
      <c r="I301" s="108"/>
      <c r="J301" s="834"/>
      <c r="M301" s="18" t="s">
        <v>760</v>
      </c>
      <c r="Z301" s="108"/>
      <c r="AA301" s="108"/>
      <c r="AB301" s="108"/>
      <c r="AC301" s="108"/>
      <c r="AD301" s="108"/>
      <c r="AE301" s="108"/>
      <c r="AF301" s="108"/>
      <c r="AG301" s="108"/>
      <c r="AH301" s="108"/>
      <c r="AI301" s="108"/>
      <c r="AJ301" s="108"/>
      <c r="AK301" s="108"/>
      <c r="AL301" s="108"/>
      <c r="AM301" s="108"/>
      <c r="AN301" s="108"/>
      <c r="AO301" s="108"/>
      <c r="AP301" s="108"/>
      <c r="AQ301" s="108"/>
      <c r="AR301" s="108"/>
    </row>
    <row r="302" spans="1:44" ht="68.25" hidden="1" customHeight="1" x14ac:dyDescent="0.3">
      <c r="A302" s="108">
        <v>620</v>
      </c>
      <c r="B302" s="671" t="s">
        <v>59</v>
      </c>
      <c r="C302" s="671"/>
      <c r="D302" s="24" t="s">
        <v>423</v>
      </c>
      <c r="E302" s="907"/>
      <c r="F302" s="272"/>
      <c r="G302" s="772" t="str">
        <f>IF(F302&lt;1,"Please answer this question","")</f>
        <v>Please answer this question</v>
      </c>
      <c r="H302" s="17"/>
      <c r="I302" s="108"/>
      <c r="J302" s="834"/>
      <c r="M302" s="18" t="s">
        <v>761</v>
      </c>
      <c r="Z302" s="108"/>
      <c r="AA302" s="108"/>
      <c r="AB302" s="108"/>
      <c r="AC302" s="108"/>
      <c r="AD302" s="108"/>
      <c r="AE302" s="108"/>
      <c r="AF302" s="108"/>
      <c r="AG302" s="108"/>
      <c r="AH302" s="108"/>
      <c r="AI302" s="108"/>
      <c r="AJ302" s="108"/>
      <c r="AK302" s="108"/>
      <c r="AL302" s="108"/>
      <c r="AM302" s="108"/>
      <c r="AN302" s="108"/>
      <c r="AO302" s="108"/>
      <c r="AP302" s="108"/>
      <c r="AQ302" s="108"/>
      <c r="AR302" s="108"/>
    </row>
    <row r="303" spans="1:44" ht="123.75" customHeight="1" x14ac:dyDescent="0.3">
      <c r="A303" s="835"/>
      <c r="B303" s="1291" t="s">
        <v>585</v>
      </c>
      <c r="C303" s="1291"/>
      <c r="D303" s="1291"/>
      <c r="E303" s="900"/>
      <c r="F303" s="900"/>
      <c r="G303" s="900"/>
      <c r="H303" s="17"/>
      <c r="I303" s="108"/>
      <c r="J303" s="834"/>
      <c r="M303" s="18" t="s">
        <v>593</v>
      </c>
      <c r="Z303" s="835"/>
      <c r="AA303" s="835"/>
      <c r="AB303" s="835"/>
      <c r="AC303" s="835"/>
      <c r="AD303" s="835"/>
      <c r="AE303" s="835"/>
      <c r="AF303" s="835"/>
      <c r="AG303" s="835"/>
      <c r="AH303" s="835"/>
      <c r="AI303" s="835"/>
      <c r="AJ303" s="835"/>
      <c r="AK303" s="835"/>
      <c r="AL303" s="835"/>
      <c r="AM303" s="835"/>
      <c r="AN303" s="835"/>
      <c r="AO303" s="835"/>
      <c r="AP303" s="835"/>
      <c r="AQ303" s="835"/>
      <c r="AR303" s="835"/>
    </row>
    <row r="304" spans="1:44" ht="63" customHeight="1" x14ac:dyDescent="0.3">
      <c r="A304" s="307">
        <v>947</v>
      </c>
      <c r="B304" s="836"/>
      <c r="C304" s="836"/>
      <c r="D304" s="174" t="s">
        <v>536</v>
      </c>
      <c r="E304" s="674"/>
      <c r="F304" s="782"/>
      <c r="G304" s="772" t="str">
        <f>IF(ISBLANK(F304),"Please do not leave blank","")</f>
        <v>Please do not leave blank</v>
      </c>
      <c r="H304" s="17"/>
      <c r="I304" s="296"/>
      <c r="J304" s="709"/>
      <c r="K304" s="296"/>
      <c r="L304" s="296"/>
      <c r="M304" s="296"/>
      <c r="O304" s="296"/>
      <c r="Z304" s="307"/>
      <c r="AA304" s="307"/>
      <c r="AB304" s="307"/>
      <c r="AC304" s="307"/>
      <c r="AD304" s="307"/>
      <c r="AE304" s="307"/>
      <c r="AF304" s="307"/>
      <c r="AG304" s="307"/>
      <c r="AH304" s="307"/>
      <c r="AI304" s="307"/>
      <c r="AJ304" s="307"/>
      <c r="AK304" s="307"/>
      <c r="AL304" s="307"/>
      <c r="AM304" s="307"/>
      <c r="AN304" s="307"/>
      <c r="AO304" s="307"/>
      <c r="AP304" s="307"/>
      <c r="AQ304" s="307"/>
      <c r="AR304" s="307"/>
    </row>
    <row r="305" spans="1:44" ht="65.25" customHeight="1" x14ac:dyDescent="0.3">
      <c r="A305" s="307">
        <v>948</v>
      </c>
      <c r="B305" s="836"/>
      <c r="C305" s="836"/>
      <c r="D305" s="174" t="s">
        <v>537</v>
      </c>
      <c r="E305" s="674"/>
      <c r="F305" s="782"/>
      <c r="G305" s="772" t="str">
        <f t="shared" ref="G305:G311" si="3">IF(ISBLANK(F305),"Please do not leave blank","")</f>
        <v>Please do not leave blank</v>
      </c>
      <c r="H305" s="17"/>
      <c r="I305" s="296"/>
      <c r="J305" s="709"/>
      <c r="K305" s="296"/>
      <c r="L305" s="296"/>
      <c r="M305" s="296"/>
      <c r="O305" s="296"/>
      <c r="Z305" s="307"/>
      <c r="AA305" s="307"/>
      <c r="AB305" s="307"/>
      <c r="AC305" s="307"/>
      <c r="AD305" s="307"/>
      <c r="AE305" s="307"/>
      <c r="AF305" s="307"/>
      <c r="AG305" s="307"/>
      <c r="AH305" s="307"/>
      <c r="AI305" s="307"/>
      <c r="AJ305" s="307"/>
      <c r="AK305" s="307"/>
      <c r="AL305" s="307"/>
      <c r="AM305" s="307"/>
      <c r="AN305" s="307"/>
      <c r="AO305" s="307"/>
      <c r="AP305" s="307"/>
      <c r="AQ305" s="307"/>
      <c r="AR305" s="307"/>
    </row>
    <row r="306" spans="1:44" ht="76.5" customHeight="1" x14ac:dyDescent="0.3">
      <c r="A306" s="307">
        <v>949</v>
      </c>
      <c r="B306" s="836"/>
      <c r="C306" s="836"/>
      <c r="D306" s="174" t="s">
        <v>538</v>
      </c>
      <c r="E306" s="674"/>
      <c r="F306" s="782"/>
      <c r="G306" s="772" t="str">
        <f t="shared" si="3"/>
        <v>Please do not leave blank</v>
      </c>
      <c r="H306" s="17"/>
      <c r="I306" s="296"/>
      <c r="J306" s="709"/>
      <c r="K306" s="296"/>
      <c r="L306" s="296"/>
      <c r="M306" s="296"/>
      <c r="O306" s="296"/>
      <c r="Z306" s="307"/>
      <c r="AA306" s="307"/>
      <c r="AB306" s="307"/>
      <c r="AC306" s="307"/>
      <c r="AD306" s="307"/>
      <c r="AE306" s="307"/>
      <c r="AF306" s="307"/>
      <c r="AG306" s="307"/>
      <c r="AH306" s="307"/>
      <c r="AI306" s="307"/>
      <c r="AJ306" s="307"/>
      <c r="AK306" s="307"/>
      <c r="AL306" s="307"/>
      <c r="AM306" s="307"/>
      <c r="AN306" s="307"/>
      <c r="AO306" s="307"/>
      <c r="AP306" s="307"/>
      <c r="AQ306" s="307"/>
      <c r="AR306" s="307"/>
    </row>
    <row r="307" spans="1:44" ht="60" customHeight="1" x14ac:dyDescent="0.3">
      <c r="A307" s="307">
        <v>950</v>
      </c>
      <c r="B307" s="836"/>
      <c r="C307" s="836"/>
      <c r="D307" s="174" t="s">
        <v>520</v>
      </c>
      <c r="E307" s="674"/>
      <c r="F307" s="782"/>
      <c r="G307" s="772" t="str">
        <f t="shared" si="3"/>
        <v>Please do not leave blank</v>
      </c>
      <c r="H307" s="17"/>
      <c r="I307" s="296"/>
      <c r="J307" s="709"/>
      <c r="K307" s="296"/>
      <c r="L307" s="296"/>
      <c r="M307" s="296"/>
      <c r="O307" s="296"/>
      <c r="Z307" s="307"/>
      <c r="AA307" s="307"/>
      <c r="AB307" s="307"/>
      <c r="AC307" s="307"/>
      <c r="AD307" s="307"/>
      <c r="AE307" s="307"/>
      <c r="AF307" s="307"/>
      <c r="AG307" s="307"/>
      <c r="AH307" s="307"/>
      <c r="AI307" s="307"/>
      <c r="AJ307" s="307"/>
      <c r="AK307" s="307"/>
      <c r="AL307" s="307"/>
      <c r="AM307" s="307"/>
      <c r="AN307" s="307"/>
      <c r="AO307" s="307"/>
      <c r="AP307" s="307"/>
      <c r="AQ307" s="307"/>
      <c r="AR307" s="307"/>
    </row>
    <row r="308" spans="1:44" ht="72" x14ac:dyDescent="0.3">
      <c r="A308" s="307">
        <v>952</v>
      </c>
      <c r="B308" s="836"/>
      <c r="C308" s="836"/>
      <c r="D308" s="783" t="s">
        <v>1132</v>
      </c>
      <c r="E308" s="674"/>
      <c r="F308" s="784"/>
      <c r="G308" s="772" t="s">
        <v>1278</v>
      </c>
      <c r="H308" s="17"/>
      <c r="I308" s="785"/>
      <c r="J308" s="709"/>
      <c r="K308" s="296"/>
      <c r="L308" s="296"/>
      <c r="M308" s="296"/>
      <c r="O308" s="296"/>
      <c r="Z308" s="307"/>
      <c r="AA308" s="307"/>
      <c r="AB308" s="307"/>
      <c r="AC308" s="307"/>
      <c r="AD308" s="307"/>
      <c r="AE308" s="307"/>
      <c r="AF308" s="307"/>
      <c r="AG308" s="307"/>
      <c r="AH308" s="307"/>
      <c r="AI308" s="307"/>
      <c r="AJ308" s="307"/>
      <c r="AK308" s="307"/>
      <c r="AL308" s="307"/>
      <c r="AM308" s="307"/>
      <c r="AN308" s="307"/>
      <c r="AO308" s="307"/>
      <c r="AP308" s="307"/>
      <c r="AQ308" s="307"/>
      <c r="AR308" s="307"/>
    </row>
    <row r="309" spans="1:44" ht="93" customHeight="1" x14ac:dyDescent="0.3">
      <c r="A309" s="307">
        <v>954</v>
      </c>
      <c r="B309" s="836"/>
      <c r="C309" s="836"/>
      <c r="D309" s="783" t="s">
        <v>521</v>
      </c>
      <c r="E309" s="674"/>
      <c r="F309" s="782"/>
      <c r="G309" s="772" t="str">
        <f t="shared" si="3"/>
        <v>Please do not leave blank</v>
      </c>
      <c r="H309" s="17"/>
      <c r="I309" s="296"/>
      <c r="J309" s="709"/>
      <c r="K309" s="296"/>
      <c r="L309" s="296"/>
      <c r="M309" s="296"/>
      <c r="O309" s="296"/>
      <c r="Z309" s="307"/>
      <c r="AA309" s="307"/>
      <c r="AB309" s="307"/>
      <c r="AC309" s="307"/>
      <c r="AD309" s="307"/>
      <c r="AE309" s="307"/>
      <c r="AF309" s="307"/>
      <c r="AG309" s="307"/>
      <c r="AH309" s="307"/>
      <c r="AI309" s="307"/>
      <c r="AJ309" s="307"/>
      <c r="AK309" s="307"/>
      <c r="AL309" s="307"/>
      <c r="AM309" s="307"/>
      <c r="AN309" s="307"/>
      <c r="AO309" s="307"/>
      <c r="AP309" s="307"/>
      <c r="AQ309" s="307"/>
      <c r="AR309" s="307"/>
    </row>
    <row r="310" spans="1:44" ht="98.25" customHeight="1" x14ac:dyDescent="0.3">
      <c r="A310" s="307">
        <v>956</v>
      </c>
      <c r="B310" s="836"/>
      <c r="C310" s="836"/>
      <c r="D310" s="783" t="s">
        <v>522</v>
      </c>
      <c r="E310" s="674"/>
      <c r="F310" s="782"/>
      <c r="G310" s="772" t="str">
        <f t="shared" si="3"/>
        <v>Please do not leave blank</v>
      </c>
      <c r="H310" s="17"/>
      <c r="I310" s="296"/>
      <c r="J310" s="300"/>
      <c r="K310" s="296"/>
      <c r="L310" s="296"/>
      <c r="M310" s="296"/>
      <c r="O310" s="296"/>
      <c r="Z310" s="307"/>
      <c r="AA310" s="307"/>
      <c r="AB310" s="307"/>
      <c r="AC310" s="307"/>
      <c r="AD310" s="307"/>
      <c r="AE310" s="307"/>
      <c r="AF310" s="307"/>
      <c r="AG310" s="307"/>
      <c r="AH310" s="307"/>
      <c r="AI310" s="307"/>
      <c r="AJ310" s="307"/>
      <c r="AK310" s="307"/>
      <c r="AL310" s="307"/>
      <c r="AM310" s="307"/>
      <c r="AN310" s="307"/>
      <c r="AO310" s="307"/>
      <c r="AP310" s="307"/>
      <c r="AQ310" s="307"/>
      <c r="AR310" s="307"/>
    </row>
    <row r="311" spans="1:44" ht="218.25" customHeight="1" x14ac:dyDescent="0.3">
      <c r="A311" s="307">
        <v>958</v>
      </c>
      <c r="B311" s="836"/>
      <c r="C311" s="836"/>
      <c r="D311" s="780" t="s">
        <v>978</v>
      </c>
      <c r="E311" s="674"/>
      <c r="F311" s="782"/>
      <c r="G311" s="772" t="str">
        <f t="shared" si="3"/>
        <v>Please do not leave blank</v>
      </c>
      <c r="H311" s="17"/>
      <c r="I311" s="296"/>
      <c r="J311" s="296"/>
      <c r="K311" s="296"/>
      <c r="L311" s="296"/>
      <c r="M311" s="296"/>
      <c r="O311" s="296"/>
      <c r="Z311" s="307"/>
      <c r="AA311" s="307"/>
      <c r="AB311" s="307"/>
      <c r="AC311" s="307"/>
      <c r="AD311" s="307"/>
      <c r="AE311" s="307"/>
      <c r="AF311" s="307"/>
      <c r="AG311" s="307"/>
      <c r="AH311" s="307"/>
      <c r="AI311" s="307"/>
      <c r="AJ311" s="307"/>
      <c r="AK311" s="307"/>
      <c r="AL311" s="307"/>
      <c r="AM311" s="307"/>
      <c r="AN311" s="307"/>
      <c r="AO311" s="307"/>
      <c r="AP311" s="307"/>
      <c r="AQ311" s="307"/>
      <c r="AR311" s="307"/>
    </row>
    <row r="312" spans="1:44" ht="15" thickBot="1" x14ac:dyDescent="0.35">
      <c r="A312" s="108"/>
      <c r="B312" s="888"/>
      <c r="C312" s="889"/>
      <c r="D312" s="890" t="s">
        <v>524</v>
      </c>
      <c r="E312" s="874"/>
      <c r="F312" s="891"/>
      <c r="G312" s="892"/>
      <c r="H312" s="893"/>
      <c r="I312" s="296"/>
      <c r="J312" s="296"/>
      <c r="K312" s="296"/>
      <c r="L312" s="296"/>
      <c r="M312" s="296"/>
      <c r="O312" s="296"/>
      <c r="Z312" s="108"/>
      <c r="AA312" s="108"/>
      <c r="AB312" s="108"/>
      <c r="AC312" s="108"/>
      <c r="AD312" s="108"/>
      <c r="AE312" s="108"/>
      <c r="AF312" s="108"/>
      <c r="AG312" s="108"/>
      <c r="AH312" s="108"/>
      <c r="AI312" s="108"/>
      <c r="AJ312" s="108"/>
      <c r="AK312" s="108"/>
      <c r="AL312" s="108"/>
      <c r="AM312" s="108"/>
      <c r="AN312" s="108"/>
      <c r="AO312" s="108"/>
      <c r="AP312" s="108"/>
      <c r="AQ312" s="108"/>
      <c r="AR312" s="108"/>
    </row>
    <row r="313" spans="1:44" ht="15" thickBot="1" x14ac:dyDescent="0.35">
      <c r="B313" s="1288" t="s">
        <v>586</v>
      </c>
      <c r="C313" s="1289"/>
      <c r="D313" s="1289"/>
      <c r="E313" s="1290"/>
      <c r="F313" s="79"/>
      <c r="G313" s="772"/>
      <c r="H313" s="17"/>
      <c r="I313" s="108"/>
      <c r="Z313" s="18"/>
    </row>
    <row r="314" spans="1:44" ht="75.75" customHeight="1" x14ac:dyDescent="0.3">
      <c r="B314" s="1276" t="s">
        <v>587</v>
      </c>
      <c r="C314" s="1276"/>
      <c r="D314" s="1276"/>
      <c r="E314" s="1276"/>
      <c r="F314" s="79"/>
      <c r="G314" s="772"/>
      <c r="H314" s="17"/>
      <c r="I314" s="108"/>
      <c r="Z314" s="18"/>
    </row>
    <row r="315" spans="1:44" ht="15" thickBot="1" x14ac:dyDescent="0.35">
      <c r="A315" s="786"/>
      <c r="B315" s="787"/>
      <c r="C315" s="787"/>
      <c r="D315" s="788"/>
      <c r="E315" s="669"/>
      <c r="F315" s="79"/>
      <c r="G315" s="772"/>
      <c r="H315" s="17"/>
      <c r="I315" s="108"/>
      <c r="Z315" s="786"/>
      <c r="AA315" s="786"/>
      <c r="AB315" s="786"/>
      <c r="AC315" s="786"/>
      <c r="AD315" s="786"/>
      <c r="AE315" s="786"/>
      <c r="AF315" s="786"/>
      <c r="AG315" s="786"/>
      <c r="AH315" s="786"/>
      <c r="AI315" s="786"/>
      <c r="AJ315" s="786"/>
      <c r="AK315" s="786"/>
      <c r="AL315" s="786"/>
      <c r="AM315" s="786"/>
      <c r="AN315" s="786"/>
      <c r="AO315" s="786"/>
      <c r="AP315" s="786"/>
      <c r="AQ315" s="786"/>
      <c r="AR315" s="786"/>
    </row>
    <row r="316" spans="1:44" ht="15" thickBot="1" x14ac:dyDescent="0.35">
      <c r="B316" s="159" t="s">
        <v>501</v>
      </c>
      <c r="C316" s="160" t="s">
        <v>502</v>
      </c>
      <c r="D316" s="789"/>
      <c r="E316" s="790"/>
      <c r="F316" s="100"/>
      <c r="G316" s="772"/>
      <c r="H316" s="17"/>
      <c r="I316" s="108"/>
      <c r="Z316" s="18"/>
    </row>
    <row r="317" spans="1:44" ht="44.25" customHeight="1" thickBot="1" x14ac:dyDescent="0.35">
      <c r="B317" s="163" t="s">
        <v>542</v>
      </c>
      <c r="C317" s="162"/>
      <c r="D317" s="161"/>
      <c r="E317" s="675"/>
      <c r="F317" s="791"/>
      <c r="G317" s="772"/>
      <c r="H317" s="17"/>
      <c r="I317" s="108"/>
      <c r="Z317" s="18"/>
    </row>
    <row r="318" spans="1:44" ht="44.25" customHeight="1" thickBot="1" x14ac:dyDescent="0.35">
      <c r="B318" s="163"/>
      <c r="C318" s="173"/>
      <c r="D318" s="792" t="s">
        <v>575</v>
      </c>
      <c r="E318" s="793"/>
      <c r="F318" s="794"/>
      <c r="G318" s="794"/>
      <c r="H318" s="17"/>
      <c r="I318" s="108"/>
      <c r="Z318" s="18"/>
    </row>
    <row r="319" spans="1:44" ht="64.5" customHeight="1" thickBot="1" x14ac:dyDescent="0.35">
      <c r="A319" s="559">
        <v>960</v>
      </c>
      <c r="B319" s="1281" t="s">
        <v>543</v>
      </c>
      <c r="C319" s="1282"/>
      <c r="D319" s="795"/>
      <c r="E319" s="901" t="str">
        <f>IF(ISBLANK($D319),"&lt;&lt;&lt;&lt;&lt;&lt;&lt;&lt;&lt;&lt;&lt;&lt;&lt;&lt;&lt;","")</f>
        <v>&lt;&lt;&lt;&lt;&lt;&lt;&lt;&lt;&lt;&lt;&lt;&lt;&lt;&lt;&lt;</v>
      </c>
      <c r="F319" s="902" t="str">
        <f>IF(ISBLANK($D319),"Required","")</f>
        <v>Required</v>
      </c>
      <c r="G319" s="904"/>
      <c r="H319" s="731"/>
      <c r="I319" s="108"/>
      <c r="Z319" s="559"/>
      <c r="AA319" s="559"/>
      <c r="AB319" s="559"/>
      <c r="AC319" s="559"/>
      <c r="AD319" s="559"/>
      <c r="AE319" s="559"/>
      <c r="AF319" s="559"/>
      <c r="AG319" s="559"/>
      <c r="AH319" s="559"/>
      <c r="AI319" s="559"/>
      <c r="AJ319" s="559"/>
      <c r="AK319" s="559"/>
      <c r="AL319" s="559"/>
      <c r="AM319" s="559"/>
      <c r="AN319" s="559"/>
      <c r="AO319" s="559"/>
      <c r="AP319" s="559"/>
      <c r="AQ319" s="559"/>
      <c r="AR319" s="559"/>
    </row>
    <row r="320" spans="1:44" ht="30.75" customHeight="1" thickBot="1" x14ac:dyDescent="0.35">
      <c r="A320" s="559">
        <v>962</v>
      </c>
      <c r="B320" s="1277" t="s">
        <v>503</v>
      </c>
      <c r="C320" s="1278"/>
      <c r="D320" s="795"/>
      <c r="E320" s="901" t="str">
        <f>IF(ISBLANK($D320),"&lt;&lt;&lt;&lt;&lt;&lt;&lt;&lt;&lt;&lt;&lt;&lt;&lt;&lt;&lt;","")</f>
        <v>&lt;&lt;&lt;&lt;&lt;&lt;&lt;&lt;&lt;&lt;&lt;&lt;&lt;&lt;&lt;</v>
      </c>
      <c r="F320" s="902" t="str">
        <f>IF(ISBLANK($D320),"Required","")</f>
        <v>Required</v>
      </c>
      <c r="H320" s="17"/>
      <c r="I320" s="108"/>
      <c r="Z320" s="559"/>
      <c r="AA320" s="559"/>
      <c r="AB320" s="559"/>
      <c r="AC320" s="559"/>
      <c r="AD320" s="559"/>
      <c r="AE320" s="559"/>
      <c r="AF320" s="559"/>
      <c r="AG320" s="559"/>
      <c r="AH320" s="559"/>
      <c r="AI320" s="559"/>
      <c r="AJ320" s="559"/>
      <c r="AK320" s="559"/>
      <c r="AL320" s="559"/>
      <c r="AM320" s="559"/>
      <c r="AN320" s="559"/>
      <c r="AO320" s="559"/>
      <c r="AP320" s="559"/>
      <c r="AQ320" s="559"/>
      <c r="AR320" s="559"/>
    </row>
    <row r="321" spans="1:44" ht="30.75" customHeight="1" thickBot="1" x14ac:dyDescent="0.35">
      <c r="A321" s="559">
        <v>964</v>
      </c>
      <c r="B321" s="1277" t="s">
        <v>504</v>
      </c>
      <c r="C321" s="1278"/>
      <c r="D321" s="796"/>
      <c r="E321" s="901" t="str">
        <f>IF(ISBLANK($D321),"&lt;&lt;&lt;&lt;&lt;&lt;&lt;&lt;&lt;&lt;&lt;&lt;&lt;&lt;&lt;","")</f>
        <v>&lt;&lt;&lt;&lt;&lt;&lt;&lt;&lt;&lt;&lt;&lt;&lt;&lt;&lt;&lt;</v>
      </c>
      <c r="F321" s="902" t="str">
        <f>IF(ISBLANK($D321),"Required","")</f>
        <v>Required</v>
      </c>
      <c r="H321" s="17"/>
      <c r="I321" s="365"/>
      <c r="Z321" s="559"/>
      <c r="AA321" s="559"/>
      <c r="AB321" s="559"/>
      <c r="AC321" s="559"/>
      <c r="AD321" s="559"/>
      <c r="AE321" s="559"/>
      <c r="AF321" s="559"/>
      <c r="AG321" s="559"/>
      <c r="AH321" s="559"/>
      <c r="AI321" s="559"/>
      <c r="AJ321" s="559"/>
      <c r="AK321" s="559"/>
      <c r="AL321" s="559"/>
      <c r="AM321" s="559"/>
      <c r="AN321" s="559"/>
      <c r="AO321" s="559"/>
      <c r="AP321" s="559"/>
      <c r="AQ321" s="559"/>
      <c r="AR321" s="559"/>
    </row>
    <row r="322" spans="1:44" ht="30.75" customHeight="1" thickBot="1" x14ac:dyDescent="0.35">
      <c r="A322" s="559">
        <v>966</v>
      </c>
      <c r="B322" s="1277" t="s">
        <v>505</v>
      </c>
      <c r="C322" s="1278"/>
      <c r="D322" s="795"/>
      <c r="E322" s="901" t="str">
        <f>IF(ISBLANK($D322),"&lt;&lt;&lt;&lt;&lt;&lt;&lt;&lt;&lt;&lt;&lt;&lt;&lt;&lt;&lt;","")</f>
        <v>&lt;&lt;&lt;&lt;&lt;&lt;&lt;&lt;&lt;&lt;&lt;&lt;&lt;&lt;&lt;</v>
      </c>
      <c r="F322" s="902" t="str">
        <f>IF(ISBLANK($D322),"Required","")</f>
        <v>Required</v>
      </c>
      <c r="H322" s="17"/>
      <c r="I322" s="108"/>
      <c r="Z322" s="559"/>
      <c r="AA322" s="559"/>
      <c r="AB322" s="559"/>
      <c r="AC322" s="559"/>
      <c r="AD322" s="559"/>
      <c r="AE322" s="559"/>
      <c r="AF322" s="559"/>
      <c r="AG322" s="559"/>
      <c r="AH322" s="559"/>
      <c r="AI322" s="559"/>
      <c r="AJ322" s="559"/>
      <c r="AK322" s="559"/>
      <c r="AL322" s="559"/>
      <c r="AM322" s="559"/>
      <c r="AN322" s="559"/>
      <c r="AO322" s="559"/>
      <c r="AP322" s="559"/>
      <c r="AQ322" s="559"/>
      <c r="AR322" s="559"/>
    </row>
    <row r="323" spans="1:44" ht="30.75" customHeight="1" thickBot="1" x14ac:dyDescent="0.35">
      <c r="A323" s="559">
        <v>968</v>
      </c>
      <c r="B323" s="1279" t="s">
        <v>506</v>
      </c>
      <c r="C323" s="1280"/>
      <c r="D323" s="797"/>
      <c r="E323" s="903" t="str">
        <f>IF(ISBLANK($D323),"&lt;&lt;&lt;&lt;&lt;&lt;&lt;&lt;&lt;&lt;&lt;&lt;&lt;&lt;&lt;","")</f>
        <v>&lt;&lt;&lt;&lt;&lt;&lt;&lt;&lt;&lt;&lt;&lt;&lt;&lt;&lt;&lt;</v>
      </c>
      <c r="F323" s="902" t="str">
        <f>IF(ISBLANK($D323),"Required","")</f>
        <v>Required</v>
      </c>
      <c r="H323" s="17"/>
      <c r="I323" s="108"/>
      <c r="Z323" s="559"/>
      <c r="AA323" s="559"/>
      <c r="AB323" s="559"/>
      <c r="AC323" s="559"/>
      <c r="AD323" s="559"/>
      <c r="AE323" s="559"/>
      <c r="AF323" s="559"/>
      <c r="AG323" s="559"/>
      <c r="AH323" s="559"/>
      <c r="AI323" s="559"/>
      <c r="AJ323" s="559"/>
      <c r="AK323" s="559"/>
      <c r="AL323" s="559"/>
      <c r="AM323" s="559"/>
      <c r="AN323" s="559"/>
      <c r="AO323" s="559"/>
      <c r="AP323" s="559"/>
      <c r="AQ323" s="559"/>
      <c r="AR323" s="559"/>
    </row>
    <row r="324" spans="1:44" x14ac:dyDescent="0.3">
      <c r="A324" s="108"/>
      <c r="B324" s="894"/>
      <c r="C324" s="894"/>
      <c r="D324" s="905" t="s">
        <v>46</v>
      </c>
      <c r="E324" s="895"/>
      <c r="F324" s="895"/>
      <c r="G324" s="895"/>
      <c r="H324" s="896"/>
      <c r="I324" s="108"/>
    </row>
    <row r="325" spans="1:44" x14ac:dyDescent="0.3">
      <c r="A325" s="108"/>
      <c r="B325" s="671"/>
      <c r="C325" s="671"/>
      <c r="D325" s="171"/>
      <c r="E325" s="298"/>
      <c r="F325" s="798"/>
      <c r="G325" s="798"/>
      <c r="H325" s="17"/>
      <c r="I325" s="108"/>
    </row>
    <row r="326" spans="1:44" x14ac:dyDescent="0.3">
      <c r="A326" s="108"/>
      <c r="B326" s="671"/>
      <c r="C326" s="671"/>
      <c r="D326" s="24"/>
      <c r="E326" s="669"/>
      <c r="F326" s="798"/>
      <c r="G326" s="798"/>
      <c r="H326" s="17"/>
      <c r="I326" s="108"/>
    </row>
    <row r="327" spans="1:44" x14ac:dyDescent="0.3">
      <c r="A327" s="1092">
        <f>SUBTOTAL(109,A7:A323)</f>
        <v>38722</v>
      </c>
    </row>
    <row r="328" spans="1:44" x14ac:dyDescent="0.3">
      <c r="A328" s="108"/>
      <c r="B328" s="837"/>
      <c r="C328" s="837"/>
      <c r="D328" s="799"/>
      <c r="E328" s="405"/>
      <c r="F328" s="18"/>
      <c r="G328" s="800"/>
      <c r="H328" s="17"/>
      <c r="I328" s="108"/>
    </row>
    <row r="329" spans="1:44" x14ac:dyDescent="0.3">
      <c r="A329" s="559"/>
      <c r="B329" s="559"/>
      <c r="C329" s="559"/>
      <c r="D329" s="799"/>
      <c r="E329" s="405"/>
      <c r="F329" s="296"/>
      <c r="G329" s="800"/>
      <c r="H329" s="17"/>
      <c r="I329" s="108"/>
    </row>
    <row r="330" spans="1:44" x14ac:dyDescent="0.3">
      <c r="A330" s="559"/>
      <c r="B330" s="559"/>
      <c r="C330" s="559"/>
      <c r="D330" s="801"/>
      <c r="E330" s="405"/>
      <c r="F330" s="296"/>
      <c r="G330" s="800"/>
      <c r="H330" s="17"/>
      <c r="I330" s="108"/>
    </row>
    <row r="331" spans="1:44" x14ac:dyDescent="0.3">
      <c r="A331" s="559"/>
      <c r="B331" s="559"/>
      <c r="C331" s="559"/>
      <c r="D331" s="801"/>
      <c r="E331" s="405"/>
      <c r="F331" s="296"/>
      <c r="G331" s="800"/>
      <c r="H331" s="17"/>
      <c r="I331" s="108"/>
    </row>
    <row r="332" spans="1:44" x14ac:dyDescent="0.3">
      <c r="A332" s="559"/>
      <c r="B332" s="559"/>
      <c r="C332" s="559"/>
      <c r="D332" s="801"/>
      <c r="E332" s="405"/>
      <c r="F332" s="296"/>
      <c r="G332" s="800"/>
      <c r="H332" s="17"/>
      <c r="I332" s="108"/>
    </row>
    <row r="333" spans="1:44" x14ac:dyDescent="0.3">
      <c r="A333" s="559"/>
      <c r="B333" s="559"/>
      <c r="C333" s="559"/>
      <c r="D333" s="801"/>
      <c r="E333" s="405"/>
      <c r="F333" s="296"/>
      <c r="G333" s="800"/>
      <c r="H333" s="17"/>
      <c r="I333" s="108"/>
    </row>
    <row r="334" spans="1:44" x14ac:dyDescent="0.3">
      <c r="A334" s="559"/>
      <c r="D334" s="599"/>
      <c r="E334" s="405"/>
      <c r="F334" s="296"/>
      <c r="H334" s="17"/>
      <c r="I334" s="108"/>
    </row>
    <row r="335" spans="1:44" x14ac:dyDescent="0.3">
      <c r="D335" s="599"/>
      <c r="E335" s="406"/>
      <c r="F335" s="296"/>
      <c r="H335" s="17"/>
      <c r="I335" s="108"/>
    </row>
    <row r="336" spans="1:44" x14ac:dyDescent="0.3">
      <c r="D336" s="599"/>
      <c r="E336" s="298"/>
      <c r="F336" s="296"/>
      <c r="H336" s="17"/>
      <c r="I336" s="108"/>
    </row>
    <row r="337" spans="4:12" x14ac:dyDescent="0.3">
      <c r="D337" s="599"/>
      <c r="E337" s="298"/>
      <c r="F337" s="296"/>
      <c r="I337" s="108"/>
    </row>
    <row r="338" spans="4:12" x14ac:dyDescent="0.3">
      <c r="E338" s="298"/>
      <c r="F338" s="296"/>
      <c r="G338" s="803"/>
      <c r="I338" s="108"/>
    </row>
    <row r="339" spans="4:12" x14ac:dyDescent="0.3">
      <c r="E339" s="298"/>
      <c r="F339" s="296"/>
      <c r="I339" s="108"/>
    </row>
    <row r="340" spans="4:12" x14ac:dyDescent="0.3">
      <c r="E340" s="298"/>
      <c r="F340" s="296"/>
      <c r="I340" s="108"/>
    </row>
    <row r="341" spans="4:12" x14ac:dyDescent="0.3">
      <c r="E341" s="298"/>
      <c r="F341" s="296"/>
      <c r="I341" s="108"/>
    </row>
    <row r="342" spans="4:12" x14ac:dyDescent="0.3">
      <c r="I342" s="108"/>
    </row>
    <row r="343" spans="4:12" x14ac:dyDescent="0.3">
      <c r="I343" s="108"/>
    </row>
    <row r="344" spans="4:12" x14ac:dyDescent="0.3">
      <c r="I344" s="108"/>
    </row>
    <row r="345" spans="4:12" x14ac:dyDescent="0.3">
      <c r="I345" s="108"/>
    </row>
    <row r="346" spans="4:12" x14ac:dyDescent="0.3">
      <c r="I346" s="108"/>
    </row>
    <row r="347" spans="4:12" x14ac:dyDescent="0.3">
      <c r="I347" s="108"/>
    </row>
    <row r="348" spans="4:12" x14ac:dyDescent="0.3">
      <c r="I348" s="108"/>
    </row>
    <row r="349" spans="4:12" x14ac:dyDescent="0.3">
      <c r="I349" s="296"/>
    </row>
    <row r="350" spans="4:12" x14ac:dyDescent="0.3">
      <c r="I350" s="296"/>
      <c r="K350" s="298"/>
      <c r="L350" s="298"/>
    </row>
    <row r="351" spans="4:12" x14ac:dyDescent="0.3">
      <c r="I351" s="296"/>
      <c r="K351" s="298"/>
      <c r="L351" s="298"/>
    </row>
    <row r="352" spans="4:12" x14ac:dyDescent="0.3">
      <c r="I352" s="296"/>
      <c r="K352" s="298"/>
      <c r="L352" s="298"/>
    </row>
    <row r="353" spans="9:12" x14ac:dyDescent="0.3">
      <c r="I353" s="296"/>
      <c r="K353" s="298"/>
      <c r="L353" s="298"/>
    </row>
    <row r="354" spans="9:12" x14ac:dyDescent="0.3">
      <c r="I354" s="296"/>
      <c r="K354" s="298"/>
      <c r="L354" s="298"/>
    </row>
    <row r="355" spans="9:12" x14ac:dyDescent="0.3">
      <c r="I355" s="296"/>
      <c r="K355" s="298"/>
      <c r="L355" s="298"/>
    </row>
    <row r="356" spans="9:12" x14ac:dyDescent="0.3">
      <c r="I356" s="108"/>
      <c r="K356" s="298"/>
      <c r="L356" s="298"/>
    </row>
    <row r="357" spans="9:12" x14ac:dyDescent="0.3">
      <c r="I357" s="108"/>
      <c r="K357" s="298"/>
      <c r="L357" s="298"/>
    </row>
    <row r="358" spans="9:12" x14ac:dyDescent="0.3">
      <c r="I358" s="108"/>
      <c r="J358" s="298"/>
      <c r="K358" s="298"/>
      <c r="L358" s="298"/>
    </row>
    <row r="359" spans="9:12" x14ac:dyDescent="0.3">
      <c r="I359" s="108"/>
      <c r="J359" s="298"/>
      <c r="K359" s="298"/>
      <c r="L359" s="298"/>
    </row>
    <row r="360" spans="9:12" x14ac:dyDescent="0.3">
      <c r="I360" s="108"/>
      <c r="J360" s="298"/>
      <c r="K360" s="298"/>
      <c r="L360" s="298"/>
    </row>
    <row r="361" spans="9:12" x14ac:dyDescent="0.3">
      <c r="I361" s="108"/>
      <c r="J361" s="298"/>
      <c r="K361" s="298"/>
      <c r="L361" s="298"/>
    </row>
    <row r="362" spans="9:12" x14ac:dyDescent="0.3">
      <c r="I362" s="108"/>
      <c r="J362" s="298"/>
      <c r="K362" s="298"/>
      <c r="L362" s="298"/>
    </row>
    <row r="363" spans="9:12" x14ac:dyDescent="0.3">
      <c r="I363" s="108"/>
      <c r="J363" s="298"/>
      <c r="K363" s="298"/>
      <c r="L363" s="298"/>
    </row>
    <row r="364" spans="9:12" x14ac:dyDescent="0.3">
      <c r="I364" s="108"/>
      <c r="J364" s="298"/>
      <c r="K364" s="298"/>
      <c r="L364" s="298"/>
    </row>
    <row r="365" spans="9:12" x14ac:dyDescent="0.3">
      <c r="I365" s="296"/>
      <c r="J365" s="298"/>
      <c r="K365" s="298"/>
      <c r="L365" s="298"/>
    </row>
    <row r="366" spans="9:12" x14ac:dyDescent="0.3">
      <c r="I366" s="296"/>
      <c r="J366" s="298"/>
      <c r="K366" s="298"/>
      <c r="L366" s="298"/>
    </row>
    <row r="367" spans="9:12" x14ac:dyDescent="0.3">
      <c r="I367" s="296"/>
      <c r="J367" s="298"/>
      <c r="K367" s="298"/>
      <c r="L367" s="298"/>
    </row>
    <row r="368" spans="9:12" x14ac:dyDescent="0.3">
      <c r="I368" s="296"/>
      <c r="J368" s="298"/>
      <c r="K368" s="298"/>
      <c r="L368" s="298"/>
    </row>
    <row r="369" spans="9:12" x14ac:dyDescent="0.3">
      <c r="I369" s="296"/>
      <c r="J369" s="298"/>
      <c r="K369" s="298"/>
      <c r="L369" s="298"/>
    </row>
    <row r="370" spans="9:12" x14ac:dyDescent="0.3">
      <c r="I370" s="296"/>
      <c r="J370" s="298"/>
      <c r="K370" s="298"/>
      <c r="L370" s="298"/>
    </row>
    <row r="371" spans="9:12" x14ac:dyDescent="0.3">
      <c r="I371" s="296"/>
      <c r="J371" s="298"/>
      <c r="K371" s="298"/>
      <c r="L371" s="298"/>
    </row>
    <row r="372" spans="9:12" x14ac:dyDescent="0.3">
      <c r="I372" s="296"/>
      <c r="J372" s="298"/>
      <c r="K372" s="298"/>
      <c r="L372" s="298"/>
    </row>
    <row r="373" spans="9:12" x14ac:dyDescent="0.3">
      <c r="I373" s="296"/>
      <c r="J373" s="298"/>
      <c r="K373" s="298"/>
      <c r="L373" s="298"/>
    </row>
    <row r="374" spans="9:12" x14ac:dyDescent="0.3">
      <c r="I374" s="296"/>
      <c r="J374" s="298"/>
      <c r="K374" s="298"/>
      <c r="L374" s="298"/>
    </row>
    <row r="375" spans="9:12" x14ac:dyDescent="0.3">
      <c r="I375" s="296"/>
      <c r="J375" s="298"/>
      <c r="K375" s="298"/>
      <c r="L375" s="298"/>
    </row>
    <row r="376" spans="9:12" x14ac:dyDescent="0.3">
      <c r="I376" s="296"/>
      <c r="J376" s="298"/>
      <c r="K376" s="298"/>
      <c r="L376" s="298"/>
    </row>
    <row r="377" spans="9:12" x14ac:dyDescent="0.3">
      <c r="I377" s="296"/>
      <c r="J377" s="298"/>
      <c r="K377" s="298"/>
      <c r="L377" s="298"/>
    </row>
    <row r="378" spans="9:12" x14ac:dyDescent="0.3">
      <c r="I378" s="296"/>
      <c r="J378" s="298"/>
      <c r="K378" s="298"/>
      <c r="L378" s="298"/>
    </row>
    <row r="379" spans="9:12" x14ac:dyDescent="0.3">
      <c r="I379" s="296"/>
      <c r="J379" s="298"/>
      <c r="K379" s="298"/>
      <c r="L379" s="298"/>
    </row>
    <row r="380" spans="9:12" x14ac:dyDescent="0.3">
      <c r="I380" s="296"/>
      <c r="J380" s="298"/>
      <c r="K380" s="298"/>
      <c r="L380" s="298"/>
    </row>
    <row r="381" spans="9:12" x14ac:dyDescent="0.3">
      <c r="I381" s="296"/>
      <c r="J381" s="298"/>
      <c r="K381" s="298"/>
      <c r="L381" s="298"/>
    </row>
    <row r="382" spans="9:12" x14ac:dyDescent="0.3">
      <c r="I382" s="296"/>
      <c r="J382" s="298"/>
      <c r="K382" s="298"/>
      <c r="L382" s="298"/>
    </row>
    <row r="383" spans="9:12" x14ac:dyDescent="0.3">
      <c r="I383" s="296"/>
      <c r="J383" s="298"/>
      <c r="K383" s="298"/>
      <c r="L383" s="298"/>
    </row>
    <row r="384" spans="9:12" x14ac:dyDescent="0.3">
      <c r="I384" s="296"/>
      <c r="J384" s="298"/>
      <c r="K384" s="298"/>
      <c r="L384" s="298"/>
    </row>
    <row r="385" spans="9:12" x14ac:dyDescent="0.3">
      <c r="I385" s="296"/>
      <c r="J385" s="298"/>
      <c r="K385" s="298"/>
      <c r="L385" s="298"/>
    </row>
    <row r="386" spans="9:12" x14ac:dyDescent="0.3">
      <c r="I386" s="296"/>
      <c r="J386" s="298"/>
      <c r="K386" s="298"/>
      <c r="L386" s="298"/>
    </row>
    <row r="387" spans="9:12" x14ac:dyDescent="0.3">
      <c r="I387" s="296"/>
      <c r="J387" s="298"/>
      <c r="K387" s="298"/>
      <c r="L387" s="298"/>
    </row>
    <row r="388" spans="9:12" x14ac:dyDescent="0.3">
      <c r="I388" s="296"/>
      <c r="J388" s="298"/>
      <c r="K388" s="298"/>
      <c r="L388" s="298"/>
    </row>
    <row r="389" spans="9:12" x14ac:dyDescent="0.3">
      <c r="I389" s="296"/>
      <c r="J389" s="298"/>
      <c r="K389" s="298"/>
      <c r="L389" s="298"/>
    </row>
    <row r="390" spans="9:12" x14ac:dyDescent="0.3">
      <c r="I390" s="296"/>
      <c r="J390" s="298"/>
      <c r="K390" s="298"/>
      <c r="L390" s="298"/>
    </row>
    <row r="391" spans="9:12" x14ac:dyDescent="0.3">
      <c r="I391" s="296"/>
      <c r="J391" s="298"/>
      <c r="K391" s="298"/>
      <c r="L391" s="298"/>
    </row>
    <row r="392" spans="9:12" x14ac:dyDescent="0.3">
      <c r="I392" s="296"/>
      <c r="J392" s="298"/>
      <c r="K392" s="298"/>
      <c r="L392" s="298"/>
    </row>
    <row r="393" spans="9:12" x14ac:dyDescent="0.3">
      <c r="I393" s="296"/>
      <c r="J393" s="298"/>
      <c r="K393" s="298"/>
      <c r="L393" s="298"/>
    </row>
    <row r="394" spans="9:12" x14ac:dyDescent="0.3">
      <c r="I394" s="296"/>
      <c r="J394" s="298"/>
      <c r="K394" s="298"/>
      <c r="L394" s="298"/>
    </row>
    <row r="395" spans="9:12" x14ac:dyDescent="0.3">
      <c r="I395" s="296"/>
      <c r="J395" s="298"/>
      <c r="K395" s="298"/>
      <c r="L395" s="298"/>
    </row>
    <row r="396" spans="9:12" x14ac:dyDescent="0.3">
      <c r="I396" s="296"/>
      <c r="J396" s="298"/>
      <c r="K396" s="298"/>
      <c r="L396" s="298"/>
    </row>
    <row r="397" spans="9:12" x14ac:dyDescent="0.3">
      <c r="I397" s="296"/>
      <c r="J397" s="298"/>
      <c r="K397" s="298"/>
      <c r="L397" s="298"/>
    </row>
    <row r="398" spans="9:12" x14ac:dyDescent="0.3">
      <c r="I398" s="296"/>
      <c r="J398" s="298"/>
      <c r="K398" s="298"/>
      <c r="L398" s="298"/>
    </row>
    <row r="399" spans="9:12" x14ac:dyDescent="0.3">
      <c r="I399" s="296"/>
      <c r="J399" s="298"/>
      <c r="K399" s="298"/>
      <c r="L399" s="298"/>
    </row>
    <row r="400" spans="9:12" x14ac:dyDescent="0.3">
      <c r="I400" s="296"/>
      <c r="J400" s="298"/>
      <c r="K400" s="298"/>
      <c r="L400" s="298"/>
    </row>
    <row r="401" spans="9:12" x14ac:dyDescent="0.3">
      <c r="I401" s="296"/>
      <c r="J401" s="298"/>
      <c r="K401" s="298"/>
      <c r="L401" s="298"/>
    </row>
    <row r="402" spans="9:12" x14ac:dyDescent="0.3">
      <c r="I402" s="296"/>
      <c r="J402" s="298"/>
      <c r="K402" s="298"/>
      <c r="L402" s="298"/>
    </row>
    <row r="403" spans="9:12" x14ac:dyDescent="0.3">
      <c r="I403" s="296"/>
      <c r="J403" s="298"/>
      <c r="K403" s="298"/>
      <c r="L403" s="298"/>
    </row>
    <row r="404" spans="9:12" x14ac:dyDescent="0.3">
      <c r="I404" s="296"/>
      <c r="J404" s="298"/>
      <c r="K404" s="298"/>
      <c r="L404" s="298"/>
    </row>
    <row r="405" spans="9:12" x14ac:dyDescent="0.3">
      <c r="I405" s="296"/>
      <c r="J405" s="298"/>
      <c r="K405" s="298"/>
      <c r="L405" s="298"/>
    </row>
    <row r="406" spans="9:12" x14ac:dyDescent="0.3">
      <c r="I406" s="296"/>
      <c r="J406" s="298"/>
      <c r="K406" s="298"/>
      <c r="L406" s="298"/>
    </row>
    <row r="407" spans="9:12" x14ac:dyDescent="0.3">
      <c r="I407" s="296"/>
      <c r="J407" s="298"/>
      <c r="K407" s="298"/>
      <c r="L407" s="298"/>
    </row>
    <row r="408" spans="9:12" x14ac:dyDescent="0.3">
      <c r="I408" s="296"/>
      <c r="J408" s="298"/>
      <c r="K408" s="298"/>
      <c r="L408" s="298"/>
    </row>
    <row r="409" spans="9:12" x14ac:dyDescent="0.3">
      <c r="I409" s="296"/>
      <c r="J409" s="298"/>
      <c r="K409" s="298"/>
      <c r="L409" s="298"/>
    </row>
    <row r="410" spans="9:12" x14ac:dyDescent="0.3">
      <c r="I410" s="296"/>
      <c r="J410" s="298"/>
      <c r="K410" s="298"/>
      <c r="L410" s="298"/>
    </row>
    <row r="411" spans="9:12" x14ac:dyDescent="0.3">
      <c r="I411" s="296"/>
      <c r="J411" s="298"/>
      <c r="K411" s="298"/>
      <c r="L411" s="298"/>
    </row>
    <row r="412" spans="9:12" x14ac:dyDescent="0.3">
      <c r="I412" s="296"/>
      <c r="J412" s="298"/>
      <c r="K412" s="298"/>
      <c r="L412" s="298"/>
    </row>
    <row r="413" spans="9:12" x14ac:dyDescent="0.3">
      <c r="I413" s="296"/>
      <c r="J413" s="298"/>
      <c r="K413" s="298"/>
      <c r="L413" s="298"/>
    </row>
    <row r="414" spans="9:12" x14ac:dyDescent="0.3">
      <c r="I414" s="296"/>
      <c r="J414" s="298"/>
      <c r="K414" s="298"/>
      <c r="L414" s="298"/>
    </row>
    <row r="415" spans="9:12" x14ac:dyDescent="0.3">
      <c r="I415" s="296"/>
      <c r="J415" s="298"/>
      <c r="K415" s="298"/>
      <c r="L415" s="298"/>
    </row>
    <row r="416" spans="9:12" x14ac:dyDescent="0.3">
      <c r="I416" s="296"/>
      <c r="J416" s="298"/>
      <c r="K416" s="298"/>
      <c r="L416" s="298"/>
    </row>
    <row r="417" spans="9:12" x14ac:dyDescent="0.3">
      <c r="I417" s="296"/>
      <c r="J417" s="298"/>
      <c r="K417" s="298"/>
      <c r="L417" s="298"/>
    </row>
    <row r="418" spans="9:12" x14ac:dyDescent="0.3">
      <c r="I418" s="296"/>
      <c r="J418" s="298"/>
      <c r="K418" s="298"/>
      <c r="L418" s="298"/>
    </row>
    <row r="419" spans="9:12" x14ac:dyDescent="0.3">
      <c r="I419" s="296"/>
      <c r="J419" s="298"/>
    </row>
    <row r="420" spans="9:12" x14ac:dyDescent="0.3">
      <c r="I420" s="296"/>
      <c r="J420" s="298"/>
    </row>
    <row r="421" spans="9:12" x14ac:dyDescent="0.3">
      <c r="I421" s="296"/>
      <c r="J421" s="298"/>
    </row>
    <row r="422" spans="9:12" x14ac:dyDescent="0.3">
      <c r="I422" s="296"/>
      <c r="J422" s="298"/>
    </row>
    <row r="423" spans="9:12" x14ac:dyDescent="0.3">
      <c r="I423" s="296"/>
      <c r="J423" s="298"/>
    </row>
    <row r="424" spans="9:12" x14ac:dyDescent="0.3">
      <c r="I424" s="296"/>
      <c r="J424" s="298"/>
    </row>
    <row r="425" spans="9:12" x14ac:dyDescent="0.3">
      <c r="I425" s="296"/>
      <c r="J425" s="298"/>
    </row>
    <row r="426" spans="9:12" x14ac:dyDescent="0.3">
      <c r="I426" s="296"/>
      <c r="J426" s="298"/>
    </row>
    <row r="427" spans="9:12" x14ac:dyDescent="0.3">
      <c r="I427" s="296"/>
    </row>
    <row r="428" spans="9:12" x14ac:dyDescent="0.3">
      <c r="I428" s="296"/>
    </row>
    <row r="429" spans="9:12" x14ac:dyDescent="0.3">
      <c r="I429" s="296"/>
    </row>
    <row r="430" spans="9:12" x14ac:dyDescent="0.3">
      <c r="I430" s="296"/>
    </row>
    <row r="431" spans="9:12" x14ac:dyDescent="0.3">
      <c r="I431" s="296"/>
    </row>
    <row r="432" spans="9:12" x14ac:dyDescent="0.3">
      <c r="I432" s="296"/>
    </row>
    <row r="433" spans="9:9" x14ac:dyDescent="0.3">
      <c r="I433" s="296"/>
    </row>
    <row r="434" spans="9:9" x14ac:dyDescent="0.3">
      <c r="I434" s="108"/>
    </row>
    <row r="435" spans="9:9" x14ac:dyDescent="0.3">
      <c r="I435" s="108"/>
    </row>
    <row r="436" spans="9:9" x14ac:dyDescent="0.3">
      <c r="I436" s="108"/>
    </row>
    <row r="437" spans="9:9" x14ac:dyDescent="0.3">
      <c r="I437" s="108"/>
    </row>
    <row r="438" spans="9:9" x14ac:dyDescent="0.3">
      <c r="I438" s="108"/>
    </row>
    <row r="439" spans="9:9" x14ac:dyDescent="0.3">
      <c r="I439" s="108"/>
    </row>
    <row r="440" spans="9:9" x14ac:dyDescent="0.3">
      <c r="I440" s="108"/>
    </row>
    <row r="441" spans="9:9" x14ac:dyDescent="0.3">
      <c r="I441" s="108"/>
    </row>
    <row r="442" spans="9:9" x14ac:dyDescent="0.3">
      <c r="I442" s="108"/>
    </row>
    <row r="443" spans="9:9" x14ac:dyDescent="0.3">
      <c r="I443" s="108"/>
    </row>
  </sheetData>
  <sheetProtection algorithmName="SHA-512" hashValue="d8h5whC+pzCdKdPhef9K599wjkEYUSQNcKZPJQ20hdJRTrW0oSAqZgoQm2ouxnLAZD6Ydn9+HY021xDi04Bx9Q==" saltValue="zIEXN5tK6vwWOpUjlNdF7A==" spinCount="100000" sheet="1" formatCells="0"/>
  <dataConsolidate link="1"/>
  <mergeCells count="11">
    <mergeCell ref="E2:G2"/>
    <mergeCell ref="B2:C2"/>
    <mergeCell ref="B170:D170"/>
    <mergeCell ref="B313:E313"/>
    <mergeCell ref="B303:D303"/>
    <mergeCell ref="B314:E314"/>
    <mergeCell ref="B322:C322"/>
    <mergeCell ref="B323:C323"/>
    <mergeCell ref="B321:C321"/>
    <mergeCell ref="B319:C319"/>
    <mergeCell ref="B320:C320"/>
  </mergeCells>
  <phoneticPr fontId="56" type="noConversion"/>
  <conditionalFormatting sqref="H198 H87:H98">
    <cfRule type="cellIs" dxfId="136" priority="107" stopIfTrue="1" operator="notEqual">
      <formula>0</formula>
    </cfRule>
  </conditionalFormatting>
  <conditionalFormatting sqref="H199">
    <cfRule type="cellIs" dxfId="135" priority="105" stopIfTrue="1" operator="notEqual">
      <formula>0</formula>
    </cfRule>
  </conditionalFormatting>
  <conditionalFormatting sqref="G289:G292 G296:G297">
    <cfRule type="cellIs" dxfId="134" priority="104" stopIfTrue="1" operator="notEqual">
      <formula>0</formula>
    </cfRule>
  </conditionalFormatting>
  <conditionalFormatting sqref="H23">
    <cfRule type="cellIs" dxfId="133" priority="103" stopIfTrue="1" operator="notEqual">
      <formula>0</formula>
    </cfRule>
  </conditionalFormatting>
  <conditionalFormatting sqref="H37:H38">
    <cfRule type="cellIs" dxfId="132" priority="102" stopIfTrue="1" operator="notEqual">
      <formula>0</formula>
    </cfRule>
  </conditionalFormatting>
  <conditionalFormatting sqref="H72">
    <cfRule type="cellIs" dxfId="131" priority="101" stopIfTrue="1" operator="notEqual">
      <formula>0</formula>
    </cfRule>
  </conditionalFormatting>
  <conditionalFormatting sqref="H149">
    <cfRule type="cellIs" dxfId="130" priority="99" stopIfTrue="1" operator="notEqual">
      <formula>0</formula>
    </cfRule>
  </conditionalFormatting>
  <conditionalFormatting sqref="H168">
    <cfRule type="cellIs" dxfId="129" priority="98" stopIfTrue="1" operator="notEqual">
      <formula>0</formula>
    </cfRule>
  </conditionalFormatting>
  <conditionalFormatting sqref="H182">
    <cfRule type="cellIs" dxfId="128" priority="97" stopIfTrue="1" operator="notEqual">
      <formula>0</formula>
    </cfRule>
  </conditionalFormatting>
  <conditionalFormatting sqref="H183">
    <cfRule type="cellIs" dxfId="127" priority="96" stopIfTrue="1" operator="notEqual">
      <formula>0</formula>
    </cfRule>
  </conditionalFormatting>
  <conditionalFormatting sqref="L260 G275">
    <cfRule type="cellIs" priority="68" stopIfTrue="1" operator="equal">
      <formula>";;;"</formula>
    </cfRule>
  </conditionalFormatting>
  <conditionalFormatting sqref="L260 G275">
    <cfRule type="cellIs" dxfId="126" priority="67" stopIfTrue="1" operator="equal">
      <formula>0</formula>
    </cfRule>
  </conditionalFormatting>
  <conditionalFormatting sqref="L260">
    <cfRule type="cellIs" dxfId="125" priority="66" stopIfTrue="1" operator="equal">
      <formula>0</formula>
    </cfRule>
  </conditionalFormatting>
  <conditionalFormatting sqref="G274">
    <cfRule type="cellIs" priority="65" stopIfTrue="1" operator="equal">
      <formula>";;;"</formula>
    </cfRule>
  </conditionalFormatting>
  <conditionalFormatting sqref="G274">
    <cfRule type="cellIs" dxfId="124" priority="64" stopIfTrue="1" operator="equal">
      <formula>0</formula>
    </cfRule>
  </conditionalFormatting>
  <conditionalFormatting sqref="G274">
    <cfRule type="cellIs" dxfId="123" priority="63" stopIfTrue="1" operator="equal">
      <formula>0</formula>
    </cfRule>
  </conditionalFormatting>
  <conditionalFormatting sqref="G273">
    <cfRule type="cellIs" priority="53" stopIfTrue="1" operator="equal">
      <formula>";;;"</formula>
    </cfRule>
  </conditionalFormatting>
  <conditionalFormatting sqref="G273">
    <cfRule type="cellIs" dxfId="122" priority="52" stopIfTrue="1" operator="equal">
      <formula>0</formula>
    </cfRule>
  </conditionalFormatting>
  <conditionalFormatting sqref="G273">
    <cfRule type="cellIs" dxfId="121" priority="51" stopIfTrue="1" operator="equal">
      <formula>0</formula>
    </cfRule>
  </conditionalFormatting>
  <conditionalFormatting sqref="J266">
    <cfRule type="cellIs" priority="50" stopIfTrue="1" operator="equal">
      <formula>";;;"</formula>
    </cfRule>
  </conditionalFormatting>
  <conditionalFormatting sqref="J266">
    <cfRule type="cellIs" dxfId="120" priority="49" stopIfTrue="1" operator="equal">
      <formula>0</formula>
    </cfRule>
  </conditionalFormatting>
  <conditionalFormatting sqref="J266">
    <cfRule type="cellIs" dxfId="119" priority="48" stopIfTrue="1" operator="equal">
      <formula>0</formula>
    </cfRule>
  </conditionalFormatting>
  <conditionalFormatting sqref="G268">
    <cfRule type="cellIs" priority="20" stopIfTrue="1" operator="equal">
      <formula>";;;"</formula>
    </cfRule>
  </conditionalFormatting>
  <conditionalFormatting sqref="G268">
    <cfRule type="cellIs" dxfId="118" priority="19" stopIfTrue="1" operator="equal">
      <formula>0</formula>
    </cfRule>
  </conditionalFormatting>
  <conditionalFormatting sqref="G268">
    <cfRule type="cellIs" dxfId="117" priority="18" stopIfTrue="1" operator="equal">
      <formula>0</formula>
    </cfRule>
  </conditionalFormatting>
  <conditionalFormatting sqref="G266">
    <cfRule type="cellIs" priority="17" stopIfTrue="1" operator="equal">
      <formula>";;;"</formula>
    </cfRule>
  </conditionalFormatting>
  <conditionalFormatting sqref="G266">
    <cfRule type="cellIs" dxfId="116" priority="16" stopIfTrue="1" operator="equal">
      <formula>0</formula>
    </cfRule>
  </conditionalFormatting>
  <conditionalFormatting sqref="G266">
    <cfRule type="cellIs" dxfId="115" priority="15" stopIfTrue="1" operator="equal">
      <formula>0</formula>
    </cfRule>
  </conditionalFormatting>
  <conditionalFormatting sqref="G267">
    <cfRule type="cellIs" priority="14" stopIfTrue="1" operator="equal">
      <formula>";;;"</formula>
    </cfRule>
  </conditionalFormatting>
  <conditionalFormatting sqref="G267">
    <cfRule type="cellIs" dxfId="114" priority="13" stopIfTrue="1" operator="equal">
      <formula>0</formula>
    </cfRule>
  </conditionalFormatting>
  <conditionalFormatting sqref="G267">
    <cfRule type="cellIs" dxfId="113" priority="12" stopIfTrue="1" operator="equal">
      <formula>0</formula>
    </cfRule>
  </conditionalFormatting>
  <conditionalFormatting sqref="G270">
    <cfRule type="cellIs" priority="11" stopIfTrue="1" operator="equal">
      <formula>";;;"</formula>
    </cfRule>
  </conditionalFormatting>
  <conditionalFormatting sqref="G270">
    <cfRule type="cellIs" dxfId="112" priority="10" stopIfTrue="1" operator="equal">
      <formula>0</formula>
    </cfRule>
  </conditionalFormatting>
  <conditionalFormatting sqref="G270">
    <cfRule type="cellIs" dxfId="111" priority="9" stopIfTrue="1" operator="equal">
      <formula>0</formula>
    </cfRule>
  </conditionalFormatting>
  <conditionalFormatting sqref="G272">
    <cfRule type="cellIs" priority="3" stopIfTrue="1" operator="equal">
      <formula>";;;"</formula>
    </cfRule>
  </conditionalFormatting>
  <conditionalFormatting sqref="G272">
    <cfRule type="cellIs" dxfId="110" priority="2" stopIfTrue="1" operator="equal">
      <formula>0</formula>
    </cfRule>
  </conditionalFormatting>
  <conditionalFormatting sqref="G272">
    <cfRule type="cellIs" dxfId="109" priority="1" stopIfTrue="1" operator="equal">
      <formula>0</formula>
    </cfRule>
  </conditionalFormatting>
  <dataValidations xWindow="829" yWindow="690" count="23">
    <dataValidation type="list" allowBlank="1" showInputMessage="1" showErrorMessage="1" prompt="Please select the appropriate number value from the drop-down box." sqref="F131" xr:uid="{00000000-0002-0000-0100-000005000000}">
      <formula1>$N$2:$N$4</formula1>
    </dataValidation>
    <dataValidation type="list" allowBlank="1" showInputMessage="1" showErrorMessage="1" sqref="F88" xr:uid="{A85FF889-D99F-45B3-A284-6701B76512B6}">
      <formula1>$M$4:$M$5</formula1>
    </dataValidation>
    <dataValidation type="list" allowBlank="1" showInputMessage="1" showErrorMessage="1" sqref="F309:F311 F263 F307" xr:uid="{9CC5535C-800A-4D03-A86E-273A5BC3EBB6}">
      <formula1>$M$1:$M$2</formula1>
    </dataValidation>
    <dataValidation type="list" allowBlank="1" showInputMessage="1" showErrorMessage="1" sqref="F298" xr:uid="{FCE57F22-20D9-4CFA-AFE5-1751E216D3C1}">
      <formula1>$O$1:$O$2</formula1>
    </dataValidation>
    <dataValidation type="list" allowBlank="1" showInputMessage="1" showErrorMessage="1" sqref="F271" xr:uid="{2CD3BDAD-30EF-425F-BB01-D3FF43CDAA81}">
      <formula1>$O$1:$O$4</formula1>
    </dataValidation>
    <dataValidation type="list" allowBlank="1" showInputMessage="1" showErrorMessage="1" prompt="Please select from the drop down box the most appropriate answer" sqref="F302" xr:uid="{7584867B-76E5-42C2-B404-3B1B6C94E6E2}">
      <formula1>$O$1:$O$2</formula1>
    </dataValidation>
    <dataValidation type="list" allowBlank="1" showInputMessage="1" showErrorMessage="1" sqref="F306" xr:uid="{DB0EB8F5-2DE0-4833-AFDF-F7BB7A8D56E1}">
      <formula1>$M$6:$M$8</formula1>
    </dataValidation>
    <dataValidation type="list" allowBlank="1" showErrorMessage="1" prompt="Please select from the drop down box the most appropriate answer" sqref="F300" xr:uid="{7FCE12A8-B6A0-48F9-9BA0-C3D89D188CEE}">
      <formula1>"20,21,22,23"</formula1>
    </dataValidation>
    <dataValidation type="list" operator="greaterThan" allowBlank="1" showErrorMessage="1" prompt="Please select appropriate answer from drop down list." sqref="F224"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216 F212 F201 F28:F39 F41:F57 F59:F73 F75:F87 F25:F26 F132:F149 F151:F168 F171:F183 F187:F199 F204:F210 F220:F222 F18:F23 F100:F101 F89:F98 F103:F120 F123:F127" xr:uid="{B5815DCD-160E-4CA9-A461-76D5F396E4F1}">
      <formula1>ISNUMBER(F18)</formula1>
    </dataValidation>
    <dataValidation type="custom" allowBlank="1" showErrorMessage="1" error="Please enter a numeric value.  If this data is not applicable to your unit of government, the cell should be populated with zero." prompt="_x000a__x000a_" sqref="F233:F236 F239:F242 F245:F248 F253:F255 F257:F260 F228:F229" xr:uid="{DA17F63A-7740-447E-B0DD-1FD94F0BE4C8}">
      <formula1>ISNUMBER(F228)</formula1>
    </dataValidation>
    <dataValidation type="custom" allowBlank="1" showErrorMessage="1" error="Please enter a numeric value.  If this data is not applicable to your unit of government, the cell should be populated with zero." sqref="F299 F289:F297 F286 F284 F277:F280 F282 F272:F274 F265:F268" xr:uid="{6656F482-2030-43E8-B669-24F0F4187CE8}">
      <formula1>ISNUMBER(F265)</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69" xr:uid="{8DAFED68-C7CC-4E4B-B0DE-1B3BA6E17585}">
      <formula1>-ISNUMBER(221)</formula1>
    </dataValidation>
    <dataValidation type="list" allowBlank="1" showErrorMessage="1" prompt="Please select appropriate answer from drop down list." sqref="F223" xr:uid="{15C60609-2D17-4E28-A2AB-41834F9A09EE}">
      <formula1>"1,2"</formula1>
    </dataValidation>
    <dataValidation type="custom" allowBlank="1" showInputMessage="1" showErrorMessage="1" error="Please enter a numeric value.  If this data is not applicable to your unit of government, please enter zero." prompt="_x000a_" sqref="Q21:Q23" xr:uid="{9CBC3A0A-ED2F-4189-A811-9F7E91132699}">
      <formula1>ISNUMBER(Q21)</formula1>
    </dataValidation>
    <dataValidation type="custom" allowBlank="1" showInputMessage="1" showErrorMessage="1" error="Please enter a numeric value. " sqref="Q7" xr:uid="{CB95FD3C-B04D-4711-9116-7A469E0AAB1B}">
      <formula1>ISNUMBER(Q7)</formula1>
    </dataValidation>
    <dataValidation type="custom" allowBlank="1" showInputMessage="1" showErrorMessage="1" error="Please enter a numeric value. If this data is not applicable to your unit of government, the cell should be populated with zero." sqref="Q8:Q17 F7:F17" xr:uid="{2B8A4F99-9CD2-4D02-A062-E988EF3799E5}">
      <formula1>ISNUMBER(F7)</formula1>
    </dataValidation>
    <dataValidation allowBlank="1" showInputMessage="1" showErrorMessage="1" error="Please enter a numeric value. If this data is not applicable to your unit of government, the cell should be populated with zero." sqref="Q18:Q19" xr:uid="{74AB16B8-397F-4D3E-B798-0C4CD86D1B10}"/>
    <dataValidation type="custom" allowBlank="1" showInputMessage="1" showErrorMessage="1" error="Please enter a numeric value. If this data is not applicable to your unit of government, the cell should be populated with zero." prompt="_x000a_" sqref="Q20" xr:uid="{ECAB93E3-7E39-4615-8FE4-6276528C897F}">
      <formula1>ISNUMBER(Q20)</formula1>
    </dataValidation>
    <dataValidation type="list" allowBlank="1" showErrorMessage="1" prompt="Please select appropriate answer from drop down list." sqref="F184:F185" xr:uid="{B28A4ED8-9280-4348-99A1-3B99F5248D33}">
      <formula1>$M$1:$M$2</formula1>
    </dataValidation>
    <dataValidation type="list" allowBlank="1" showInputMessage="1" showErrorMessage="1" prompt="Please select appropriate answer from drop down list." sqref="F214" xr:uid="{CE840982-6377-4DDA-A117-91D0B30682FD}">
      <formula1>$O$1:$O$2</formula1>
    </dataValidation>
    <dataValidation type="custom" allowBlank="1" showErrorMessage="1" error="Please enter a numeric value.  If this data is not applicable to your unit of government the cell should be populated with zero." sqref="F262" xr:uid="{CB641EB2-3894-4A74-BBEC-CDF7A3E8D5D8}">
      <formula1>ISNUMBER(F262)</formula1>
    </dataValidation>
    <dataValidation type="custom" allowBlank="1" showErrorMessage="1" error="Please enter a numeric value.  If this data is not applicable to your unit of government, the cell should be populated wih zero." sqref="F270" xr:uid="{EE3DADAD-5656-406D-A714-9D6C22BCD542}">
      <formula1>ISNUMBER(F270)</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H293:H295"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Names(H)'!$A$1:$A$116</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AF871-8D58-4B43-B608-BEB0D5AB7735}">
  <sheetPr codeName="Sheet3">
    <tabColor theme="3" tint="0.79998168889431442"/>
    <pageSetUpPr fitToPage="1"/>
  </sheetPr>
  <dimension ref="A1:AQ96"/>
  <sheetViews>
    <sheetView showGridLines="0" zoomScaleNormal="100" workbookViewId="0">
      <selection activeCell="G41" sqref="G41"/>
    </sheetView>
  </sheetViews>
  <sheetFormatPr defaultColWidth="9.33203125" defaultRowHeight="14.4" x14ac:dyDescent="0.3"/>
  <cols>
    <col min="1" max="1" width="2.6640625" style="194" customWidth="1"/>
    <col min="2" max="3" width="2.33203125" style="194" customWidth="1"/>
    <col min="4" max="4" width="7.44140625" style="261" customWidth="1"/>
    <col min="5" max="5" width="43.6640625" style="249" customWidth="1"/>
    <col min="6" max="6" width="53.33203125" style="249" customWidth="1"/>
    <col min="7" max="7" width="18.6640625" style="194" customWidth="1"/>
    <col min="8" max="8" width="44.44140625" style="194" customWidth="1"/>
    <col min="9" max="9" width="9.44140625" style="194" customWidth="1"/>
    <col min="10" max="10" width="9.33203125" style="249" customWidth="1"/>
    <col min="11" max="12" width="16.6640625" customWidth="1"/>
    <col min="13" max="13" width="15.109375" customWidth="1"/>
    <col min="14" max="14" width="2.6640625" customWidth="1"/>
    <col min="15" max="15" width="61.109375" customWidth="1"/>
    <col min="16" max="16" width="77.6640625" customWidth="1"/>
    <col min="17" max="17" width="30.6640625" customWidth="1"/>
    <col min="18" max="18" width="10.44140625" customWidth="1"/>
    <col min="19" max="19" width="10.6640625" customWidth="1"/>
    <col min="20" max="20" width="11.109375" customWidth="1"/>
    <col min="21" max="21" width="14" customWidth="1"/>
    <col min="22" max="22" width="17.6640625" customWidth="1"/>
    <col min="23" max="23" width="11.33203125" customWidth="1"/>
    <col min="24" max="24" width="57.33203125" customWidth="1"/>
    <col min="25" max="25" width="13.109375" customWidth="1"/>
    <col min="26" max="26" width="31.109375" customWidth="1"/>
    <col min="27" max="27" width="4.6640625" customWidth="1"/>
    <col min="28" max="36" width="9.33203125" customWidth="1"/>
    <col min="37" max="37" width="36.44140625" customWidth="1"/>
    <col min="38" max="38" width="9.33203125" customWidth="1"/>
    <col min="40" max="43" width="9.33203125" style="195"/>
    <col min="44" max="16384" width="9.33203125" style="194"/>
  </cols>
  <sheetData>
    <row r="1" spans="1:43" ht="87" customHeight="1" thickBot="1" x14ac:dyDescent="0.35">
      <c r="B1" s="1315" t="s">
        <v>1529</v>
      </c>
      <c r="C1" s="1316"/>
      <c r="D1" s="1316"/>
      <c r="E1" s="1316"/>
      <c r="F1" s="1316"/>
      <c r="G1" s="1316"/>
      <c r="H1" s="1316"/>
      <c r="I1" s="1316"/>
      <c r="J1" s="1317"/>
    </row>
    <row r="2" spans="1:43" s="196" customFormat="1" ht="16.8" hidden="1" thickBot="1" x14ac:dyDescent="0.35">
      <c r="B2" s="1318" t="s">
        <v>594</v>
      </c>
      <c r="C2" s="1319"/>
      <c r="D2" s="1319"/>
      <c r="E2" s="1319"/>
      <c r="F2" s="1319"/>
      <c r="G2" s="1319"/>
      <c r="H2" s="1319"/>
      <c r="I2" s="1319"/>
      <c r="J2" s="1320"/>
      <c r="K2"/>
      <c r="L2"/>
      <c r="M2"/>
      <c r="N2"/>
      <c r="O2"/>
      <c r="P2"/>
      <c r="Q2"/>
      <c r="R2"/>
      <c r="S2"/>
      <c r="T2"/>
      <c r="U2"/>
      <c r="V2"/>
      <c r="W2"/>
      <c r="X2"/>
      <c r="Y2"/>
      <c r="Z2"/>
      <c r="AA2"/>
      <c r="AB2"/>
      <c r="AC2"/>
      <c r="AD2"/>
      <c r="AE2"/>
      <c r="AF2"/>
      <c r="AG2"/>
      <c r="AH2"/>
      <c r="AI2"/>
      <c r="AJ2"/>
      <c r="AK2"/>
      <c r="AL2"/>
      <c r="AM2"/>
      <c r="AN2" s="195"/>
      <c r="AO2" s="195"/>
      <c r="AP2" s="195"/>
      <c r="AQ2" s="195"/>
    </row>
    <row r="3" spans="1:43" s="198" customFormat="1" ht="39" hidden="1" customHeight="1" thickBot="1" x14ac:dyDescent="0.35">
      <c r="A3" s="194"/>
      <c r="B3" s="1321" t="s">
        <v>595</v>
      </c>
      <c r="C3" s="1322"/>
      <c r="D3" s="1322"/>
      <c r="E3" s="1322"/>
      <c r="F3" s="1322"/>
      <c r="G3" s="1322"/>
      <c r="H3" s="1322"/>
      <c r="I3" s="1322"/>
      <c r="J3" s="1323"/>
      <c r="K3"/>
      <c r="L3"/>
      <c r="M3"/>
      <c r="N3"/>
      <c r="O3"/>
      <c r="P3"/>
      <c r="Q3"/>
      <c r="R3"/>
      <c r="S3"/>
      <c r="T3"/>
      <c r="U3"/>
      <c r="V3"/>
      <c r="W3"/>
      <c r="X3"/>
      <c r="Y3"/>
      <c r="Z3"/>
      <c r="AA3"/>
      <c r="AB3"/>
      <c r="AC3"/>
      <c r="AD3"/>
      <c r="AE3"/>
      <c r="AF3"/>
      <c r="AG3"/>
      <c r="AH3"/>
      <c r="AI3"/>
      <c r="AJ3"/>
      <c r="AK3"/>
      <c r="AL3"/>
      <c r="AM3"/>
      <c r="AN3" s="197"/>
      <c r="AO3" s="197"/>
      <c r="AP3" s="197"/>
      <c r="AQ3" s="197"/>
    </row>
    <row r="4" spans="1:43" ht="20.25" customHeight="1" x14ac:dyDescent="0.3">
      <c r="B4" s="1247" t="s">
        <v>1530</v>
      </c>
      <c r="C4" s="1248"/>
      <c r="D4" s="1248"/>
      <c r="E4" s="1248"/>
      <c r="F4" s="1249"/>
      <c r="G4" s="1249"/>
      <c r="H4" s="1249"/>
      <c r="I4" s="1249"/>
      <c r="J4" s="1250"/>
    </row>
    <row r="5" spans="1:43" ht="27" hidden="1" customHeight="1" x14ac:dyDescent="0.3">
      <c r="B5" s="1312" t="s">
        <v>1300</v>
      </c>
      <c r="C5" s="1313"/>
      <c r="D5" s="1313"/>
      <c r="E5" s="1313"/>
      <c r="F5" s="1313"/>
      <c r="G5" s="1313"/>
      <c r="H5" s="1313"/>
      <c r="I5" s="1313"/>
      <c r="J5" s="1314"/>
    </row>
    <row r="6" spans="1:43" ht="27" hidden="1" customHeight="1" x14ac:dyDescent="0.3">
      <c r="B6" s="944"/>
      <c r="C6" s="945"/>
      <c r="D6" s="945"/>
      <c r="E6" s="945"/>
      <c r="F6" s="945"/>
      <c r="G6" s="945"/>
      <c r="H6" s="945"/>
      <c r="I6" s="945"/>
      <c r="J6" s="946"/>
    </row>
    <row r="7" spans="1:43" ht="20.25" customHeight="1" thickBot="1" x14ac:dyDescent="0.35">
      <c r="B7" s="1309" t="s">
        <v>1531</v>
      </c>
      <c r="C7" s="1310"/>
      <c r="D7" s="1310"/>
      <c r="E7" s="1310"/>
      <c r="F7" s="1310"/>
      <c r="G7" s="1310"/>
      <c r="H7" s="1310"/>
      <c r="I7" s="1310"/>
      <c r="J7" s="1311"/>
    </row>
    <row r="8" spans="1:43" ht="39" hidden="1" customHeight="1" thickBot="1" x14ac:dyDescent="0.35">
      <c r="B8" s="199"/>
      <c r="C8" s="200"/>
      <c r="D8" s="201" t="s">
        <v>596</v>
      </c>
      <c r="E8" s="202"/>
      <c r="F8" s="203"/>
      <c r="G8" s="203"/>
      <c r="H8" s="203"/>
      <c r="I8" s="203"/>
      <c r="J8" s="204"/>
    </row>
    <row r="9" spans="1:43" s="205" customFormat="1" ht="15" hidden="1" thickBot="1" x14ac:dyDescent="0.35">
      <c r="B9" s="206"/>
      <c r="C9" s="207"/>
      <c r="D9" s="256" t="s">
        <v>472</v>
      </c>
      <c r="E9" s="208"/>
      <c r="F9" s="208"/>
      <c r="G9" s="208"/>
      <c r="H9" s="209"/>
      <c r="I9" s="209"/>
      <c r="J9" s="210"/>
      <c r="K9"/>
      <c r="L9"/>
      <c r="M9"/>
      <c r="N9"/>
      <c r="O9"/>
      <c r="P9"/>
      <c r="Q9"/>
      <c r="R9"/>
      <c r="S9"/>
      <c r="T9"/>
      <c r="U9"/>
      <c r="V9"/>
      <c r="W9"/>
      <c r="X9"/>
      <c r="Y9"/>
      <c r="Z9"/>
      <c r="AA9"/>
      <c r="AB9"/>
      <c r="AC9"/>
      <c r="AD9"/>
      <c r="AE9"/>
      <c r="AF9"/>
      <c r="AG9"/>
      <c r="AH9"/>
      <c r="AI9"/>
      <c r="AJ9"/>
      <c r="AK9"/>
      <c r="AL9"/>
      <c r="AM9"/>
      <c r="AN9" s="195"/>
      <c r="AO9" s="195"/>
      <c r="AP9" s="195"/>
      <c r="AQ9" s="195"/>
    </row>
    <row r="10" spans="1:43" ht="19.5" hidden="1" customHeight="1" thickBot="1" x14ac:dyDescent="0.35">
      <c r="B10" s="211"/>
      <c r="C10" s="212"/>
      <c r="D10" s="304" t="s">
        <v>844</v>
      </c>
      <c r="E10" s="1296" t="s">
        <v>597</v>
      </c>
      <c r="F10" s="1296"/>
      <c r="G10" s="1293"/>
      <c r="H10" s="1294"/>
      <c r="I10" s="1295"/>
      <c r="J10" s="213"/>
    </row>
    <row r="11" spans="1:43" ht="14.25" hidden="1" customHeight="1" thickBot="1" x14ac:dyDescent="0.35">
      <c r="B11" s="211"/>
      <c r="C11" s="212"/>
      <c r="D11" s="256"/>
      <c r="E11" s="208"/>
      <c r="F11" s="208"/>
      <c r="G11" s="214" t="str">
        <f>IF(U9&gt;0,"PLEASE SEE INSTRUCTIONS REGARDING NAME","")</f>
        <v/>
      </c>
      <c r="H11" s="215"/>
      <c r="I11" s="215"/>
      <c r="J11" s="213"/>
    </row>
    <row r="12" spans="1:43" ht="21" hidden="1" customHeight="1" thickBot="1" x14ac:dyDescent="0.35">
      <c r="B12" s="211"/>
      <c r="C12" s="212"/>
      <c r="D12" s="305" t="s">
        <v>845</v>
      </c>
      <c r="E12" s="1296" t="s">
        <v>1042</v>
      </c>
      <c r="F12" s="1296"/>
      <c r="G12" s="216"/>
      <c r="H12" s="215"/>
      <c r="I12" s="215"/>
      <c r="J12" s="213"/>
    </row>
    <row r="13" spans="1:43" ht="6.75" hidden="1" customHeight="1" thickBot="1" x14ac:dyDescent="0.35">
      <c r="B13" s="211"/>
      <c r="C13" s="212"/>
      <c r="D13" s="256"/>
      <c r="E13" s="217"/>
      <c r="F13" s="217"/>
      <c r="G13" s="215"/>
      <c r="H13" s="215"/>
      <c r="I13" s="215"/>
      <c r="J13" s="213"/>
    </row>
    <row r="14" spans="1:43" ht="26.25" hidden="1" customHeight="1" thickBot="1" x14ac:dyDescent="0.35">
      <c r="B14" s="211"/>
      <c r="C14" s="212"/>
      <c r="D14" s="262">
        <v>900</v>
      </c>
      <c r="E14" s="1296" t="s">
        <v>598</v>
      </c>
      <c r="F14" s="1296"/>
      <c r="G14" s="218"/>
      <c r="H14" s="215"/>
      <c r="I14" s="215"/>
      <c r="J14" s="213"/>
    </row>
    <row r="15" spans="1:43" ht="6.75" hidden="1" customHeight="1" thickBot="1" x14ac:dyDescent="0.35">
      <c r="B15" s="211"/>
      <c r="C15" s="212"/>
      <c r="D15" s="262"/>
      <c r="E15" s="217"/>
      <c r="F15" s="217"/>
      <c r="G15" s="215"/>
      <c r="H15" s="215"/>
      <c r="I15" s="215"/>
      <c r="J15" s="213"/>
    </row>
    <row r="16" spans="1:43" ht="26.25" hidden="1" customHeight="1" thickBot="1" x14ac:dyDescent="0.35">
      <c r="B16" s="211"/>
      <c r="C16" s="212"/>
      <c r="D16" s="262" t="s">
        <v>774</v>
      </c>
      <c r="E16" s="1292" t="s">
        <v>599</v>
      </c>
      <c r="F16" s="1292"/>
      <c r="G16" s="1297"/>
      <c r="H16" s="1294"/>
      <c r="I16" s="1295"/>
      <c r="J16" s="213"/>
    </row>
    <row r="17" spans="2:10" ht="6.75" hidden="1" customHeight="1" thickBot="1" x14ac:dyDescent="0.35">
      <c r="B17" s="211"/>
      <c r="C17" s="212"/>
      <c r="D17" s="262"/>
      <c r="E17" s="217"/>
      <c r="F17" s="217"/>
      <c r="G17" s="215"/>
      <c r="H17" s="215"/>
      <c r="I17" s="215"/>
      <c r="J17" s="213"/>
    </row>
    <row r="18" spans="2:10" ht="24" hidden="1" customHeight="1" thickBot="1" x14ac:dyDescent="0.35">
      <c r="B18" s="211"/>
      <c r="C18" s="212"/>
      <c r="D18" s="262" t="s">
        <v>775</v>
      </c>
      <c r="E18" s="1292" t="s">
        <v>600</v>
      </c>
      <c r="F18" s="1292"/>
      <c r="G18" s="1293"/>
      <c r="H18" s="1294"/>
      <c r="I18" s="1295"/>
      <c r="J18" s="213"/>
    </row>
    <row r="19" spans="2:10" ht="6.75" hidden="1" customHeight="1" thickBot="1" x14ac:dyDescent="0.35">
      <c r="B19" s="211"/>
      <c r="C19" s="212"/>
      <c r="D19" s="262"/>
      <c r="E19" s="217"/>
      <c r="F19" s="217"/>
      <c r="G19" s="215"/>
      <c r="H19" s="215"/>
      <c r="I19" s="215"/>
      <c r="J19" s="213"/>
    </row>
    <row r="20" spans="2:10" ht="24" hidden="1" customHeight="1" thickBot="1" x14ac:dyDescent="0.35">
      <c r="B20" s="211"/>
      <c r="C20" s="212"/>
      <c r="D20" s="262" t="s">
        <v>776</v>
      </c>
      <c r="E20" s="1292" t="s">
        <v>601</v>
      </c>
      <c r="F20" s="1292"/>
      <c r="G20" s="1293"/>
      <c r="H20" s="1294"/>
      <c r="I20" s="1295"/>
      <c r="J20" s="213"/>
    </row>
    <row r="21" spans="2:10" ht="6.75" hidden="1" customHeight="1" thickBot="1" x14ac:dyDescent="0.35">
      <c r="B21" s="211"/>
      <c r="C21" s="212"/>
      <c r="D21" s="262"/>
      <c r="E21" s="217"/>
      <c r="F21" s="217"/>
      <c r="G21" s="215"/>
      <c r="H21" s="215"/>
      <c r="I21" s="215"/>
      <c r="J21" s="213"/>
    </row>
    <row r="22" spans="2:10" ht="24" hidden="1" customHeight="1" thickBot="1" x14ac:dyDescent="0.35">
      <c r="B22" s="211"/>
      <c r="C22" s="212"/>
      <c r="D22" s="262" t="s">
        <v>777</v>
      </c>
      <c r="E22" s="1292" t="s">
        <v>602</v>
      </c>
      <c r="F22" s="1292"/>
      <c r="G22" s="1297"/>
      <c r="H22" s="1294"/>
      <c r="I22" s="1295"/>
      <c r="J22" s="213"/>
    </row>
    <row r="23" spans="2:10" ht="6.75" hidden="1" customHeight="1" thickBot="1" x14ac:dyDescent="0.35">
      <c r="B23" s="211"/>
      <c r="C23" s="212"/>
      <c r="D23" s="262"/>
      <c r="E23" s="217"/>
      <c r="F23" s="217"/>
      <c r="G23" s="215"/>
      <c r="H23" s="215"/>
      <c r="I23" s="215"/>
      <c r="J23" s="213"/>
    </row>
    <row r="24" spans="2:10" ht="24" hidden="1" customHeight="1" thickBot="1" x14ac:dyDescent="0.35">
      <c r="B24" s="211"/>
      <c r="C24" s="212"/>
      <c r="D24" s="262" t="s">
        <v>778</v>
      </c>
      <c r="E24" s="1292" t="s">
        <v>603</v>
      </c>
      <c r="F24" s="1292"/>
      <c r="G24" s="1297"/>
      <c r="H24" s="1294"/>
      <c r="I24" s="1295"/>
      <c r="J24" s="213"/>
    </row>
    <row r="25" spans="2:10" ht="6.75" hidden="1" customHeight="1" thickBot="1" x14ac:dyDescent="0.35">
      <c r="B25" s="211"/>
      <c r="C25" s="212"/>
      <c r="D25" s="263"/>
      <c r="E25" s="208"/>
      <c r="F25" s="208"/>
      <c r="G25" s="212"/>
      <c r="H25" s="212"/>
      <c r="I25" s="212"/>
      <c r="J25" s="213"/>
    </row>
    <row r="26" spans="2:10" ht="18.75" hidden="1" customHeight="1" thickBot="1" x14ac:dyDescent="0.35">
      <c r="B26" s="211"/>
      <c r="C26" s="212"/>
      <c r="D26" s="262" t="s">
        <v>846</v>
      </c>
      <c r="E26" s="1296" t="s">
        <v>604</v>
      </c>
      <c r="F26" s="1296"/>
      <c r="G26" s="1301"/>
      <c r="H26" s="1302"/>
      <c r="I26" s="219"/>
      <c r="J26" s="213"/>
    </row>
    <row r="27" spans="2:10" ht="28.5" hidden="1" customHeight="1" thickBot="1" x14ac:dyDescent="0.35">
      <c r="B27" s="211"/>
      <c r="C27" s="212"/>
      <c r="D27" s="262"/>
      <c r="E27" s="1303" t="str">
        <f>IF(G26="Housing Authority", CONCATENATE("SKIP Questions ",D28,"-",D66),"")</f>
        <v/>
      </c>
      <c r="F27" s="1303"/>
      <c r="G27" s="1303"/>
      <c r="H27" s="1303"/>
      <c r="I27" s="219"/>
      <c r="J27" s="213"/>
    </row>
    <row r="28" spans="2:10" ht="28.5" hidden="1" customHeight="1" thickBot="1" x14ac:dyDescent="0.35">
      <c r="B28" s="211"/>
      <c r="C28" s="212"/>
      <c r="D28" s="262" t="s">
        <v>780</v>
      </c>
      <c r="E28" s="1296" t="s">
        <v>605</v>
      </c>
      <c r="F28" s="1296"/>
      <c r="G28" s="220"/>
      <c r="H28" s="1304">
        <f>+O28</f>
        <v>0</v>
      </c>
      <c r="I28" s="1305"/>
      <c r="J28" s="213"/>
    </row>
    <row r="29" spans="2:10" ht="6.75" hidden="1" customHeight="1" thickBot="1" x14ac:dyDescent="0.35">
      <c r="B29" s="211"/>
      <c r="C29" s="212"/>
      <c r="D29" s="263"/>
      <c r="E29" s="208"/>
      <c r="F29" s="208"/>
      <c r="G29" s="221"/>
      <c r="H29" s="208"/>
      <c r="I29" s="222"/>
      <c r="J29" s="213"/>
    </row>
    <row r="30" spans="2:10" ht="18.75" hidden="1" customHeight="1" thickBot="1" x14ac:dyDescent="0.35">
      <c r="B30" s="211"/>
      <c r="C30" s="212"/>
      <c r="D30" s="262" t="s">
        <v>779</v>
      </c>
      <c r="E30" s="1296" t="s">
        <v>606</v>
      </c>
      <c r="F30" s="1296"/>
      <c r="G30" s="223"/>
      <c r="H30" s="1306"/>
      <c r="I30" s="1306"/>
      <c r="J30" s="213"/>
    </row>
    <row r="31" spans="2:10" ht="6.75" hidden="1" customHeight="1" thickBot="1" x14ac:dyDescent="0.35">
      <c r="B31" s="211"/>
      <c r="C31" s="212"/>
      <c r="D31" s="263"/>
      <c r="E31" s="208"/>
      <c r="F31" s="208"/>
      <c r="G31" s="212"/>
      <c r="H31" s="212"/>
      <c r="I31" s="212"/>
      <c r="J31" s="213"/>
    </row>
    <row r="32" spans="2:10" ht="27.75" hidden="1" customHeight="1" thickBot="1" x14ac:dyDescent="0.35">
      <c r="B32" s="211"/>
      <c r="C32" s="212"/>
      <c r="D32" s="262" t="s">
        <v>781</v>
      </c>
      <c r="E32" s="1307" t="s">
        <v>607</v>
      </c>
      <c r="F32" s="1308"/>
      <c r="G32" s="1298"/>
      <c r="H32" s="1299"/>
      <c r="I32" s="1300"/>
      <c r="J32" s="213"/>
    </row>
    <row r="33" spans="2:10" ht="6.75" hidden="1" customHeight="1" thickBot="1" x14ac:dyDescent="0.35">
      <c r="B33" s="211"/>
      <c r="C33" s="212"/>
      <c r="D33" s="263"/>
      <c r="E33" s="208"/>
      <c r="F33" s="208"/>
      <c r="G33" s="212"/>
      <c r="H33" s="212"/>
      <c r="I33" s="212"/>
      <c r="J33" s="213"/>
    </row>
    <row r="34" spans="2:10" ht="17.25" hidden="1" customHeight="1" thickBot="1" x14ac:dyDescent="0.35">
      <c r="B34" s="211"/>
      <c r="C34" s="212"/>
      <c r="D34" s="262" t="s">
        <v>782</v>
      </c>
      <c r="E34" s="217" t="s">
        <v>608</v>
      </c>
      <c r="F34" s="217"/>
      <c r="G34" s="1293"/>
      <c r="H34" s="1294"/>
      <c r="I34" s="1295"/>
      <c r="J34" s="213"/>
    </row>
    <row r="35" spans="2:10" ht="6.75" hidden="1" customHeight="1" thickBot="1" x14ac:dyDescent="0.35">
      <c r="B35" s="211"/>
      <c r="C35" s="212"/>
      <c r="D35" s="263"/>
      <c r="E35" s="208"/>
      <c r="F35" s="208"/>
      <c r="G35" s="212"/>
      <c r="H35" s="212"/>
      <c r="I35" s="212"/>
      <c r="J35" s="213"/>
    </row>
    <row r="36" spans="2:10" ht="18" hidden="1" customHeight="1" thickBot="1" x14ac:dyDescent="0.35">
      <c r="B36" s="211"/>
      <c r="C36" s="212"/>
      <c r="D36" s="262" t="s">
        <v>783</v>
      </c>
      <c r="E36" s="1296" t="s">
        <v>609</v>
      </c>
      <c r="F36" s="1326"/>
      <c r="G36" s="1293"/>
      <c r="H36" s="1294"/>
      <c r="I36" s="1295"/>
      <c r="J36" s="213"/>
    </row>
    <row r="37" spans="2:10" ht="8.25" hidden="1" customHeight="1" thickBot="1" x14ac:dyDescent="0.35">
      <c r="B37" s="211"/>
      <c r="C37" s="212"/>
      <c r="D37" s="256"/>
      <c r="E37" s="1327"/>
      <c r="F37" s="1327"/>
      <c r="G37" s="1327"/>
      <c r="H37" s="1327"/>
      <c r="I37" s="219"/>
      <c r="J37" s="213"/>
    </row>
    <row r="38" spans="2:10" ht="39" customHeight="1" thickBot="1" x14ac:dyDescent="0.35">
      <c r="B38" s="1328" t="s">
        <v>1299</v>
      </c>
      <c r="C38" s="1329"/>
      <c r="D38" s="1329"/>
      <c r="E38" s="1329"/>
      <c r="F38" s="1329"/>
      <c r="G38" s="1329"/>
      <c r="H38" s="1329"/>
      <c r="I38" s="1329"/>
      <c r="J38" s="1330"/>
    </row>
    <row r="39" spans="2:10" ht="4.5" customHeight="1" x14ac:dyDescent="0.3">
      <c r="B39" s="211"/>
      <c r="C39" s="212"/>
      <c r="D39" s="257"/>
      <c r="E39" s="208"/>
      <c r="F39" s="208"/>
      <c r="G39" s="212"/>
      <c r="H39" s="212"/>
      <c r="I39" s="212"/>
      <c r="J39" s="213"/>
    </row>
    <row r="40" spans="2:10" ht="4.5" customHeight="1" thickBot="1" x14ac:dyDescent="0.35">
      <c r="B40" s="211"/>
      <c r="C40" s="212"/>
      <c r="D40" s="257"/>
      <c r="E40" s="208"/>
      <c r="F40" s="208"/>
      <c r="G40" s="212"/>
      <c r="H40" s="212"/>
      <c r="I40" s="212"/>
      <c r="J40" s="213"/>
    </row>
    <row r="41" spans="2:10" ht="30.75" customHeight="1" thickBot="1" x14ac:dyDescent="0.35">
      <c r="B41" s="211"/>
      <c r="C41" s="212"/>
      <c r="D41" s="256">
        <v>906</v>
      </c>
      <c r="E41" s="1296" t="s">
        <v>610</v>
      </c>
      <c r="F41" s="1296"/>
      <c r="G41" s="220"/>
      <c r="H41" s="302" t="str">
        <f>IF(G41="","This Question must be answered before uploading, the report will not be processed if left blank","")</f>
        <v>This Question must be answered before uploading, the report will not be processed if left blank</v>
      </c>
      <c r="I41" s="212"/>
      <c r="J41" s="213"/>
    </row>
    <row r="42" spans="2:10" ht="6.75" customHeight="1" thickBot="1" x14ac:dyDescent="0.35">
      <c r="B42" s="211"/>
      <c r="C42" s="212"/>
      <c r="D42" s="256"/>
      <c r="E42" s="217"/>
      <c r="F42" s="217"/>
      <c r="G42" s="221"/>
      <c r="H42" s="212"/>
      <c r="I42" s="212"/>
      <c r="J42" s="213"/>
    </row>
    <row r="43" spans="2:10" ht="32.25" customHeight="1" thickBot="1" x14ac:dyDescent="0.35">
      <c r="B43" s="211"/>
      <c r="C43" s="212"/>
      <c r="D43" s="256">
        <v>907</v>
      </c>
      <c r="E43" s="1296" t="s">
        <v>611</v>
      </c>
      <c r="F43" s="1296"/>
      <c r="G43" s="220"/>
      <c r="H43" s="302" t="str">
        <f>IF(G43="","This Question must be answered before uploading, the report will not be processed if left blank","")</f>
        <v>This Question must be answered before uploading, the report will not be processed if left blank</v>
      </c>
      <c r="I43" s="212"/>
      <c r="J43" s="213"/>
    </row>
    <row r="44" spans="2:10" ht="6.75" customHeight="1" thickBot="1" x14ac:dyDescent="0.35">
      <c r="B44" s="211"/>
      <c r="C44" s="212"/>
      <c r="D44" s="256"/>
      <c r="E44" s="217"/>
      <c r="F44" s="217"/>
      <c r="G44" s="221"/>
      <c r="H44" s="212"/>
      <c r="I44" s="212"/>
      <c r="J44" s="213"/>
    </row>
    <row r="45" spans="2:10" ht="32.25" customHeight="1" thickBot="1" x14ac:dyDescent="0.35">
      <c r="B45" s="211"/>
      <c r="C45" s="212"/>
      <c r="D45" s="256">
        <v>951</v>
      </c>
      <c r="E45" s="1296" t="s">
        <v>612</v>
      </c>
      <c r="F45" s="1296"/>
      <c r="G45" s="220"/>
      <c r="H45" s="302" t="str">
        <f>IF(G45="","This Question must be answered before uploading, the report will not be processed if left blank","")</f>
        <v>This Question must be answered before uploading, the report will not be processed if left blank</v>
      </c>
      <c r="I45" s="208"/>
      <c r="J45" s="213"/>
    </row>
    <row r="46" spans="2:10" ht="6.75" customHeight="1" thickBot="1" x14ac:dyDescent="0.35">
      <c r="B46" s="211"/>
      <c r="C46" s="212"/>
      <c r="D46" s="256"/>
      <c r="E46" s="217"/>
      <c r="F46" s="217"/>
      <c r="G46" s="221"/>
      <c r="H46" s="212"/>
      <c r="I46" s="212"/>
      <c r="J46" s="213"/>
    </row>
    <row r="47" spans="2:10" ht="33" customHeight="1" thickBot="1" x14ac:dyDescent="0.35">
      <c r="B47" s="211"/>
      <c r="C47" s="212"/>
      <c r="D47" s="256">
        <v>953</v>
      </c>
      <c r="E47" s="1296" t="s">
        <v>613</v>
      </c>
      <c r="F47" s="1296"/>
      <c r="G47" s="220"/>
      <c r="H47" s="302" t="str">
        <f>IF(G47="","This Question must be answered before uploading, the report will not be processed if left blank","")</f>
        <v>This Question must be answered before uploading, the report will not be processed if left blank</v>
      </c>
      <c r="I47" s="208"/>
      <c r="J47" s="213"/>
    </row>
    <row r="48" spans="2:10" ht="6.75" customHeight="1" thickBot="1" x14ac:dyDescent="0.35">
      <c r="B48" s="211"/>
      <c r="C48" s="212"/>
      <c r="D48" s="258"/>
      <c r="E48" s="217"/>
      <c r="F48" s="217"/>
      <c r="G48" s="221"/>
      <c r="H48" s="212"/>
      <c r="I48" s="212"/>
      <c r="J48" s="213"/>
    </row>
    <row r="49" spans="2:43" ht="32.25" customHeight="1" thickBot="1" x14ac:dyDescent="0.35">
      <c r="B49" s="211"/>
      <c r="C49" s="212"/>
      <c r="D49" s="256">
        <v>955</v>
      </c>
      <c r="E49" s="1296" t="s">
        <v>614</v>
      </c>
      <c r="F49" s="1296"/>
      <c r="G49" s="225"/>
      <c r="H49" s="302" t="str">
        <f>IF(G49="","This Question must be answered before uploading, the report will not be processed if left blank","")</f>
        <v>This Question must be answered before uploading, the report will not be processed if left blank</v>
      </c>
      <c r="I49" s="226"/>
      <c r="J49" s="227"/>
    </row>
    <row r="50" spans="2:43" ht="6.75" customHeight="1" thickBot="1" x14ac:dyDescent="0.35">
      <c r="B50" s="211"/>
      <c r="C50" s="212"/>
      <c r="D50" s="256"/>
      <c r="E50" s="217"/>
      <c r="F50" s="217"/>
      <c r="G50" s="221"/>
      <c r="H50" s="226"/>
      <c r="I50" s="226"/>
      <c r="J50" s="227"/>
    </row>
    <row r="51" spans="2:43" ht="39.75" customHeight="1" thickBot="1" x14ac:dyDescent="0.35">
      <c r="B51" s="211"/>
      <c r="C51" s="212"/>
      <c r="D51" s="256">
        <v>957</v>
      </c>
      <c r="E51" s="1296" t="s">
        <v>615</v>
      </c>
      <c r="F51" s="1296"/>
      <c r="G51" s="225"/>
      <c r="H51" s="302" t="str">
        <f>IF(G51="","This Question must be answered before uploading, the report will not be processed if left blank","")</f>
        <v>This Question must be answered before uploading, the report will not be processed if left blank</v>
      </c>
      <c r="I51" s="226"/>
      <c r="J51" s="227"/>
    </row>
    <row r="52" spans="2:43" ht="9.75" customHeight="1" thickBot="1" x14ac:dyDescent="0.35">
      <c r="B52" s="211"/>
      <c r="C52" s="212"/>
      <c r="D52" s="257"/>
      <c r="E52" s="208"/>
      <c r="F52" s="208"/>
      <c r="G52" s="212"/>
      <c r="H52" s="212"/>
      <c r="I52" s="212"/>
      <c r="J52" s="213"/>
    </row>
    <row r="53" spans="2:43" ht="35.1" hidden="1" customHeight="1" thickBot="1" x14ac:dyDescent="0.35">
      <c r="B53" s="211"/>
      <c r="C53" s="212"/>
      <c r="D53" s="256">
        <v>959</v>
      </c>
      <c r="E53" s="1325" t="s">
        <v>1035</v>
      </c>
      <c r="F53" s="1325"/>
      <c r="G53" s="220"/>
      <c r="H53" s="302" t="str">
        <f>IF(G53="","This Question must be answered before uploading, the report will not be processed if left blank","")</f>
        <v>This Question must be answered before uploading, the report will not be processed if left blank</v>
      </c>
      <c r="I53" s="212"/>
      <c r="J53" s="213"/>
    </row>
    <row r="54" spans="2:43" ht="8.25" hidden="1" customHeight="1" thickBot="1" x14ac:dyDescent="0.35">
      <c r="B54" s="211"/>
      <c r="C54" s="212"/>
      <c r="D54" s="256"/>
      <c r="E54" s="379"/>
      <c r="F54" s="379"/>
      <c r="G54" s="212"/>
      <c r="H54" s="212"/>
      <c r="I54" s="212"/>
      <c r="J54" s="213"/>
    </row>
    <row r="55" spans="2:43" ht="67.5" hidden="1" customHeight="1" thickBot="1" x14ac:dyDescent="0.35">
      <c r="B55" s="211"/>
      <c r="C55" s="228"/>
      <c r="D55" s="256">
        <v>973</v>
      </c>
      <c r="E55" s="1325" t="s">
        <v>1109</v>
      </c>
      <c r="F55" s="1325"/>
      <c r="G55" s="384"/>
      <c r="H55" s="302" t="str">
        <f>IF(G55="","This Question must be answered before uploading, the report will not be processed if left blank","")</f>
        <v>This Question must be answered before uploading, the report will not be processed if left blank</v>
      </c>
      <c r="I55" s="281"/>
      <c r="J55" s="213"/>
    </row>
    <row r="56" spans="2:43" ht="6.75" hidden="1" customHeight="1" thickBot="1" x14ac:dyDescent="0.35">
      <c r="B56" s="211"/>
      <c r="C56" s="228"/>
      <c r="D56" s="259"/>
      <c r="E56" s="208"/>
      <c r="F56" s="208"/>
      <c r="G56" s="255"/>
      <c r="H56" s="212"/>
      <c r="I56" s="212"/>
      <c r="J56" s="213"/>
    </row>
    <row r="57" spans="2:43" ht="78" hidden="1" customHeight="1" thickBot="1" x14ac:dyDescent="0.35">
      <c r="B57" s="211"/>
      <c r="C57" s="212"/>
      <c r="D57" s="256">
        <v>974</v>
      </c>
      <c r="E57" s="1296" t="s">
        <v>1039</v>
      </c>
      <c r="F57" s="1324"/>
      <c r="G57" s="220"/>
      <c r="H57" s="301" t="str">
        <f>IF(G57="","This Question must be answered before uploading, the report will not be processed if left blank","")</f>
        <v>This Question must be answered before uploading, the report will not be processed if left blank</v>
      </c>
      <c r="I57" s="229"/>
      <c r="J57" s="213"/>
    </row>
    <row r="58" spans="2:43" ht="20.399999999999999" hidden="1" customHeight="1" x14ac:dyDescent="0.3">
      <c r="B58" s="211"/>
      <c r="C58" s="212"/>
      <c r="D58" s="256"/>
      <c r="E58" s="217"/>
      <c r="F58" s="217"/>
      <c r="G58" s="221"/>
      <c r="H58" s="212"/>
      <c r="I58" s="212"/>
      <c r="J58" s="213"/>
    </row>
    <row r="59" spans="2:43" ht="6.75" hidden="1" customHeight="1" thickBot="1" x14ac:dyDescent="0.3">
      <c r="B59" s="211"/>
      <c r="C59" s="212"/>
      <c r="D59" s="256"/>
      <c r="E59" s="217"/>
      <c r="F59" s="217"/>
      <c r="G59" s="221"/>
      <c r="H59" s="208"/>
      <c r="I59" s="212"/>
      <c r="J59" s="213"/>
    </row>
    <row r="60" spans="2:43" ht="21" hidden="1" customHeight="1" thickBot="1" x14ac:dyDescent="0.35">
      <c r="B60" s="211"/>
      <c r="C60" s="212"/>
      <c r="D60" s="256">
        <v>965</v>
      </c>
      <c r="E60" s="1296" t="s">
        <v>616</v>
      </c>
      <c r="F60" s="1296"/>
      <c r="G60" s="223"/>
      <c r="H60" s="302" t="str">
        <f>IF(G60="","This Question must be answered before uploading, the report will not be processed if left blank","")</f>
        <v>This Question must be answered before uploading, the report will not be processed if left blank</v>
      </c>
      <c r="I60" s="222"/>
      <c r="J60" s="213"/>
    </row>
    <row r="61" spans="2:43" ht="11.4" hidden="1" customHeight="1" thickBot="1" x14ac:dyDescent="0.35">
      <c r="B61" s="211"/>
      <c r="C61" s="212"/>
      <c r="D61" s="257"/>
      <c r="E61" s="208"/>
      <c r="F61" s="208"/>
      <c r="G61" s="221"/>
      <c r="H61" s="208"/>
      <c r="I61" s="222"/>
      <c r="J61" s="213"/>
    </row>
    <row r="62" spans="2:43" s="234" customFormat="1" ht="30.75" customHeight="1" thickBot="1" x14ac:dyDescent="0.35">
      <c r="B62" s="230"/>
      <c r="C62" s="231"/>
      <c r="D62" s="256" t="s">
        <v>847</v>
      </c>
      <c r="E62" s="232" t="s">
        <v>617</v>
      </c>
      <c r="F62" s="233" t="str">
        <f>IF(G62="Yes", "Please Submit Management Letter","")</f>
        <v/>
      </c>
      <c r="G62" s="220"/>
      <c r="H62" s="302" t="str">
        <f>IF(G62="","This Question must be answered before uploading, the report will not be processed if left blank","")</f>
        <v>This Question must be answered before uploading, the report will not be processed if left blank</v>
      </c>
      <c r="I62" s="280"/>
      <c r="J62" s="213"/>
      <c r="K62"/>
      <c r="L62"/>
      <c r="M62"/>
      <c r="N62"/>
      <c r="O62"/>
      <c r="P62"/>
      <c r="Q62"/>
      <c r="R62"/>
      <c r="S62"/>
      <c r="T62"/>
      <c r="U62"/>
      <c r="V62"/>
      <c r="W62"/>
      <c r="X62"/>
      <c r="Y62"/>
      <c r="Z62"/>
      <c r="AA62"/>
      <c r="AB62"/>
      <c r="AC62"/>
      <c r="AD62"/>
      <c r="AE62"/>
      <c r="AF62"/>
      <c r="AG62"/>
      <c r="AH62"/>
      <c r="AI62"/>
      <c r="AJ62"/>
      <c r="AK62"/>
      <c r="AL62"/>
      <c r="AM62"/>
      <c r="AN62" s="224"/>
      <c r="AO62" s="224"/>
      <c r="AP62" s="224"/>
      <c r="AQ62" s="224"/>
    </row>
    <row r="63" spans="2:43" s="234" customFormat="1" ht="9.75" customHeight="1" thickBot="1" x14ac:dyDescent="0.35">
      <c r="B63" s="230"/>
      <c r="C63" s="231"/>
      <c r="D63" s="257"/>
      <c r="E63" s="235"/>
      <c r="F63" s="236"/>
      <c r="G63" s="221"/>
      <c r="H63" s="208"/>
      <c r="I63" s="222"/>
      <c r="J63" s="213"/>
      <c r="K63"/>
      <c r="L63"/>
      <c r="M63"/>
      <c r="N63"/>
      <c r="O63"/>
      <c r="P63"/>
      <c r="Q63"/>
      <c r="R63"/>
      <c r="S63"/>
      <c r="T63"/>
      <c r="U63"/>
      <c r="V63"/>
      <c r="W63"/>
      <c r="X63"/>
      <c r="Y63"/>
      <c r="Z63"/>
      <c r="AA63"/>
      <c r="AB63"/>
      <c r="AC63"/>
      <c r="AD63"/>
      <c r="AE63"/>
      <c r="AF63"/>
      <c r="AG63"/>
      <c r="AH63"/>
      <c r="AI63"/>
      <c r="AJ63"/>
      <c r="AK63"/>
      <c r="AL63"/>
      <c r="AM63"/>
      <c r="AN63" s="224"/>
      <c r="AO63" s="224"/>
      <c r="AP63" s="224"/>
      <c r="AQ63" s="224"/>
    </row>
    <row r="64" spans="2:43" s="234" customFormat="1" ht="31.5" customHeight="1" thickBot="1" x14ac:dyDescent="0.35">
      <c r="B64" s="230"/>
      <c r="C64" s="231"/>
      <c r="D64" s="256" t="s">
        <v>848</v>
      </c>
      <c r="E64" s="232" t="s">
        <v>618</v>
      </c>
      <c r="F64" s="233" t="str">
        <f>IF(G64="Yes", "Please Submit AU-C 260 Letter","")</f>
        <v/>
      </c>
      <c r="G64" s="220"/>
      <c r="H64" s="302" t="str">
        <f>IF(G64="","This Question must be answered before uploading, the report will not be processed if left blank","")</f>
        <v>This Question must be answered before uploading, the report will not be processed if left blank</v>
      </c>
      <c r="I64" s="280"/>
      <c r="J64" s="213"/>
      <c r="K64"/>
      <c r="L64"/>
      <c r="M64"/>
      <c r="N64"/>
      <c r="O64"/>
      <c r="P64"/>
      <c r="Q64"/>
      <c r="R64"/>
      <c r="S64"/>
      <c r="T64"/>
      <c r="U64"/>
      <c r="V64"/>
      <c r="W64"/>
      <c r="X64"/>
      <c r="Y64"/>
      <c r="Z64"/>
      <c r="AA64"/>
      <c r="AB64"/>
      <c r="AC64"/>
      <c r="AD64"/>
      <c r="AE64"/>
      <c r="AF64"/>
      <c r="AG64"/>
      <c r="AH64"/>
      <c r="AI64"/>
      <c r="AJ64"/>
      <c r="AK64"/>
      <c r="AL64"/>
      <c r="AM64"/>
      <c r="AN64" s="224"/>
      <c r="AO64" s="224"/>
      <c r="AP64" s="224"/>
      <c r="AQ64" s="224"/>
    </row>
    <row r="65" spans="2:43" s="234" customFormat="1" ht="8.25" customHeight="1" thickBot="1" x14ac:dyDescent="0.35">
      <c r="B65" s="230"/>
      <c r="C65" s="231"/>
      <c r="D65" s="257"/>
      <c r="E65" s="237"/>
      <c r="F65" s="236"/>
      <c r="G65" s="221"/>
      <c r="H65" s="208"/>
      <c r="I65" s="222"/>
      <c r="J65" s="213"/>
      <c r="K65"/>
      <c r="L65"/>
      <c r="M65"/>
      <c r="N65"/>
      <c r="O65"/>
      <c r="P65"/>
      <c r="Q65"/>
      <c r="R65"/>
      <c r="S65"/>
      <c r="T65"/>
      <c r="U65"/>
      <c r="V65"/>
      <c r="W65"/>
      <c r="X65"/>
      <c r="Y65"/>
      <c r="Z65"/>
      <c r="AA65"/>
      <c r="AB65"/>
      <c r="AC65"/>
      <c r="AD65"/>
      <c r="AE65"/>
      <c r="AF65"/>
      <c r="AG65"/>
      <c r="AH65"/>
      <c r="AI65"/>
      <c r="AJ65"/>
      <c r="AK65"/>
      <c r="AL65"/>
      <c r="AM65"/>
      <c r="AN65" s="224"/>
      <c r="AO65" s="224"/>
      <c r="AP65" s="224"/>
      <c r="AQ65" s="224"/>
    </row>
    <row r="66" spans="2:43" s="234" customFormat="1" ht="33.75" customHeight="1" thickBot="1" x14ac:dyDescent="0.35">
      <c r="B66" s="230"/>
      <c r="C66" s="231"/>
      <c r="D66" s="256" t="s">
        <v>849</v>
      </c>
      <c r="E66" s="232" t="s">
        <v>619</v>
      </c>
      <c r="F66" s="233" t="str">
        <f>IF(G66="Yes", "Please Submit AU-C 265 Letter","")</f>
        <v/>
      </c>
      <c r="G66" s="220"/>
      <c r="H66" s="302" t="str">
        <f>IF(G66="","This Question must be answered before uploading, the report will not be processed if left blank","")</f>
        <v>This Question must be answered before uploading, the report will not be processed if left blank</v>
      </c>
      <c r="I66" s="280"/>
      <c r="J66" s="213"/>
      <c r="K66"/>
      <c r="L66"/>
      <c r="M66"/>
      <c r="N66"/>
      <c r="O66"/>
      <c r="P66"/>
      <c r="Q66"/>
      <c r="R66"/>
      <c r="S66"/>
      <c r="T66"/>
      <c r="U66"/>
      <c r="V66"/>
      <c r="W66"/>
      <c r="X66"/>
      <c r="Y66"/>
      <c r="Z66"/>
      <c r="AA66"/>
      <c r="AB66"/>
      <c r="AC66"/>
      <c r="AD66"/>
      <c r="AE66"/>
      <c r="AF66"/>
      <c r="AG66"/>
      <c r="AH66"/>
      <c r="AI66"/>
      <c r="AJ66"/>
      <c r="AK66"/>
      <c r="AL66"/>
      <c r="AM66"/>
      <c r="AN66" s="224"/>
      <c r="AO66" s="224"/>
      <c r="AP66" s="224"/>
      <c r="AQ66" s="224"/>
    </row>
    <row r="67" spans="2:43" ht="6.75" hidden="1" customHeight="1" thickBot="1" x14ac:dyDescent="0.35">
      <c r="B67" s="211"/>
      <c r="C67" s="212"/>
      <c r="D67" s="257"/>
      <c r="E67" s="238"/>
      <c r="F67" s="238"/>
      <c r="G67" s="215"/>
      <c r="H67" s="208"/>
      <c r="I67" s="208"/>
      <c r="J67" s="213"/>
    </row>
    <row r="68" spans="2:43" s="234" customFormat="1" ht="35.25" hidden="1" customHeight="1" thickBot="1" x14ac:dyDescent="0.35">
      <c r="B68" s="230"/>
      <c r="C68" s="215"/>
      <c r="D68" s="387">
        <v>977</v>
      </c>
      <c r="E68" s="1331" t="s">
        <v>1020</v>
      </c>
      <c r="F68" s="1332"/>
      <c r="G68" s="385"/>
      <c r="H68" s="302" t="str">
        <f>IF(G68="","This Question must be answered before uploading, the report will not be processed if left blank","")</f>
        <v>This Question must be answered before uploading, the report will not be processed if left blank</v>
      </c>
      <c r="I68" s="222"/>
      <c r="J68" s="213"/>
      <c r="K68"/>
      <c r="L68"/>
      <c r="M68"/>
      <c r="N68"/>
      <c r="O68"/>
      <c r="P68"/>
      <c r="Q68"/>
      <c r="R68"/>
      <c r="S68"/>
      <c r="T68"/>
      <c r="U68"/>
      <c r="V68"/>
      <c r="W68"/>
      <c r="X68"/>
      <c r="Y68"/>
      <c r="Z68"/>
      <c r="AA68"/>
      <c r="AB68"/>
      <c r="AC68"/>
      <c r="AD68"/>
      <c r="AE68"/>
      <c r="AF68"/>
      <c r="AG68"/>
      <c r="AH68"/>
      <c r="AI68"/>
      <c r="AJ68"/>
      <c r="AK68"/>
      <c r="AL68"/>
      <c r="AM68"/>
      <c r="AN68" s="224"/>
      <c r="AO68" s="224"/>
      <c r="AP68" s="224"/>
      <c r="AQ68" s="224"/>
    </row>
    <row r="69" spans="2:43" s="234" customFormat="1" ht="8.25" hidden="1" customHeight="1" thickBot="1" x14ac:dyDescent="0.35">
      <c r="B69" s="230"/>
      <c r="C69" s="215"/>
      <c r="D69" s="256"/>
      <c r="E69" s="264"/>
      <c r="F69" s="265"/>
      <c r="G69" s="221"/>
      <c r="H69" s="208"/>
      <c r="I69" s="222"/>
      <c r="J69" s="213"/>
      <c r="K69"/>
      <c r="L69"/>
      <c r="M69"/>
      <c r="N69"/>
      <c r="O69"/>
      <c r="P69"/>
      <c r="Q69"/>
      <c r="R69"/>
      <c r="S69"/>
      <c r="T69"/>
      <c r="U69"/>
      <c r="V69"/>
      <c r="W69"/>
      <c r="X69"/>
      <c r="Y69"/>
      <c r="Z69"/>
      <c r="AA69"/>
      <c r="AB69"/>
      <c r="AC69"/>
      <c r="AD69"/>
      <c r="AE69"/>
      <c r="AF69"/>
      <c r="AG69"/>
      <c r="AH69"/>
      <c r="AI69"/>
      <c r="AJ69"/>
      <c r="AK69"/>
      <c r="AL69"/>
      <c r="AM69"/>
      <c r="AN69" s="224"/>
      <c r="AO69" s="224"/>
      <c r="AP69" s="224"/>
      <c r="AQ69" s="224"/>
    </row>
    <row r="70" spans="2:43" s="234" customFormat="1" ht="30" hidden="1" customHeight="1" thickBot="1" x14ac:dyDescent="0.35">
      <c r="B70" s="230"/>
      <c r="C70" s="215"/>
      <c r="D70" s="387">
        <v>978</v>
      </c>
      <c r="E70" s="1331" t="s">
        <v>785</v>
      </c>
      <c r="F70" s="1332"/>
      <c r="G70" s="385"/>
      <c r="H70" s="302" t="str">
        <f>IF(G70="","This Question must be answered before uploading, the report will not be processed if left blank","")</f>
        <v>This Question must be answered before uploading, the report will not be processed if left blank</v>
      </c>
      <c r="I70" s="222"/>
      <c r="J70" s="213"/>
      <c r="K70"/>
      <c r="L70"/>
      <c r="M70"/>
      <c r="N70"/>
      <c r="O70"/>
      <c r="P70"/>
      <c r="Q70"/>
      <c r="R70"/>
      <c r="S70"/>
      <c r="T70"/>
      <c r="U70"/>
      <c r="V70"/>
      <c r="W70"/>
      <c r="X70"/>
      <c r="Y70"/>
      <c r="Z70"/>
      <c r="AA70"/>
      <c r="AB70"/>
      <c r="AC70"/>
      <c r="AD70"/>
      <c r="AE70"/>
      <c r="AF70"/>
      <c r="AG70"/>
      <c r="AH70"/>
      <c r="AI70"/>
      <c r="AJ70"/>
      <c r="AK70"/>
      <c r="AL70"/>
      <c r="AM70"/>
      <c r="AN70" s="224"/>
      <c r="AO70" s="224"/>
      <c r="AP70" s="224"/>
      <c r="AQ70" s="224"/>
    </row>
    <row r="71" spans="2:43" s="234" customFormat="1" ht="8.25" hidden="1" customHeight="1" thickBot="1" x14ac:dyDescent="0.35">
      <c r="B71" s="230"/>
      <c r="C71" s="215"/>
      <c r="D71" s="387"/>
      <c r="E71" s="264"/>
      <c r="F71" s="265"/>
      <c r="G71" s="221"/>
      <c r="H71" s="208"/>
      <c r="I71" s="222"/>
      <c r="J71" s="213"/>
      <c r="K71"/>
      <c r="L71"/>
      <c r="M71"/>
      <c r="N71"/>
      <c r="O71"/>
      <c r="P71"/>
      <c r="Q71"/>
      <c r="R71"/>
      <c r="S71"/>
      <c r="T71"/>
      <c r="U71"/>
      <c r="V71"/>
      <c r="W71"/>
      <c r="X71"/>
      <c r="Y71"/>
      <c r="Z71"/>
      <c r="AA71"/>
      <c r="AB71"/>
      <c r="AC71"/>
      <c r="AD71"/>
      <c r="AE71"/>
      <c r="AF71"/>
      <c r="AG71"/>
      <c r="AH71"/>
      <c r="AI71"/>
      <c r="AJ71"/>
      <c r="AK71"/>
      <c r="AL71"/>
      <c r="AM71"/>
      <c r="AN71" s="224"/>
      <c r="AO71" s="224"/>
      <c r="AP71" s="224"/>
      <c r="AQ71" s="224"/>
    </row>
    <row r="72" spans="2:43" s="234" customFormat="1" ht="36.75" hidden="1" customHeight="1" thickBot="1" x14ac:dyDescent="0.35">
      <c r="B72" s="230"/>
      <c r="C72" s="215"/>
      <c r="D72" s="387">
        <v>979</v>
      </c>
      <c r="E72" s="1331" t="s">
        <v>1395</v>
      </c>
      <c r="F72" s="1332"/>
      <c r="G72" s="385"/>
      <c r="H72" s="302" t="str">
        <f>IF(G72="","This Question must be answered before uploading, the report will not be processed if left blank","")</f>
        <v>This Question must be answered before uploading, the report will not be processed if left blank</v>
      </c>
      <c r="I72" s="222"/>
      <c r="J72" s="213"/>
      <c r="K72"/>
      <c r="L72"/>
      <c r="M72"/>
      <c r="N72"/>
      <c r="O72"/>
      <c r="P72"/>
      <c r="Q72"/>
      <c r="R72"/>
      <c r="S72"/>
      <c r="T72"/>
      <c r="U72"/>
      <c r="V72"/>
      <c r="W72"/>
      <c r="X72"/>
      <c r="Y72"/>
      <c r="Z72"/>
      <c r="AA72"/>
      <c r="AB72"/>
      <c r="AC72"/>
      <c r="AD72"/>
      <c r="AE72"/>
      <c r="AF72"/>
      <c r="AG72"/>
      <c r="AH72"/>
      <c r="AI72"/>
      <c r="AJ72"/>
      <c r="AK72"/>
      <c r="AL72"/>
      <c r="AM72"/>
      <c r="AN72" s="224"/>
      <c r="AO72" s="224"/>
      <c r="AP72" s="224"/>
      <c r="AQ72" s="224"/>
    </row>
    <row r="73" spans="2:43" s="266" customFormat="1" ht="6.75" hidden="1" customHeight="1" thickBot="1" x14ac:dyDescent="0.35">
      <c r="B73" s="230"/>
      <c r="C73" s="215"/>
      <c r="D73" s="256"/>
      <c r="E73" s="264"/>
      <c r="F73" s="265"/>
      <c r="G73" s="221"/>
      <c r="H73" s="208"/>
      <c r="I73" s="222"/>
      <c r="J73" s="213"/>
      <c r="K73"/>
      <c r="L73"/>
      <c r="M73"/>
      <c r="N73"/>
      <c r="O73"/>
      <c r="P73"/>
      <c r="Q73"/>
      <c r="R73"/>
      <c r="S73"/>
      <c r="T73"/>
      <c r="U73"/>
      <c r="V73"/>
      <c r="W73"/>
      <c r="X73"/>
      <c r="Y73"/>
      <c r="Z73"/>
      <c r="AA73"/>
      <c r="AB73"/>
      <c r="AC73"/>
      <c r="AD73"/>
      <c r="AE73"/>
      <c r="AF73"/>
      <c r="AG73"/>
      <c r="AH73"/>
      <c r="AI73"/>
      <c r="AJ73"/>
      <c r="AK73"/>
      <c r="AL73"/>
      <c r="AM73"/>
      <c r="AN73" s="267"/>
      <c r="AO73" s="267"/>
      <c r="AP73" s="267"/>
      <c r="AQ73" s="267"/>
    </row>
    <row r="74" spans="2:43" s="234" customFormat="1" ht="39" hidden="1" customHeight="1" thickBot="1" x14ac:dyDescent="0.35">
      <c r="B74" s="230"/>
      <c r="C74" s="215"/>
      <c r="D74" s="387">
        <v>980</v>
      </c>
      <c r="E74" s="1333" t="s">
        <v>784</v>
      </c>
      <c r="F74" s="1333"/>
      <c r="G74" s="386"/>
      <c r="H74" s="302" t="str">
        <f>IF(G74="","This Question must be answered before uploading, the report will not be processed if left blank","")</f>
        <v>This Question must be answered before uploading, the report will not be processed if left blank</v>
      </c>
      <c r="I74" s="222"/>
      <c r="J74" s="213"/>
      <c r="K74"/>
      <c r="L74"/>
      <c r="M74"/>
      <c r="N74"/>
      <c r="O74"/>
      <c r="P74"/>
      <c r="Q74"/>
      <c r="R74"/>
      <c r="S74"/>
      <c r="T74"/>
      <c r="U74"/>
      <c r="V74"/>
      <c r="W74"/>
      <c r="X74"/>
      <c r="Y74"/>
      <c r="Z74"/>
      <c r="AA74"/>
      <c r="AB74"/>
      <c r="AC74"/>
      <c r="AD74"/>
      <c r="AE74"/>
      <c r="AF74"/>
      <c r="AG74"/>
      <c r="AH74"/>
      <c r="AI74"/>
      <c r="AJ74"/>
      <c r="AK74"/>
      <c r="AL74"/>
      <c r="AM74"/>
      <c r="AN74" s="224"/>
      <c r="AO74" s="224"/>
      <c r="AP74" s="224"/>
      <c r="AQ74" s="224"/>
    </row>
    <row r="75" spans="2:43" ht="7.5" hidden="1" customHeight="1" thickBot="1" x14ac:dyDescent="0.35">
      <c r="B75" s="211"/>
      <c r="C75" s="212"/>
      <c r="D75" s="256"/>
      <c r="E75" s="1151"/>
      <c r="F75" s="1151"/>
      <c r="G75" s="221"/>
      <c r="H75" s="212"/>
      <c r="I75" s="212"/>
      <c r="J75" s="213"/>
    </row>
    <row r="76" spans="2:43" ht="32.25" hidden="1" customHeight="1" thickBot="1" x14ac:dyDescent="0.35">
      <c r="B76" s="211"/>
      <c r="C76" s="228"/>
      <c r="D76" s="256">
        <v>975</v>
      </c>
      <c r="E76" s="1296" t="s">
        <v>787</v>
      </c>
      <c r="F76" s="1324"/>
      <c r="G76" s="220"/>
      <c r="H76" s="301" t="str">
        <f>IF(G76="","This Question must be answered before uploading, the report will not be processed if left blank","")</f>
        <v>This Question must be answered before uploading, the report will not be processed if left blank</v>
      </c>
      <c r="I76" s="226"/>
      <c r="J76" s="227"/>
    </row>
    <row r="77" spans="2:43" s="266" customFormat="1" ht="6.75" hidden="1" customHeight="1" thickBot="1" x14ac:dyDescent="0.35">
      <c r="B77" s="230"/>
      <c r="C77" s="215"/>
      <c r="D77" s="256"/>
      <c r="E77" s="1135"/>
      <c r="F77" s="265"/>
      <c r="G77" s="221"/>
      <c r="H77" s="1136"/>
      <c r="I77" s="222"/>
      <c r="J77" s="213"/>
      <c r="K77"/>
      <c r="L77"/>
      <c r="M77"/>
      <c r="N77"/>
      <c r="O77"/>
      <c r="P77"/>
      <c r="Q77"/>
      <c r="R77"/>
      <c r="S77"/>
      <c r="T77"/>
      <c r="U77"/>
      <c r="V77"/>
      <c r="W77"/>
      <c r="X77"/>
      <c r="Y77"/>
      <c r="Z77"/>
      <c r="AA77"/>
      <c r="AB77"/>
      <c r="AC77"/>
      <c r="AD77"/>
      <c r="AE77"/>
      <c r="AF77"/>
      <c r="AG77"/>
      <c r="AH77"/>
      <c r="AI77"/>
      <c r="AJ77"/>
      <c r="AK77"/>
      <c r="AL77"/>
      <c r="AM77"/>
      <c r="AN77" s="267"/>
      <c r="AO77" s="267"/>
      <c r="AP77" s="267"/>
      <c r="AQ77" s="267"/>
    </row>
    <row r="78" spans="2:43" ht="61.5" hidden="1" customHeight="1" thickBot="1" x14ac:dyDescent="0.35">
      <c r="B78" s="211"/>
      <c r="C78" s="228"/>
      <c r="D78" s="256">
        <v>976</v>
      </c>
      <c r="E78" s="1296" t="s">
        <v>992</v>
      </c>
      <c r="F78" s="1324"/>
      <c r="G78" s="220"/>
      <c r="H78" s="301" t="str">
        <f>IF(G78="","This Question must be answered before uploading, the report will not be processed if left blank","")</f>
        <v>This Question must be answered before uploading, the report will not be processed if left blank</v>
      </c>
      <c r="I78" s="226"/>
      <c r="J78" s="227"/>
    </row>
    <row r="79" spans="2:43" ht="39" customHeight="1" thickBot="1" x14ac:dyDescent="0.35">
      <c r="B79" s="199"/>
      <c r="C79" s="200"/>
      <c r="D79" s="201"/>
      <c r="E79" s="202"/>
      <c r="F79" s="203"/>
      <c r="G79" s="276"/>
      <c r="H79" s="203"/>
      <c r="I79" s="203"/>
      <c r="J79" s="204"/>
    </row>
    <row r="80" spans="2:43" ht="10.5" customHeight="1" thickBot="1" x14ac:dyDescent="0.35">
      <c r="B80" s="211"/>
      <c r="C80" s="212"/>
      <c r="D80" s="257"/>
      <c r="E80" s="1273"/>
      <c r="F80" s="1273"/>
      <c r="G80" s="215"/>
      <c r="H80" s="212"/>
      <c r="I80" s="212"/>
      <c r="J80" s="213"/>
    </row>
    <row r="81" spans="1:10" ht="34.799999999999997" customHeight="1" thickBot="1" x14ac:dyDescent="0.35">
      <c r="B81" s="211"/>
      <c r="C81" s="212"/>
      <c r="D81" s="257" t="s">
        <v>850</v>
      </c>
      <c r="E81" s="1275" t="str">
        <f>IF(G81="","This Question must be answered before uploading, the report will not be processed if left blank","")</f>
        <v>This Question must be answered before uploading, the report will not be processed if left blank</v>
      </c>
      <c r="F81" s="1272" t="s">
        <v>620</v>
      </c>
      <c r="G81" s="1293"/>
      <c r="H81" s="1294"/>
      <c r="I81" s="1295"/>
      <c r="J81" s="213"/>
    </row>
    <row r="82" spans="1:10" ht="6.75" customHeight="1" thickBot="1" x14ac:dyDescent="0.35">
      <c r="B82" s="211"/>
      <c r="C82" s="212"/>
      <c r="D82" s="257"/>
      <c r="E82" s="238"/>
      <c r="F82" s="238"/>
      <c r="G82" s="215"/>
      <c r="H82" s="215"/>
      <c r="I82" s="215"/>
      <c r="J82" s="213"/>
    </row>
    <row r="83" spans="1:10" ht="31.2" customHeight="1" thickBot="1" x14ac:dyDescent="0.35">
      <c r="B83" s="211"/>
      <c r="C83" s="212"/>
      <c r="D83" s="257" t="s">
        <v>851</v>
      </c>
      <c r="E83" s="1275" t="str">
        <f>IF(G83="","This Question must be answered before uploading, the report will not be processed if left blank","")</f>
        <v>This Question must be answered before uploading, the report will not be processed if left blank</v>
      </c>
      <c r="F83" s="1272" t="s">
        <v>621</v>
      </c>
      <c r="G83" s="1293"/>
      <c r="H83" s="1294"/>
      <c r="I83" s="1295"/>
      <c r="J83" s="213"/>
    </row>
    <row r="84" spans="1:10" ht="6.75" customHeight="1" thickBot="1" x14ac:dyDescent="0.35">
      <c r="B84" s="211"/>
      <c r="C84" s="212"/>
      <c r="D84" s="257"/>
      <c r="E84" s="238"/>
      <c r="F84" s="238"/>
      <c r="G84" s="239"/>
      <c r="H84" s="215"/>
      <c r="I84" s="215"/>
      <c r="J84" s="213"/>
    </row>
    <row r="85" spans="1:10" ht="40.799999999999997" customHeight="1" thickBot="1" x14ac:dyDescent="0.35">
      <c r="B85" s="211"/>
      <c r="C85" s="212"/>
      <c r="D85" s="257" t="s">
        <v>1527</v>
      </c>
      <c r="E85" s="1275" t="str">
        <f>IF(G85="","This Question must be answered before uploading, the report will not be processed if left blank","")</f>
        <v>This Question must be answered before uploading, the report will not be processed if left blank</v>
      </c>
      <c r="F85" s="1272" t="s">
        <v>1043</v>
      </c>
      <c r="G85" s="216"/>
      <c r="H85" s="215"/>
      <c r="I85" s="215"/>
      <c r="J85" s="213"/>
    </row>
    <row r="86" spans="1:10" ht="6.75" customHeight="1" x14ac:dyDescent="0.3">
      <c r="B86" s="211"/>
      <c r="C86" s="212"/>
      <c r="D86" s="257"/>
      <c r="E86" s="238"/>
      <c r="F86" s="238"/>
      <c r="G86" s="215"/>
      <c r="H86" s="215"/>
      <c r="I86" s="215"/>
      <c r="J86" s="213"/>
    </row>
    <row r="87" spans="1:10" ht="30" hidden="1" customHeight="1" x14ac:dyDescent="0.3">
      <c r="B87" s="211"/>
      <c r="C87" s="212"/>
      <c r="D87" s="257"/>
      <c r="E87" s="1334"/>
      <c r="F87" s="1334"/>
      <c r="G87" s="240" t="str">
        <f>CONCATENATE(G10," 2021 TD.xlsx")</f>
        <v xml:space="preserve"> 2021 TD.xlsx</v>
      </c>
      <c r="H87" s="240"/>
      <c r="I87" s="241"/>
      <c r="J87" s="213"/>
    </row>
    <row r="88" spans="1:10" ht="15.6" customHeight="1" x14ac:dyDescent="0.3">
      <c r="B88" s="211"/>
      <c r="C88" s="212"/>
      <c r="D88" s="1274"/>
      <c r="E88" s="1274"/>
      <c r="F88" s="1274"/>
      <c r="G88" s="1335" t="str">
        <f>IF(G11="","","Please review the Transmittal Instructions and your answer to Question 1")</f>
        <v/>
      </c>
      <c r="H88" s="1335"/>
      <c r="I88" s="1335"/>
      <c r="J88" s="213"/>
    </row>
    <row r="89" spans="1:10" ht="17.399999999999999" customHeight="1" x14ac:dyDescent="0.3">
      <c r="B89" s="211"/>
      <c r="C89" s="212"/>
      <c r="D89" s="1274"/>
      <c r="E89" s="1274"/>
      <c r="F89" s="1274"/>
      <c r="G89" s="1335" t="str">
        <f>IF(G88="Currently the file name is incorrect, please correct before uploading",CONCATENATE("File current name is ",O89),"")</f>
        <v/>
      </c>
      <c r="H89" s="1335"/>
      <c r="I89" s="242"/>
      <c r="J89" s="243"/>
    </row>
    <row r="90" spans="1:10" ht="6.75" customHeight="1" thickBot="1" x14ac:dyDescent="0.35">
      <c r="B90" s="244"/>
      <c r="C90" s="245"/>
      <c r="D90" s="260"/>
      <c r="E90" s="246"/>
      <c r="F90" s="246"/>
      <c r="G90" s="247"/>
      <c r="H90" s="247"/>
      <c r="I90" s="247"/>
      <c r="J90" s="248"/>
    </row>
    <row r="93" spans="1:10" x14ac:dyDescent="0.3">
      <c r="B93" s="194" t="s">
        <v>622</v>
      </c>
      <c r="D93" s="198"/>
      <c r="E93" s="250">
        <v>1.01</v>
      </c>
      <c r="F93" s="251"/>
    </row>
    <row r="94" spans="1:10" x14ac:dyDescent="0.3">
      <c r="A94" s="198"/>
      <c r="B94" s="194" t="s">
        <v>623</v>
      </c>
      <c r="D94" s="198"/>
      <c r="E94" s="252">
        <v>44427</v>
      </c>
      <c r="F94" s="253"/>
    </row>
    <row r="95" spans="1:10" x14ac:dyDescent="0.3">
      <c r="E95" s="251"/>
      <c r="F95" s="251"/>
    </row>
    <row r="96" spans="1:10" x14ac:dyDescent="0.3">
      <c r="E96" s="261">
        <f>SUBTOTAL(109,D41:D85)</f>
        <v>5629</v>
      </c>
    </row>
  </sheetData>
  <sheetProtection algorithmName="SHA-512" hashValue="iz9dNxnNrSYEZdf4tHlm5tCyx56ydu2qzYDpmK4VWUybyQLGqXtwH6snPNQ4eLlMdmvsVWO5uUXU6XYgB/vPSg==" saltValue="PFMUXBsPzfzuox96cBdMGQ==" spinCount="100000" sheet="1" selectLockedCells="1"/>
  <mergeCells count="54">
    <mergeCell ref="G83:I83"/>
    <mergeCell ref="E87:F87"/>
    <mergeCell ref="G88:I88"/>
    <mergeCell ref="G89:H89"/>
    <mergeCell ref="G81:I81"/>
    <mergeCell ref="E60:F60"/>
    <mergeCell ref="E68:F68"/>
    <mergeCell ref="E70:F70"/>
    <mergeCell ref="E72:F72"/>
    <mergeCell ref="E74:F74"/>
    <mergeCell ref="E78:F78"/>
    <mergeCell ref="E55:F55"/>
    <mergeCell ref="G34:I34"/>
    <mergeCell ref="E36:F36"/>
    <mergeCell ref="G36:I36"/>
    <mergeCell ref="E37:H37"/>
    <mergeCell ref="B38:J38"/>
    <mergeCell ref="E41:F41"/>
    <mergeCell ref="E43:F43"/>
    <mergeCell ref="E45:F45"/>
    <mergeCell ref="E47:F47"/>
    <mergeCell ref="E49:F49"/>
    <mergeCell ref="E51:F51"/>
    <mergeCell ref="E53:F53"/>
    <mergeCell ref="E76:F76"/>
    <mergeCell ref="E57:F57"/>
    <mergeCell ref="B7:J7"/>
    <mergeCell ref="E10:F10"/>
    <mergeCell ref="G10:I10"/>
    <mergeCell ref="B5:J5"/>
    <mergeCell ref="B1:J1"/>
    <mergeCell ref="B2:J2"/>
    <mergeCell ref="B3:J3"/>
    <mergeCell ref="G32:I32"/>
    <mergeCell ref="E22:F22"/>
    <mergeCell ref="G22:I22"/>
    <mergeCell ref="E24:F24"/>
    <mergeCell ref="G24:I24"/>
    <mergeCell ref="E26:F26"/>
    <mergeCell ref="G26:H26"/>
    <mergeCell ref="E27:H27"/>
    <mergeCell ref="E28:F28"/>
    <mergeCell ref="H28:I28"/>
    <mergeCell ref="E30:F30"/>
    <mergeCell ref="H30:I30"/>
    <mergeCell ref="E32:F32"/>
    <mergeCell ref="E20:F20"/>
    <mergeCell ref="G20:I20"/>
    <mergeCell ref="E12:F12"/>
    <mergeCell ref="E14:F14"/>
    <mergeCell ref="E16:F16"/>
    <mergeCell ref="G16:I16"/>
    <mergeCell ref="E18:F18"/>
    <mergeCell ref="G18:I18"/>
  </mergeCells>
  <conditionalFormatting sqref="G10 G41 G43 G45 G47 G49 G57 G66 G60 G51 G76">
    <cfRule type="expression" dxfId="108" priority="43">
      <formula>$T10</formula>
    </cfRule>
  </conditionalFormatting>
  <conditionalFormatting sqref="G10">
    <cfRule type="containsText" priority="42" operator="containsText" text="The, City,Village,of">
      <formula>NOT(ISERROR(SEARCH("The, City,Village,of",G10)))</formula>
    </cfRule>
  </conditionalFormatting>
  <conditionalFormatting sqref="G26">
    <cfRule type="expression" dxfId="107" priority="41">
      <formula>$T26</formula>
    </cfRule>
  </conditionalFormatting>
  <conditionalFormatting sqref="G41 G43 G45 G47 G49 G60 G62 G64 G66 G30 G32 G76 G51:G57">
    <cfRule type="expression" dxfId="106" priority="40">
      <formula>$G$26="Housing Authority"</formula>
    </cfRule>
  </conditionalFormatting>
  <conditionalFormatting sqref="G14">
    <cfRule type="expression" dxfId="105" priority="39">
      <formula>$T14</formula>
    </cfRule>
  </conditionalFormatting>
  <conditionalFormatting sqref="G12">
    <cfRule type="expression" dxfId="104" priority="38">
      <formula>$T12</formula>
    </cfRule>
  </conditionalFormatting>
  <conditionalFormatting sqref="G85">
    <cfRule type="expression" dxfId="103" priority="37">
      <formula>$T85</formula>
    </cfRule>
  </conditionalFormatting>
  <conditionalFormatting sqref="G81">
    <cfRule type="expression" dxfId="102" priority="36">
      <formula>$T81</formula>
    </cfRule>
  </conditionalFormatting>
  <conditionalFormatting sqref="G81">
    <cfRule type="containsText" priority="35" operator="containsText" text="The, City,Village,of">
      <formula>NOT(ISERROR(SEARCH("The, City,Village,of",G81)))</formula>
    </cfRule>
  </conditionalFormatting>
  <conditionalFormatting sqref="G83">
    <cfRule type="expression" dxfId="101" priority="34">
      <formula>$T83</formula>
    </cfRule>
  </conditionalFormatting>
  <conditionalFormatting sqref="G83">
    <cfRule type="containsText" priority="33" operator="containsText" text="The, City,Village,of">
      <formula>NOT(ISERROR(SEARCH("The, City,Village,of",G83)))</formula>
    </cfRule>
  </conditionalFormatting>
  <conditionalFormatting sqref="G18">
    <cfRule type="expression" dxfId="100" priority="32">
      <formula>$T18</formula>
    </cfRule>
  </conditionalFormatting>
  <conditionalFormatting sqref="G18">
    <cfRule type="containsText" priority="31" operator="containsText" text="The, City,Village,of">
      <formula>NOT(ISERROR(SEARCH("The, City,Village,of",G18)))</formula>
    </cfRule>
  </conditionalFormatting>
  <conditionalFormatting sqref="G60">
    <cfRule type="expression" dxfId="99" priority="25">
      <formula>$G$26="Housing Authority"</formula>
    </cfRule>
  </conditionalFormatting>
  <conditionalFormatting sqref="G64">
    <cfRule type="expression" dxfId="98" priority="30">
      <formula>$T64</formula>
    </cfRule>
  </conditionalFormatting>
  <conditionalFormatting sqref="G64">
    <cfRule type="expression" dxfId="97" priority="29">
      <formula>$G$26="Housing Authority"</formula>
    </cfRule>
  </conditionalFormatting>
  <conditionalFormatting sqref="G66">
    <cfRule type="expression" dxfId="96" priority="28">
      <formula>$G$26="Housing Authority"</formula>
    </cfRule>
  </conditionalFormatting>
  <conditionalFormatting sqref="G62">
    <cfRule type="expression" dxfId="95" priority="27">
      <formula>$T62</formula>
    </cfRule>
  </conditionalFormatting>
  <conditionalFormatting sqref="G62">
    <cfRule type="expression" dxfId="94" priority="26">
      <formula>$G$26="Housing Authority"</formula>
    </cfRule>
  </conditionalFormatting>
  <conditionalFormatting sqref="G31">
    <cfRule type="expression" dxfId="93" priority="24">
      <formula>$T31</formula>
    </cfRule>
  </conditionalFormatting>
  <conditionalFormatting sqref="G28">
    <cfRule type="expression" dxfId="92" priority="23">
      <formula>$T28</formula>
    </cfRule>
  </conditionalFormatting>
  <conditionalFormatting sqref="G28">
    <cfRule type="expression" dxfId="91" priority="22">
      <formula>$G$26="Housing Authority"</formula>
    </cfRule>
  </conditionalFormatting>
  <conditionalFormatting sqref="G30">
    <cfRule type="expression" dxfId="90" priority="21">
      <formula>$T30</formula>
    </cfRule>
  </conditionalFormatting>
  <conditionalFormatting sqref="G16">
    <cfRule type="expression" dxfId="89" priority="19">
      <formula>$T16</formula>
    </cfRule>
  </conditionalFormatting>
  <conditionalFormatting sqref="G16">
    <cfRule type="containsText" priority="18" operator="containsText" text="The, City,Village,of">
      <formula>NOT(ISERROR(SEARCH("The, City,Village,of",G16)))</formula>
    </cfRule>
  </conditionalFormatting>
  <conditionalFormatting sqref="G20">
    <cfRule type="expression" dxfId="88" priority="17">
      <formula>$T20</formula>
    </cfRule>
  </conditionalFormatting>
  <conditionalFormatting sqref="G20">
    <cfRule type="containsText" priority="16" operator="containsText" text="The, City,Village,of">
      <formula>NOT(ISERROR(SEARCH("The, City,Village,of",G20)))</formula>
    </cfRule>
  </conditionalFormatting>
  <conditionalFormatting sqref="G22">
    <cfRule type="expression" dxfId="87" priority="15">
      <formula>$T22</formula>
    </cfRule>
  </conditionalFormatting>
  <conditionalFormatting sqref="G22">
    <cfRule type="containsText" priority="14" operator="containsText" text="The, City,Village,of">
      <formula>NOT(ISERROR(SEARCH("The, City,Village,of",G22)))</formula>
    </cfRule>
  </conditionalFormatting>
  <conditionalFormatting sqref="G28">
    <cfRule type="expression" dxfId="86" priority="12">
      <formula>$G$26="Housing Authority"</formula>
    </cfRule>
  </conditionalFormatting>
  <conditionalFormatting sqref="G32">
    <cfRule type="expression" dxfId="85" priority="13">
      <formula>$P$32</formula>
    </cfRule>
    <cfRule type="expression" dxfId="84" priority="20">
      <formula>$T32</formula>
    </cfRule>
  </conditionalFormatting>
  <conditionalFormatting sqref="G36">
    <cfRule type="expression" dxfId="83" priority="9">
      <formula>$G$26="Housing Authority"</formula>
    </cfRule>
  </conditionalFormatting>
  <conditionalFormatting sqref="G36">
    <cfRule type="expression" dxfId="82" priority="10">
      <formula>$P$32</formula>
    </cfRule>
    <cfRule type="expression" dxfId="81" priority="11">
      <formula>$T36</formula>
    </cfRule>
  </conditionalFormatting>
  <conditionalFormatting sqref="G34">
    <cfRule type="expression" dxfId="80" priority="6">
      <formula>$G$26="Housing Authority"</formula>
    </cfRule>
  </conditionalFormatting>
  <conditionalFormatting sqref="G34">
    <cfRule type="expression" dxfId="79" priority="7">
      <formula>$P$32</formula>
    </cfRule>
    <cfRule type="expression" dxfId="78" priority="8">
      <formula>$T34</formula>
    </cfRule>
  </conditionalFormatting>
  <conditionalFormatting sqref="G24">
    <cfRule type="expression" dxfId="77" priority="5">
      <formula>$T24</formula>
    </cfRule>
  </conditionalFormatting>
  <conditionalFormatting sqref="G24">
    <cfRule type="containsText" priority="4" operator="containsText" text="The, City,Village,of">
      <formula>NOT(ISERROR(SEARCH("The, City,Village,of",G24)))</formula>
    </cfRule>
  </conditionalFormatting>
  <conditionalFormatting sqref="G53">
    <cfRule type="expression" dxfId="76" priority="3">
      <formula>$T53</formula>
    </cfRule>
  </conditionalFormatting>
  <conditionalFormatting sqref="G78">
    <cfRule type="expression" dxfId="75" priority="2">
      <formula>$T78</formula>
    </cfRule>
  </conditionalFormatting>
  <conditionalFormatting sqref="G78">
    <cfRule type="expression" dxfId="74" priority="1">
      <formula>$G$26="Housing Authority"</formula>
    </cfRule>
  </conditionalFormatting>
  <dataValidations xWindow="873" yWindow="799" count="27">
    <dataValidation type="list" allowBlank="1" showInputMessage="1" showErrorMessage="1" prompt="Chose Unit Type" sqref="G26:H26" xr:uid="{0F10F559-8F23-44EB-987B-C924C826D337}">
      <formula1>"Municipality, County, Charter School, Tourism Development Authority, Housing Authority, Other"</formula1>
    </dataValidation>
    <dataValidation type="date" operator="greaterThan" allowBlank="1" showInputMessage="1" showErrorMessage="1" sqref="G63 G71 G89:G90 G65 G79:G80 G85:G86 G67 G69 G73 G77" xr:uid="{4BF7E2BE-68E4-4EDC-9705-A6DBFAEB7B90}">
      <formula1>44012</formula1>
    </dataValidation>
    <dataValidation type="list" allowBlank="1" showInputMessage="1" showErrorMessage="1" prompt="Please select Yes or No from the drop down list" sqref="G30" xr:uid="{53DB461E-98F8-470D-9081-CDE7B5E62384}">
      <formula1>"Financial Only, Yellow Book, Single Audit"</formula1>
    </dataValidation>
    <dataValidation allowBlank="1" showInputMessage="1" showErrorMessage="1" error="Cannot be blank" sqref="G24:I24 G20:I20 G22:I22" xr:uid="{4F77B4D1-7320-4937-BC6C-3C85879203C8}"/>
    <dataValidation type="list" operator="greaterThan" showInputMessage="1" showErrorMessage="1" promptTitle="Cannot be blank" prompt="This cannot be blank - please complete before uploading to the portal" sqref="G69 G80 G71 G67 G73 G77" xr:uid="{D198A47C-CDFA-4D46-B722-9DA3FB2EB984}">
      <formula1>"N/A, 1,2,3,4"</formula1>
    </dataValidation>
    <dataValidation type="list" allowBlank="1" showInputMessage="1" showErrorMessage="1" prompt="Chose Unit Type" sqref="G31:H31 H33" xr:uid="{75E505E4-60F6-4743-B472-20907ABD52A6}">
      <formula1>"Municipality, County, Tourism Development Authority, Housing Authority, Other"</formula1>
    </dataValidation>
    <dataValidation type="textLength" operator="greaterThan" showInputMessage="1" showErrorMessage="1" errorTitle="Blank Field" error="Check the name entered for length" promptTitle="Cannot be blank" prompt="This cannot be blank - please complete before uploading to the portal" sqref="G10 G18 G16" xr:uid="{7C48D2AE-CF0B-4E23-BD0B-A4168116C962}">
      <formula1>3</formula1>
    </dataValidation>
    <dataValidation type="date" showDropDown="1" showInputMessage="1" showErrorMessage="1" errorTitle="FYE date error" error="FYE must be 06/30/21 or after to use this form." prompt="For Fiscal Year ends prior to 06/30/21, please use the  2020 Transmittal Document_x000a_" sqref="G12" xr:uid="{BCAA93FC-8B8A-41A3-AB91-C0CDA25B87BA}">
      <formula1>44287</formula1>
      <formula2>44712</formula2>
    </dataValidation>
    <dataValidation type="list" allowBlank="1" showInputMessage="1" showErrorMessage="1" prompt="Please select Yes or No from the drop down list" sqref="G57" xr:uid="{740F9C53-B8A7-483C-B384-B0DCDA2D2BCB}">
      <formula1>$Y$3:$Y$5</formula1>
    </dataValidation>
    <dataValidation type="whole" operator="greaterThan" allowBlank="1" showInputMessage="1" showErrorMessage="1" prompt="Please enter a whole number.  If there are no findings please enter 0" sqref="G49 G51:G52 G54:G56" xr:uid="{1A2CB230-B6DB-4036-94B3-6FD2E784AB33}">
      <formula1>-1</formula1>
    </dataValidation>
    <dataValidation type="textLength" operator="greaterThan" allowBlank="1" showInputMessage="1" showErrorMessage="1" errorTitle="File Name Error" error="Check that you have not left the Primary Government Name blank...see Question 1" sqref="G87" xr:uid="{653B8F25-9FF3-4457-86FF-093169F7B39F}">
      <formula1>10</formula1>
    </dataValidation>
    <dataValidation type="textLength" operator="greaterThan" showInputMessage="1" showErrorMessage="1" errorTitle="Blank Field" error="Check the name entered for length" promptTitle="Cannot be blank" prompt="This cannot be blank - please complete before uploading to the portal" sqref="H11" xr:uid="{D1874534-B18B-445D-9D56-8708CFB0B431}">
      <formula1>4</formula1>
    </dataValidation>
    <dataValidation type="list" showInputMessage="1" showErrorMessage="1" errorTitle="Cannot be blank" error="This cell cannot be left blank" prompt="Please select Yes or No from the drop down list" sqref="G14" xr:uid="{FA0A92A0-CFAB-49D4-8608-8D1DB740CB36}">
      <formula1>"Yes, No"</formula1>
    </dataValidation>
    <dataValidation type="textLength" operator="greaterThan" showInputMessage="1" showErrorMessage="1" promptTitle="Cannot be blank" prompt="This cannot be blank - please complete before uploading to the portal" sqref="H89:I90 I63 H85:I87 H65:I65 G81 H69 H71 H79:I80 I68:I75 H76:I77 H73" xr:uid="{970B9B41-3DA6-49D9-8538-915E33C95C98}">
      <formula1>5</formula1>
    </dataValidation>
    <dataValidation type="list" allowBlank="1" showInputMessage="1" showErrorMessage="1" prompt="Please select Yes or No from the drop down list" sqref="G47 G60 G43 G45 G66 G62 G64 G28 G41" xr:uid="{F8DAA637-067A-4445-87D8-12A58F77F0A2}">
      <formula1>"Yes, No"</formula1>
    </dataValidation>
    <dataValidation type="date" operator="greaterThan" showInputMessage="1" showErrorMessage="1" promptTitle="MM/DD/YYYY" prompt="This cannot be blank" sqref="G74:G75 G77" xr:uid="{FA296981-A236-46B7-9FFE-5DC3167CFD46}">
      <formula1>44377</formula1>
    </dataValidation>
    <dataValidation type="date" operator="greaterThan" allowBlank="1" showInputMessage="1" showErrorMessage="1" prompt="MM/DD/YYYY" sqref="G74:G75 G77" xr:uid="{362B854A-1333-435D-A562-CD0AC3D0CBDC}">
      <formula1>44012</formula1>
    </dataValidation>
    <dataValidation type="list" operator="greaterThan" allowBlank="1" showInputMessage="1" showErrorMessage="1" sqref="G70" xr:uid="{05F2F645-3F7B-4EB6-A09F-034934497E3E}">
      <formula1>"Yes, No"</formula1>
    </dataValidation>
    <dataValidation type="list" operator="greaterThan" allowBlank="1" showInputMessage="1" showErrorMessage="1" prompt="Please select Yes or No from drop down list" sqref="G68" xr:uid="{E971EE97-C595-4AA1-9573-23EDB218A969}">
      <formula1>"yes, No"</formula1>
    </dataValidation>
    <dataValidation type="list" allowBlank="1" showInputMessage="1" showErrorMessage="1" prompt="Please select Yes, No or N/A from drop down list" sqref="G53 G78" xr:uid="{AD8CBEC4-23F6-4F06-B268-46366C73CF32}">
      <formula1>"Yes, No,N/A"</formula1>
    </dataValidation>
    <dataValidation type="list" allowBlank="1" showInputMessage="1" showErrorMessage="1" prompt="Please select Yes or No from the drop down list" sqref="G76:G77" xr:uid="{0BEC721E-0D27-4077-8790-03D91092BB64}">
      <formula1>"Yes,No"</formula1>
    </dataValidation>
    <dataValidation type="list" operator="greaterThan" allowBlank="1" showInputMessage="1" showErrorMessage="1" prompt="Please select Yes or No from drop down list" sqref="G72" xr:uid="{80B217B5-9DCE-4043-A1B7-D1BB209B176F}">
      <formula1>"Yes, No"</formula1>
    </dataValidation>
    <dataValidation type="date" operator="greaterThan" allowBlank="1" showInputMessage="1" showErrorMessage="1" sqref="G87" xr:uid="{1CB4710E-81E8-4DA8-BB55-72CEC5ACBD8A}">
      <formula1>44377</formula1>
    </dataValidation>
    <dataValidation type="list" allowBlank="1" showInputMessage="1" showErrorMessage="1" sqref="G76" xr:uid="{654C43BD-453A-4D70-9071-EDED7F145EF7}">
      <formula1>"6/30/2020"</formula1>
    </dataValidation>
    <dataValidation type="list" showInputMessage="1" showErrorMessage="1" sqref="G76" xr:uid="{5FD0CB50-46E9-489F-B6EF-F23C8B0B31FA}">
      <formula1>"Yes,No"</formula1>
    </dataValidation>
    <dataValidation type="date" operator="greaterThan" showInputMessage="1" showErrorMessage="1" sqref="G76" xr:uid="{C0BC3498-332E-4D22-919D-E4BA5713C8CD}">
      <formula1>44377</formula1>
    </dataValidation>
    <dataValidation type="list" allowBlank="1" showInputMessage="1" showErrorMessage="1" sqref="G76" xr:uid="{9FF2FE94-5637-4366-881A-C7F846B9D25C}">
      <formula1>"Yes,No"</formula1>
    </dataValidation>
  </dataValidations>
  <printOptions horizontalCentered="1" verticalCentered="1"/>
  <pageMargins left="0" right="0" top="0" bottom="1" header="0.3" footer="0.3"/>
  <pageSetup scale="50"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A744"/>
  <sheetViews>
    <sheetView zoomScaleNormal="100"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88671875" style="3" customWidth="1"/>
    <col min="2" max="2" width="17.5546875" style="52" bestFit="1" customWidth="1"/>
    <col min="3" max="3" width="36.6640625" style="659" customWidth="1"/>
    <col min="4" max="4" width="20.88671875" style="3" bestFit="1" customWidth="1"/>
    <col min="5" max="5" width="17.5546875" style="3" customWidth="1"/>
    <col min="6" max="6" width="22.6640625" style="3" customWidth="1"/>
    <col min="7" max="7" width="17.44140625" style="556" bestFit="1" customWidth="1"/>
    <col min="8" max="8" width="9.6640625" style="3" bestFit="1" customWidth="1"/>
    <col min="9" max="9" width="1" style="590" customWidth="1"/>
    <col min="10" max="10" width="18.109375" style="5" customWidth="1"/>
    <col min="11" max="11" width="36.88671875" style="9" customWidth="1"/>
    <col min="12" max="12" width="15.44140625" style="667" bestFit="1" customWidth="1"/>
    <col min="13" max="13" width="1.44140625" style="3" customWidth="1"/>
    <col min="14" max="14" width="18.109375" style="3" customWidth="1"/>
    <col min="15" max="15" width="17.88671875" style="3" customWidth="1"/>
    <col min="16" max="16" width="8.6640625" style="298"/>
    <col min="17" max="17" width="10.33203125" style="559" hidden="1" customWidth="1"/>
    <col min="18" max="18" width="7.109375" style="3" hidden="1" customWidth="1"/>
    <col min="19" max="19" width="6" style="3" hidden="1" customWidth="1"/>
    <col min="20" max="20" width="6.6640625" style="3" hidden="1" customWidth="1"/>
    <col min="21" max="21" width="7.5546875" style="3" hidden="1" customWidth="1"/>
    <col min="22" max="22" width="3.44140625" style="3" hidden="1" customWidth="1"/>
    <col min="23" max="23" width="7.33203125" style="3" hidden="1" customWidth="1"/>
    <col min="24" max="24" width="10.5546875" style="3" hidden="1" customWidth="1"/>
    <col min="25" max="25" width="9.88671875" style="3" hidden="1" customWidth="1"/>
    <col min="26" max="26" width="0" style="3" hidden="1" customWidth="1"/>
    <col min="27" max="16384" width="9.109375" style="3"/>
  </cols>
  <sheetData>
    <row r="1" spans="1:25" ht="36" x14ac:dyDescent="0.3">
      <c r="C1" s="49" t="s">
        <v>525</v>
      </c>
      <c r="D1" s="13">
        <f>L65-(L52+L53-L57-L58-L233)-L61</f>
        <v>0</v>
      </c>
      <c r="I1" s="557"/>
      <c r="J1" s="48"/>
      <c r="K1" s="14" t="s">
        <v>47</v>
      </c>
      <c r="L1" s="63"/>
      <c r="M1" s="558"/>
      <c r="S1" s="3">
        <v>100</v>
      </c>
      <c r="T1" s="3">
        <v>1</v>
      </c>
    </row>
    <row r="2" spans="1:25" ht="36" x14ac:dyDescent="0.4">
      <c r="C2" s="74" t="str">
        <f>'Unit Data from Audit Worksheet'!D2</f>
        <v>Select Unit Name from Drop Down List</v>
      </c>
      <c r="D2" s="145">
        <v>2021</v>
      </c>
      <c r="E2" s="12">
        <v>2021</v>
      </c>
      <c r="F2" s="12"/>
      <c r="G2" s="70"/>
      <c r="H2" s="12"/>
      <c r="I2" s="557"/>
      <c r="J2" s="43" t="s">
        <v>43</v>
      </c>
      <c r="K2" s="8" t="s">
        <v>42</v>
      </c>
      <c r="L2" s="68" t="s">
        <v>30</v>
      </c>
      <c r="S2" s="3">
        <v>200</v>
      </c>
      <c r="T2" s="3">
        <v>2</v>
      </c>
    </row>
    <row r="3" spans="1:25" ht="31.2" x14ac:dyDescent="0.3">
      <c r="A3" s="560" t="s">
        <v>43</v>
      </c>
      <c r="B3" s="561"/>
      <c r="C3" s="46" t="s">
        <v>1</v>
      </c>
      <c r="D3" s="15" t="s">
        <v>44</v>
      </c>
      <c r="E3" s="15" t="s">
        <v>45</v>
      </c>
      <c r="F3" s="16" t="s">
        <v>49</v>
      </c>
      <c r="G3" s="75" t="s">
        <v>343</v>
      </c>
      <c r="H3" s="16" t="s">
        <v>420</v>
      </c>
      <c r="I3" s="557"/>
      <c r="J3" s="562"/>
      <c r="K3" s="146"/>
      <c r="L3" s="563"/>
      <c r="O3" s="3" t="s">
        <v>291</v>
      </c>
      <c r="Q3" s="86" t="s">
        <v>344</v>
      </c>
      <c r="S3" s="3">
        <v>300</v>
      </c>
      <c r="T3" s="3">
        <v>3</v>
      </c>
    </row>
    <row r="4" spans="1:25" ht="18" x14ac:dyDescent="0.35">
      <c r="A4" s="564"/>
      <c r="B4" s="565"/>
      <c r="C4" s="50"/>
      <c r="D4" s="7"/>
      <c r="E4" s="7"/>
      <c r="F4" s="7"/>
      <c r="G4" s="71"/>
      <c r="H4" s="7"/>
      <c r="I4" s="557"/>
      <c r="J4" s="45">
        <v>999</v>
      </c>
      <c r="K4" s="11" t="s">
        <v>288</v>
      </c>
      <c r="L4" s="134" t="e">
        <f>'Unit Data from Audit Worksheet'!D3</f>
        <v>#N/A</v>
      </c>
      <c r="S4" s="3">
        <v>400</v>
      </c>
      <c r="T4" s="3">
        <v>4</v>
      </c>
      <c r="W4" s="3" t="b">
        <f t="shared" ref="W4:W35" si="0">EXACT(A4,J4)</f>
        <v>0</v>
      </c>
      <c r="X4" s="566" t="e">
        <f>E4-L4</f>
        <v>#N/A</v>
      </c>
      <c r="Y4" s="566" t="e">
        <f>D4-L4</f>
        <v>#N/A</v>
      </c>
    </row>
    <row r="5" spans="1:25" ht="57" customHeight="1" x14ac:dyDescent="0.3">
      <c r="A5" s="567">
        <f>'Unit Data from Audit Worksheet'!A7</f>
        <v>333</v>
      </c>
      <c r="B5" s="54" t="str">
        <f>'Unit Data from Audit Worksheet'!C7</f>
        <v>Net Position-Governmental Activities</v>
      </c>
      <c r="C5" s="568" t="str">
        <f>'Unit Data from Audit Worksheet'!D7</f>
        <v xml:space="preserve"> All unrestricted Cash and investments.  
Exclude: restricted cash 
                   cash held by a third party. </v>
      </c>
      <c r="D5" s="144"/>
      <c r="E5" s="152">
        <f>'Unit Data from Audit Worksheet'!F7</f>
        <v>0</v>
      </c>
      <c r="F5" s="347">
        <f>IF(L5&lt;0,"Error: Number is normally positive.",)</f>
        <v>0</v>
      </c>
      <c r="G5" s="72"/>
      <c r="H5" s="346">
        <f>'Unit Data from Audit Worksheet'!I7</f>
        <v>0</v>
      </c>
      <c r="I5" s="38"/>
      <c r="J5" s="42">
        <v>333</v>
      </c>
      <c r="K5" s="51" t="s">
        <v>184</v>
      </c>
      <c r="L5" s="569">
        <f>IF(D5="",E5,D5)</f>
        <v>0</v>
      </c>
      <c r="P5" s="315"/>
      <c r="S5" s="3">
        <v>500</v>
      </c>
      <c r="T5" s="3">
        <v>5</v>
      </c>
      <c r="W5" s="3" t="b">
        <f t="shared" si="0"/>
        <v>1</v>
      </c>
      <c r="X5" s="566">
        <f t="shared" ref="X5:X116" si="1">E5-L5</f>
        <v>0</v>
      </c>
      <c r="Y5" s="566">
        <f t="shared" ref="Y5:Y116" si="2">D5-L5</f>
        <v>0</v>
      </c>
    </row>
    <row r="6" spans="1:25" ht="39.75" customHeight="1" x14ac:dyDescent="0.3">
      <c r="A6" s="334">
        <f>'Unit Data from Audit Worksheet'!A8</f>
        <v>500</v>
      </c>
      <c r="B6" s="348" t="str">
        <f>'Unit Data from Audit Worksheet'!C8</f>
        <v>Net Position-Governmental Activities</v>
      </c>
      <c r="C6" s="333" t="str">
        <f>'Unit Data from Audit Worksheet'!D8</f>
        <v xml:space="preserve"> All restricted Cash and investments</v>
      </c>
      <c r="D6" s="144"/>
      <c r="E6" s="354">
        <f>'Unit Data from Audit Worksheet'!F8</f>
        <v>0</v>
      </c>
      <c r="F6" s="347">
        <f>IF(L6&lt;0,"Error: Number is normally positive.",)</f>
        <v>0</v>
      </c>
      <c r="G6" s="349"/>
      <c r="H6" s="346">
        <f>'Unit Data from Audit Worksheet'!I8</f>
        <v>0</v>
      </c>
      <c r="I6" s="38"/>
      <c r="J6" s="345">
        <v>500</v>
      </c>
      <c r="K6" s="344" t="s">
        <v>183</v>
      </c>
      <c r="L6" s="569">
        <f>IF(D6="",E6,D6)</f>
        <v>0</v>
      </c>
      <c r="P6" s="316"/>
      <c r="T6" s="3">
        <v>6</v>
      </c>
      <c r="W6" s="3" t="b">
        <f t="shared" si="0"/>
        <v>1</v>
      </c>
      <c r="X6" s="566">
        <f t="shared" si="1"/>
        <v>0</v>
      </c>
      <c r="Y6" s="566">
        <f t="shared" si="2"/>
        <v>0</v>
      </c>
    </row>
    <row r="7" spans="1:25" ht="43.5" customHeight="1" x14ac:dyDescent="0.3">
      <c r="A7" s="334">
        <f>'Unit Data from Audit Worksheet'!A9</f>
        <v>385</v>
      </c>
      <c r="B7" s="348" t="str">
        <f>'Unit Data from Audit Worksheet'!C9</f>
        <v>Net Position-Governmental Activities</v>
      </c>
      <c r="C7" s="333" t="str">
        <f>'Unit Data from Audit Worksheet'!D9</f>
        <v>Total Assets and deferred outflows</v>
      </c>
      <c r="D7" s="144"/>
      <c r="E7" s="354">
        <f>'Unit Data from Audit Worksheet'!F9</f>
        <v>0</v>
      </c>
      <c r="F7" s="135">
        <f>IF((L5+L6)&gt;L7,"Error: Please review accts (333 + 500) &gt; 385",)</f>
        <v>0</v>
      </c>
      <c r="G7" s="349" t="str">
        <f>IF(Q7=1," Included in error count"," ")</f>
        <v xml:space="preserve"> </v>
      </c>
      <c r="H7" s="346">
        <f>'Unit Data from Audit Worksheet'!I9</f>
        <v>0</v>
      </c>
      <c r="I7" s="38"/>
      <c r="J7" s="76">
        <v>385</v>
      </c>
      <c r="K7" s="77" t="s">
        <v>115</v>
      </c>
      <c r="L7" s="570">
        <f>IF(D7="",E7,D7)+IF(D9="",E9,D9)</f>
        <v>0</v>
      </c>
      <c r="N7" s="78" t="s">
        <v>330</v>
      </c>
      <c r="P7" s="316"/>
      <c r="T7" s="3">
        <v>7</v>
      </c>
      <c r="W7" s="3" t="b">
        <f t="shared" si="0"/>
        <v>1</v>
      </c>
      <c r="X7" s="566">
        <f t="shared" si="1"/>
        <v>0</v>
      </c>
      <c r="Y7" s="566">
        <f t="shared" si="2"/>
        <v>0</v>
      </c>
    </row>
    <row r="8" spans="1:25" ht="90.75" customHeight="1" x14ac:dyDescent="0.3">
      <c r="A8" s="334">
        <f>'Unit Data from Audit Worksheet'!A10</f>
        <v>575</v>
      </c>
      <c r="B8" s="348" t="str">
        <f>'Unit Data from Audit Worksheet'!C10</f>
        <v>Net Position-Governmental Activities</v>
      </c>
      <c r="C8" s="333" t="str">
        <f>'Unit Data from Audit Worksheet'!D10</f>
        <v>Record any positive Internal balances on the net position statements that appear in the Asset Section of the Net Position Statement</v>
      </c>
      <c r="D8" s="144"/>
      <c r="E8" s="354">
        <f>'Unit Data from Audit Worksheet'!F10</f>
        <v>0</v>
      </c>
      <c r="F8" s="347">
        <f>IF(L8&lt;0,"Error: Number is normally positive.",)</f>
        <v>0</v>
      </c>
      <c r="G8" s="349"/>
      <c r="H8" s="346">
        <f>'Unit Data from Audit Worksheet'!I10</f>
        <v>0</v>
      </c>
      <c r="I8" s="38"/>
      <c r="J8" s="345">
        <v>575</v>
      </c>
      <c r="K8" s="351" t="s">
        <v>333</v>
      </c>
      <c r="L8" s="569">
        <f>IF(D8="",E8,D8)</f>
        <v>0</v>
      </c>
      <c r="N8" s="64"/>
      <c r="P8" s="316"/>
      <c r="W8" s="3" t="b">
        <f t="shared" si="0"/>
        <v>1</v>
      </c>
      <c r="X8" s="566">
        <f t="shared" si="1"/>
        <v>0</v>
      </c>
      <c r="Y8" s="566">
        <f t="shared" si="2"/>
        <v>0</v>
      </c>
    </row>
    <row r="9" spans="1:25" ht="103.5" customHeight="1" x14ac:dyDescent="0.3">
      <c r="A9" s="334">
        <f>'Unit Data from Audit Worksheet'!A11</f>
        <v>576</v>
      </c>
      <c r="B9" s="348" t="str">
        <f>'Unit Data from Audit Worksheet'!C11</f>
        <v>Net Position-Governmental Activities</v>
      </c>
      <c r="C9" s="571" t="str">
        <f>'Unit Data from Audit Worksheet'!D11</f>
        <v>Record any negative Internal balances on the net position statements that appear in the Asset Section of the Net Position Statement.
Enter as a positive</v>
      </c>
      <c r="D9" s="110"/>
      <c r="E9" s="155">
        <f>'Unit Data from Audit Worksheet'!F11</f>
        <v>0</v>
      </c>
      <c r="F9" s="343">
        <f>IF(E9&lt;0,"Error: Enter as positive.",)</f>
        <v>0</v>
      </c>
      <c r="G9" s="112"/>
      <c r="H9" s="113">
        <f>'Unit Data from Audit Worksheet'!I11</f>
        <v>0</v>
      </c>
      <c r="I9" s="38"/>
      <c r="J9" s="105">
        <v>576</v>
      </c>
      <c r="K9" s="351" t="s">
        <v>334</v>
      </c>
      <c r="L9" s="569">
        <f>IF(D9="",E9,D9)</f>
        <v>0</v>
      </c>
      <c r="N9" s="64"/>
      <c r="P9" s="317"/>
      <c r="W9" s="3" t="b">
        <f t="shared" si="0"/>
        <v>1</v>
      </c>
      <c r="X9" s="566">
        <f t="shared" si="1"/>
        <v>0</v>
      </c>
      <c r="Y9" s="566">
        <f t="shared" si="2"/>
        <v>0</v>
      </c>
    </row>
    <row r="10" spans="1:25" s="18" customFormat="1" ht="100.5" customHeight="1" x14ac:dyDescent="0.3">
      <c r="A10" s="334">
        <f>'Unit Data from Audit Worksheet'!A12</f>
        <v>626</v>
      </c>
      <c r="B10" s="339" t="str">
        <f>'Unit Data from Audit Worksheet'!C12</f>
        <v>Net Position-Governmental Activities</v>
      </c>
      <c r="C10" s="338" t="str">
        <f>'Unit Data from Audit Worksheet'!D12</f>
        <v xml:space="preserve">Total Current liabilities (as reported on Statement of Net Position)
Include:   Current liabilities including current portion of long-term debt.  Deferred inflows should not be included in Current Liabilities  </v>
      </c>
      <c r="D10" s="110"/>
      <c r="E10" s="360">
        <f>'Unit Data from Audit Worksheet'!F12</f>
        <v>0</v>
      </c>
      <c r="F10" s="342">
        <f>IF(L10&lt;0,"Error: Enter as a positive.",)</f>
        <v>0</v>
      </c>
      <c r="G10" s="327"/>
      <c r="H10" s="342">
        <f>'Unit Data from Audit Worksheet'!I12</f>
        <v>0</v>
      </c>
      <c r="I10" s="38"/>
      <c r="J10" s="341">
        <v>626</v>
      </c>
      <c r="K10" s="309" t="s">
        <v>458</v>
      </c>
      <c r="L10" s="572">
        <f>IF(D10="",E10,D10)+IF(D9="",E9,D9)</f>
        <v>0</v>
      </c>
      <c r="M10" s="573"/>
      <c r="N10" s="182" t="s">
        <v>330</v>
      </c>
      <c r="O10" s="573"/>
      <c r="P10" s="318"/>
      <c r="Q10" s="574"/>
      <c r="R10" s="3"/>
      <c r="W10" s="18" t="b">
        <f t="shared" si="0"/>
        <v>1</v>
      </c>
      <c r="X10" s="575">
        <f t="shared" si="1"/>
        <v>0</v>
      </c>
      <c r="Y10" s="575">
        <f t="shared" si="2"/>
        <v>0</v>
      </c>
    </row>
    <row r="11" spans="1:25" s="18" customFormat="1" ht="86.25" customHeight="1" x14ac:dyDescent="0.3">
      <c r="A11" s="334">
        <f>'Unit Data from Audit Worksheet'!A13</f>
        <v>627</v>
      </c>
      <c r="B11" s="339" t="str">
        <f>'Unit Data from Audit Worksheet'!C13</f>
        <v>Net Position-Governmental Activities</v>
      </c>
      <c r="C11" s="338" t="str">
        <f>'Unit Data from Audit Worksheet'!D13</f>
        <v>Please enter any bond anticipation notes that are classified as current liabilities and included in account 626 above (amounts entered should agree to the current amount included in the changes to long-term debt note)</v>
      </c>
      <c r="D11" s="110"/>
      <c r="E11" s="360">
        <f>'Unit Data from Audit Worksheet'!F13</f>
        <v>0</v>
      </c>
      <c r="F11" s="342"/>
      <c r="G11" s="327"/>
      <c r="H11" s="342"/>
      <c r="I11" s="38"/>
      <c r="J11" s="341">
        <v>627</v>
      </c>
      <c r="K11" s="309" t="s">
        <v>450</v>
      </c>
      <c r="L11" s="576">
        <f t="shared" ref="L11:L16" si="3">IF(D11="",E11,D11)</f>
        <v>0</v>
      </c>
      <c r="M11" s="573"/>
      <c r="N11" s="181"/>
      <c r="O11" s="573"/>
      <c r="P11" s="318"/>
      <c r="Q11" s="574"/>
      <c r="R11" s="3"/>
      <c r="W11" s="18" t="b">
        <f t="shared" si="0"/>
        <v>1</v>
      </c>
      <c r="X11" s="575">
        <f t="shared" si="1"/>
        <v>0</v>
      </c>
      <c r="Y11" s="575">
        <f t="shared" si="2"/>
        <v>0</v>
      </c>
    </row>
    <row r="12" spans="1:25" s="18" customFormat="1" ht="86.25" customHeight="1" x14ac:dyDescent="0.3">
      <c r="A12" s="334">
        <f>'Unit Data from Audit Worksheet'!A14</f>
        <v>628</v>
      </c>
      <c r="B12" s="339" t="str">
        <f>'Unit Data from Audit Worksheet'!C14</f>
        <v>Net Position-Governmental Activities</v>
      </c>
      <c r="C12" s="338" t="str">
        <f>'Unit Data from Audit Worksheet'!D14</f>
        <v>Please enter any compensated absences that are classified as current liabilities and included in account 626 above (amounts entered should agree to the current amount included in the changes to long-term debt note)</v>
      </c>
      <c r="D12" s="110"/>
      <c r="E12" s="360">
        <f>'Unit Data from Audit Worksheet'!F14</f>
        <v>0</v>
      </c>
      <c r="F12" s="342"/>
      <c r="G12" s="327"/>
      <c r="H12" s="342"/>
      <c r="I12" s="38"/>
      <c r="J12" s="341">
        <v>628</v>
      </c>
      <c r="K12" s="309" t="s">
        <v>455</v>
      </c>
      <c r="L12" s="576">
        <f t="shared" si="3"/>
        <v>0</v>
      </c>
      <c r="M12" s="573"/>
      <c r="N12" s="181"/>
      <c r="O12" s="573"/>
      <c r="P12" s="318"/>
      <c r="Q12" s="574"/>
      <c r="R12" s="3"/>
      <c r="W12" s="18" t="b">
        <f t="shared" si="0"/>
        <v>1</v>
      </c>
      <c r="X12" s="575">
        <f t="shared" si="1"/>
        <v>0</v>
      </c>
      <c r="Y12" s="575">
        <f t="shared" si="2"/>
        <v>0</v>
      </c>
    </row>
    <row r="13" spans="1:25" s="18" customFormat="1" ht="93" customHeight="1" x14ac:dyDescent="0.3">
      <c r="A13" s="334">
        <f>'Unit Data from Audit Worksheet'!A15</f>
        <v>629</v>
      </c>
      <c r="B13" s="339" t="str">
        <f>'Unit Data from Audit Worksheet'!C15</f>
        <v>Net Position-Governmental Activities</v>
      </c>
      <c r="C13" s="338" t="str">
        <f>'Unit Data from Audit Worksheet'!D15</f>
        <v>Please enter any pension liabilities that are classified as current liabilities and included in account 626 above (amounts entered should agree to the current amount included in the changes to long-term debt note)</v>
      </c>
      <c r="D13" s="110"/>
      <c r="E13" s="360">
        <f>'Unit Data from Audit Worksheet'!F15</f>
        <v>0</v>
      </c>
      <c r="F13" s="342"/>
      <c r="G13" s="327"/>
      <c r="H13" s="342"/>
      <c r="I13" s="38"/>
      <c r="J13" s="341">
        <v>629</v>
      </c>
      <c r="K13" s="309" t="s">
        <v>454</v>
      </c>
      <c r="L13" s="576">
        <f t="shared" si="3"/>
        <v>0</v>
      </c>
      <c r="M13" s="573"/>
      <c r="N13" s="181"/>
      <c r="O13" s="573"/>
      <c r="P13" s="318"/>
      <c r="Q13" s="574"/>
      <c r="R13" s="3"/>
      <c r="W13" s="18" t="b">
        <f t="shared" si="0"/>
        <v>1</v>
      </c>
      <c r="X13" s="575">
        <f t="shared" si="1"/>
        <v>0</v>
      </c>
      <c r="Y13" s="575">
        <f t="shared" si="2"/>
        <v>0</v>
      </c>
    </row>
    <row r="14" spans="1:25" s="18" customFormat="1" ht="67.5" customHeight="1" x14ac:dyDescent="0.3">
      <c r="A14" s="334">
        <f>'Unit Data from Audit Worksheet'!A16</f>
        <v>630</v>
      </c>
      <c r="B14" s="339" t="str">
        <f>'Unit Data from Audit Worksheet'!C16</f>
        <v>Net Position-Governmental Activities</v>
      </c>
      <c r="C14" s="338" t="str">
        <f>'Unit Data from Audit Worksheet'!D16</f>
        <v>Please enter any current liabilities that are payable from restricted assets and included in account 626 above</v>
      </c>
      <c r="D14" s="110"/>
      <c r="E14" s="360">
        <f>'Unit Data from Audit Worksheet'!F16</f>
        <v>0</v>
      </c>
      <c r="F14" s="342"/>
      <c r="G14" s="327"/>
      <c r="H14" s="342"/>
      <c r="I14" s="38"/>
      <c r="J14" s="341">
        <v>630</v>
      </c>
      <c r="K14" s="309" t="s">
        <v>453</v>
      </c>
      <c r="L14" s="576">
        <f t="shared" si="3"/>
        <v>0</v>
      </c>
      <c r="M14" s="573"/>
      <c r="N14" s="181"/>
      <c r="O14" s="573"/>
      <c r="P14" s="318"/>
      <c r="Q14" s="574"/>
      <c r="R14" s="3"/>
      <c r="W14" s="18" t="b">
        <f t="shared" si="0"/>
        <v>1</v>
      </c>
      <c r="X14" s="575">
        <f t="shared" si="1"/>
        <v>0</v>
      </c>
      <c r="Y14" s="575">
        <f t="shared" si="2"/>
        <v>0</v>
      </c>
    </row>
    <row r="15" spans="1:25" s="18" customFormat="1" ht="102.75" customHeight="1" x14ac:dyDescent="0.3">
      <c r="A15" s="334">
        <f>'Unit Data from Audit Worksheet'!A17</f>
        <v>631</v>
      </c>
      <c r="B15" s="348" t="str">
        <f>'Unit Data from Audit Worksheet'!C17</f>
        <v>Net Position-Governmental Activities</v>
      </c>
      <c r="C15" s="328" t="str">
        <f>'Unit Data from Audit Worksheet'!D17</f>
        <v>Please enter any OPEB liabilities that are classified as current liabilities and included in account 626 above (amounts entered should agree to the current amount included in the changes to long-term debt note)</v>
      </c>
      <c r="D15" s="110"/>
      <c r="E15" s="360">
        <f>'Unit Data from Audit Worksheet'!F17</f>
        <v>0</v>
      </c>
      <c r="F15" s="342"/>
      <c r="G15" s="327"/>
      <c r="H15" s="342"/>
      <c r="I15" s="38"/>
      <c r="J15" s="341">
        <v>631</v>
      </c>
      <c r="K15" s="309" t="s">
        <v>452</v>
      </c>
      <c r="L15" s="576">
        <f t="shared" si="3"/>
        <v>0</v>
      </c>
      <c r="M15" s="573"/>
      <c r="N15" s="181"/>
      <c r="O15" s="573"/>
      <c r="P15" s="318"/>
      <c r="Q15" s="574"/>
      <c r="R15" s="3"/>
      <c r="W15" s="18" t="b">
        <f t="shared" si="0"/>
        <v>1</v>
      </c>
      <c r="X15" s="575">
        <f t="shared" si="1"/>
        <v>0</v>
      </c>
      <c r="Y15" s="575">
        <f t="shared" si="2"/>
        <v>0</v>
      </c>
    </row>
    <row r="16" spans="1:25" s="18" customFormat="1" ht="119.25" customHeight="1" x14ac:dyDescent="0.3">
      <c r="A16" s="334">
        <f>'Unit Data from Audit Worksheet'!A18</f>
        <v>632</v>
      </c>
      <c r="B16" s="348" t="str">
        <f>'Unit Data from Audit Worksheet'!C18</f>
        <v>Net Position-Governmental Activities</v>
      </c>
      <c r="C16" s="328"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110"/>
      <c r="E16" s="360">
        <f>'Unit Data from Audit Worksheet'!F18</f>
        <v>0</v>
      </c>
      <c r="F16" s="342"/>
      <c r="G16" s="327"/>
      <c r="H16" s="342"/>
      <c r="I16" s="38"/>
      <c r="J16" s="341">
        <v>632</v>
      </c>
      <c r="K16" s="309" t="s">
        <v>451</v>
      </c>
      <c r="L16" s="576">
        <f t="shared" si="3"/>
        <v>0</v>
      </c>
      <c r="M16" s="573"/>
      <c r="N16" s="181"/>
      <c r="O16" s="573"/>
      <c r="P16" s="318"/>
      <c r="Q16" s="574"/>
      <c r="R16" s="3"/>
      <c r="W16" s="18" t="b">
        <f t="shared" si="0"/>
        <v>1</v>
      </c>
      <c r="X16" s="575">
        <f t="shared" si="1"/>
        <v>0</v>
      </c>
      <c r="Y16" s="575">
        <f t="shared" si="2"/>
        <v>0</v>
      </c>
    </row>
    <row r="17" spans="1:25" ht="30.6" x14ac:dyDescent="0.3">
      <c r="A17" s="334">
        <f>'Unit Data from Audit Worksheet'!A19</f>
        <v>338</v>
      </c>
      <c r="B17" s="348" t="str">
        <f>'Unit Data from Audit Worksheet'!C19</f>
        <v>Net Position-Governmental Activities</v>
      </c>
      <c r="C17" s="333" t="str">
        <f>'Unit Data from Audit Worksheet'!D19</f>
        <v>Total Liabilities and total deferred inflows</v>
      </c>
      <c r="D17" s="110"/>
      <c r="E17" s="152">
        <f>'Unit Data from Audit Worksheet'!F19</f>
        <v>0</v>
      </c>
      <c r="F17" s="135" t="str">
        <f>IF(L10&gt;L17,"Please review accounts 626 greater than 338","")</f>
        <v/>
      </c>
      <c r="G17" s="72"/>
      <c r="H17" s="346">
        <f>'Unit Data from Audit Worksheet'!I19</f>
        <v>0</v>
      </c>
      <c r="I17" s="38"/>
      <c r="J17" s="114">
        <v>338</v>
      </c>
      <c r="K17" s="115" t="s">
        <v>116</v>
      </c>
      <c r="L17" s="570">
        <f>IF(D17="",E17,D17)+IF(D9="",E9,D9)</f>
        <v>0</v>
      </c>
      <c r="N17" s="78" t="s">
        <v>330</v>
      </c>
      <c r="P17" s="315"/>
      <c r="W17" s="3" t="b">
        <f t="shared" si="0"/>
        <v>1</v>
      </c>
      <c r="X17" s="566">
        <f t="shared" si="1"/>
        <v>0</v>
      </c>
      <c r="Y17" s="566">
        <f t="shared" si="2"/>
        <v>0</v>
      </c>
    </row>
    <row r="18" spans="1:25" ht="100.5" customHeight="1" x14ac:dyDescent="0.3">
      <c r="A18" s="334">
        <f>'Unit Data from Audit Worksheet'!A20</f>
        <v>335</v>
      </c>
      <c r="B18" s="348" t="str">
        <f>'Unit Data from Audit Worksheet'!C20</f>
        <v>Net Position-Governmental Activities</v>
      </c>
      <c r="C18" s="333" t="str">
        <f>'Unit Data from Audit Worksheet'!D20</f>
        <v>Unearned revenues that were included in current liabilities in your audit report or entered in acct # 626 above. 
Exclude - unearned revenues that are listed in deferred inflows.</v>
      </c>
      <c r="D18" s="110"/>
      <c r="E18" s="354">
        <f>'Unit Data from Audit Worksheet'!F20</f>
        <v>0</v>
      </c>
      <c r="F18" s="347">
        <f>IF(L18&lt;0,"Error: Enter as a positive.",)</f>
        <v>0</v>
      </c>
      <c r="G18" s="349"/>
      <c r="H18" s="346">
        <f>'Unit Data from Audit Worksheet'!I20</f>
        <v>0</v>
      </c>
      <c r="I18" s="38"/>
      <c r="J18" s="345">
        <v>335</v>
      </c>
      <c r="K18" s="344" t="s">
        <v>117</v>
      </c>
      <c r="L18" s="569">
        <f>IF(D18="",E18,D18)</f>
        <v>0</v>
      </c>
      <c r="P18" s="316"/>
      <c r="W18" s="3" t="b">
        <f t="shared" si="0"/>
        <v>1</v>
      </c>
      <c r="X18" s="566">
        <f t="shared" si="1"/>
        <v>0</v>
      </c>
      <c r="Y18" s="566">
        <f t="shared" si="2"/>
        <v>0</v>
      </c>
    </row>
    <row r="19" spans="1:25" ht="20.399999999999999" x14ac:dyDescent="0.3">
      <c r="A19" s="334">
        <f>'Unit Data from Audit Worksheet'!A21</f>
        <v>252</v>
      </c>
      <c r="B19" s="348" t="str">
        <f>'Unit Data from Audit Worksheet'!C21</f>
        <v>Net Position-Governmental Activities</v>
      </c>
      <c r="C19" s="333" t="str">
        <f>'Unit Data from Audit Worksheet'!D21</f>
        <v xml:space="preserve"> Total Net investment in capital assets</v>
      </c>
      <c r="D19" s="110"/>
      <c r="E19" s="354">
        <f>'Unit Data from Audit Worksheet'!F21</f>
        <v>0</v>
      </c>
      <c r="F19" s="347"/>
      <c r="G19" s="349"/>
      <c r="H19" s="346">
        <f>'Unit Data from Audit Worksheet'!I21</f>
        <v>0</v>
      </c>
      <c r="I19" s="38"/>
      <c r="J19" s="345">
        <v>252</v>
      </c>
      <c r="K19" s="344" t="s">
        <v>103</v>
      </c>
      <c r="L19" s="569">
        <f t="shared" ref="L19:L51" si="4">IF(D19="",E19,D19)</f>
        <v>0</v>
      </c>
      <c r="O19" s="577" t="e">
        <f>'Unit Data from Audit Worksheet'!E21</f>
        <v>#N/A</v>
      </c>
      <c r="P19" s="316"/>
      <c r="W19" s="3" t="b">
        <f t="shared" si="0"/>
        <v>1</v>
      </c>
      <c r="X19" s="566">
        <f t="shared" si="1"/>
        <v>0</v>
      </c>
      <c r="Y19" s="566">
        <f t="shared" si="2"/>
        <v>0</v>
      </c>
    </row>
    <row r="20" spans="1:25" ht="20.399999999999999" x14ac:dyDescent="0.3">
      <c r="A20" s="334">
        <f>'Unit Data from Audit Worksheet'!A22</f>
        <v>253</v>
      </c>
      <c r="B20" s="348" t="str">
        <f>'Unit Data from Audit Worksheet'!C22</f>
        <v>Net Position-Governmental Activities</v>
      </c>
      <c r="C20" s="333" t="str">
        <f>'Unit Data from Audit Worksheet'!D22</f>
        <v xml:space="preserve"> Total Net Position, Restricted</v>
      </c>
      <c r="D20" s="110"/>
      <c r="E20" s="354">
        <f>'Unit Data from Audit Worksheet'!F22</f>
        <v>0</v>
      </c>
      <c r="F20" s="347"/>
      <c r="G20" s="349"/>
      <c r="H20" s="346">
        <f>'Unit Data from Audit Worksheet'!I22</f>
        <v>0</v>
      </c>
      <c r="I20" s="38"/>
      <c r="J20" s="345">
        <v>253</v>
      </c>
      <c r="K20" s="344" t="s">
        <v>104</v>
      </c>
      <c r="L20" s="569">
        <f t="shared" si="4"/>
        <v>0</v>
      </c>
      <c r="O20" s="577" t="e">
        <f>'Unit Data from Audit Worksheet'!E22</f>
        <v>#N/A</v>
      </c>
      <c r="P20" s="316"/>
      <c r="W20" s="3" t="b">
        <f t="shared" si="0"/>
        <v>1</v>
      </c>
      <c r="X20" s="566">
        <f t="shared" si="1"/>
        <v>0</v>
      </c>
      <c r="Y20" s="566">
        <f t="shared" si="2"/>
        <v>0</v>
      </c>
    </row>
    <row r="21" spans="1:25" ht="73.5" customHeight="1" x14ac:dyDescent="0.3">
      <c r="A21" s="334">
        <f>'Unit Data from Audit Worksheet'!A23</f>
        <v>254</v>
      </c>
      <c r="B21" s="348" t="str">
        <f>'Unit Data from Audit Worksheet'!C23</f>
        <v>Net Position-Governmental Activities</v>
      </c>
      <c r="C21" s="333" t="str">
        <f>'Unit Data from Audit Worksheet'!D23</f>
        <v>Total Net Position, Unrestricted - enter negative unrestricted net position as a negative)</v>
      </c>
      <c r="D21" s="110"/>
      <c r="E21" s="354">
        <f>'Unit Data from Audit Worksheet'!F23</f>
        <v>0</v>
      </c>
      <c r="F21" s="347">
        <f>IF((L7-L17-L19-L20-L21)=0,,"Error: Total assets and deferred outflows less total liabilities and deferred inflows do not equal total net position accts 385-338-252-253-254")</f>
        <v>0</v>
      </c>
      <c r="G21" s="90">
        <f>+L7-L17-L19-L20-L21</f>
        <v>0</v>
      </c>
      <c r="H21" s="346">
        <f>'Unit Data from Audit Worksheet'!I23</f>
        <v>0</v>
      </c>
      <c r="I21" s="38"/>
      <c r="J21" s="345">
        <v>254</v>
      </c>
      <c r="K21" s="344" t="s">
        <v>105</v>
      </c>
      <c r="L21" s="569">
        <f t="shared" si="4"/>
        <v>0</v>
      </c>
      <c r="O21" s="577" t="e">
        <f>'Unit Data from Audit Worksheet'!E23</f>
        <v>#N/A</v>
      </c>
      <c r="P21" s="316"/>
      <c r="Q21" s="559">
        <f>IF(G21&lt;&gt;0,1,0)</f>
        <v>0</v>
      </c>
      <c r="W21" s="3" t="b">
        <f t="shared" si="0"/>
        <v>1</v>
      </c>
      <c r="X21" s="566">
        <f t="shared" si="1"/>
        <v>0</v>
      </c>
      <c r="Y21" s="566">
        <f t="shared" si="2"/>
        <v>0</v>
      </c>
    </row>
    <row r="22" spans="1:25" ht="51.75" customHeight="1" x14ac:dyDescent="0.3">
      <c r="A22" s="334">
        <f>'Unit Data from Audit Worksheet'!A25</f>
        <v>502</v>
      </c>
      <c r="B22" s="348" t="str">
        <f>'Unit Data from Audit Worksheet'!C25</f>
        <v>Net Position-Business Activities</v>
      </c>
      <c r="C22" s="333" t="str">
        <f>'Unit Data from Audit Worksheet'!D25</f>
        <v xml:space="preserve">All unrestricted Cash and investments. 
Exclude restricted cash and cash held by a third party. </v>
      </c>
      <c r="D22" s="110"/>
      <c r="E22" s="354">
        <f>'Unit Data from Audit Worksheet'!F25</f>
        <v>0</v>
      </c>
      <c r="F22" s="347">
        <f>IF(L22&lt;0,"Error: Number is normally positive.",)</f>
        <v>0</v>
      </c>
      <c r="G22" s="349"/>
      <c r="H22" s="346">
        <f>'Unit Data from Audit Worksheet'!I25</f>
        <v>0</v>
      </c>
      <c r="I22" s="38"/>
      <c r="J22" s="345">
        <v>502</v>
      </c>
      <c r="K22" s="344" t="s">
        <v>185</v>
      </c>
      <c r="L22" s="569">
        <f t="shared" si="4"/>
        <v>0</v>
      </c>
      <c r="P22" s="316"/>
      <c r="W22" s="3" t="b">
        <f t="shared" si="0"/>
        <v>1</v>
      </c>
      <c r="X22" s="566">
        <f t="shared" si="1"/>
        <v>0</v>
      </c>
      <c r="Y22" s="566">
        <f t="shared" si="2"/>
        <v>0</v>
      </c>
    </row>
    <row r="23" spans="1:25" ht="40.5" customHeight="1" x14ac:dyDescent="0.3">
      <c r="A23" s="334">
        <f>'Unit Data from Audit Worksheet'!A26</f>
        <v>503</v>
      </c>
      <c r="B23" s="348" t="str">
        <f>'Unit Data from Audit Worksheet'!C26</f>
        <v>Net Position-Business Activities</v>
      </c>
      <c r="C23" s="333" t="str">
        <f>'Unit Data from Audit Worksheet'!D26</f>
        <v>All restricted Cash and investments</v>
      </c>
      <c r="D23" s="110"/>
      <c r="E23" s="354">
        <f>'Unit Data from Audit Worksheet'!F26</f>
        <v>0</v>
      </c>
      <c r="F23" s="347">
        <f>IF(L23&lt;0,"Error: Number is normally positive.",)</f>
        <v>0</v>
      </c>
      <c r="G23" s="349"/>
      <c r="H23" s="346">
        <f>'Unit Data from Audit Worksheet'!I26</f>
        <v>0</v>
      </c>
      <c r="I23" s="38"/>
      <c r="J23" s="345">
        <v>503</v>
      </c>
      <c r="K23" s="344" t="s">
        <v>186</v>
      </c>
      <c r="L23" s="569">
        <f t="shared" si="4"/>
        <v>0</v>
      </c>
      <c r="P23" s="316"/>
      <c r="W23" s="3" t="b">
        <f t="shared" si="0"/>
        <v>1</v>
      </c>
      <c r="X23" s="566">
        <f t="shared" si="1"/>
        <v>0</v>
      </c>
      <c r="Y23" s="566">
        <f t="shared" si="2"/>
        <v>0</v>
      </c>
    </row>
    <row r="24" spans="1:25" ht="39" customHeight="1" x14ac:dyDescent="0.3">
      <c r="A24" s="334">
        <f>'Unit Data from Audit Worksheet'!A28</f>
        <v>344</v>
      </c>
      <c r="B24" s="348" t="str">
        <f>'Unit Data from Audit Worksheet'!C28</f>
        <v>Statement of Activities - Governmental</v>
      </c>
      <c r="C24" s="333" t="str">
        <f>'Unit Data from Audit Worksheet'!D28</f>
        <v xml:space="preserve">Total Interest expense on Long-Term Debt </v>
      </c>
      <c r="D24" s="110"/>
      <c r="E24" s="354">
        <f>'Unit Data from Audit Worksheet'!F28</f>
        <v>0</v>
      </c>
      <c r="F24" s="347">
        <f>IF(L24&lt;0,"Error: Enter as a positive.",)</f>
        <v>0</v>
      </c>
      <c r="G24" s="349"/>
      <c r="H24" s="346">
        <f>'Unit Data from Audit Worksheet'!I28</f>
        <v>0</v>
      </c>
      <c r="I24" s="38"/>
      <c r="J24" s="345">
        <v>344</v>
      </c>
      <c r="K24" s="344" t="s">
        <v>187</v>
      </c>
      <c r="L24" s="569">
        <f t="shared" si="4"/>
        <v>0</v>
      </c>
      <c r="P24" s="316"/>
      <c r="W24" s="3" t="b">
        <f t="shared" si="0"/>
        <v>1</v>
      </c>
      <c r="X24" s="566">
        <f t="shared" si="1"/>
        <v>0</v>
      </c>
      <c r="Y24" s="566">
        <f t="shared" si="2"/>
        <v>0</v>
      </c>
    </row>
    <row r="25" spans="1:25" ht="39" customHeight="1" x14ac:dyDescent="0.3">
      <c r="A25" s="334">
        <f>'Unit Data from Audit Worksheet'!A29</f>
        <v>388</v>
      </c>
      <c r="B25" s="348" t="str">
        <f>'Unit Data from Audit Worksheet'!C29</f>
        <v>Statement of Activities - Governmental</v>
      </c>
      <c r="C25" s="333" t="str">
        <f>'Unit Data from Audit Worksheet'!D29</f>
        <v>Total Expenses</v>
      </c>
      <c r="D25" s="110"/>
      <c r="E25" s="354">
        <f>'Unit Data from Audit Worksheet'!F29</f>
        <v>0</v>
      </c>
      <c r="F25" s="347">
        <f t="shared" ref="F25:F30" si="5">IF(L25&lt;0,"Error: Number is normally positive.",)</f>
        <v>0</v>
      </c>
      <c r="G25" s="349"/>
      <c r="H25" s="346">
        <f>'Unit Data from Audit Worksheet'!I29</f>
        <v>0</v>
      </c>
      <c r="I25" s="38"/>
      <c r="J25" s="345">
        <v>388</v>
      </c>
      <c r="K25" s="344" t="s">
        <v>188</v>
      </c>
      <c r="L25" s="569">
        <f t="shared" si="4"/>
        <v>0</v>
      </c>
      <c r="P25" s="316"/>
      <c r="W25" s="3" t="b">
        <f t="shared" si="0"/>
        <v>1</v>
      </c>
      <c r="X25" s="566">
        <f t="shared" si="1"/>
        <v>0</v>
      </c>
      <c r="Y25" s="566">
        <f t="shared" si="2"/>
        <v>0</v>
      </c>
    </row>
    <row r="26" spans="1:25" ht="39" customHeight="1" x14ac:dyDescent="0.3">
      <c r="A26" s="334">
        <f>'Unit Data from Audit Worksheet'!A30</f>
        <v>339</v>
      </c>
      <c r="B26" s="348" t="str">
        <f>'Unit Data from Audit Worksheet'!C30</f>
        <v>Statement of Activities - Governmental</v>
      </c>
      <c r="C26" s="333" t="str">
        <f>'Unit Data from Audit Worksheet'!D30</f>
        <v xml:space="preserve">Charges for services </v>
      </c>
      <c r="D26" s="110"/>
      <c r="E26" s="354">
        <f>'Unit Data from Audit Worksheet'!F30</f>
        <v>0</v>
      </c>
      <c r="F26" s="347">
        <f t="shared" si="5"/>
        <v>0</v>
      </c>
      <c r="G26" s="349"/>
      <c r="H26" s="346">
        <f>'Unit Data from Audit Worksheet'!I30</f>
        <v>0</v>
      </c>
      <c r="I26" s="38"/>
      <c r="J26" s="345">
        <v>339</v>
      </c>
      <c r="K26" s="344" t="s">
        <v>189</v>
      </c>
      <c r="L26" s="569">
        <f t="shared" si="4"/>
        <v>0</v>
      </c>
      <c r="P26" s="316"/>
      <c r="W26" s="3" t="b">
        <f t="shared" si="0"/>
        <v>1</v>
      </c>
      <c r="X26" s="566">
        <f t="shared" si="1"/>
        <v>0</v>
      </c>
      <c r="Y26" s="566">
        <f t="shared" si="2"/>
        <v>0</v>
      </c>
    </row>
    <row r="27" spans="1:25" ht="39" customHeight="1" x14ac:dyDescent="0.3">
      <c r="A27" s="334">
        <f>'Unit Data from Audit Worksheet'!A31</f>
        <v>504</v>
      </c>
      <c r="B27" s="348" t="str">
        <f>'Unit Data from Audit Worksheet'!C31</f>
        <v>Statement of Activities - Governmental</v>
      </c>
      <c r="C27" s="333" t="str">
        <f>'Unit Data from Audit Worksheet'!D31</f>
        <v>Operating grants and contributions</v>
      </c>
      <c r="D27" s="110"/>
      <c r="E27" s="354">
        <f>'Unit Data from Audit Worksheet'!F31</f>
        <v>0</v>
      </c>
      <c r="F27" s="347">
        <f t="shared" si="5"/>
        <v>0</v>
      </c>
      <c r="G27" s="349"/>
      <c r="H27" s="346">
        <f>'Unit Data from Audit Worksheet'!I31</f>
        <v>0</v>
      </c>
      <c r="I27" s="38"/>
      <c r="J27" s="345">
        <v>504</v>
      </c>
      <c r="K27" s="344" t="s">
        <v>190</v>
      </c>
      <c r="L27" s="569">
        <f t="shared" si="4"/>
        <v>0</v>
      </c>
      <c r="P27" s="316"/>
      <c r="W27" s="3" t="b">
        <f t="shared" si="0"/>
        <v>1</v>
      </c>
      <c r="X27" s="566">
        <f t="shared" si="1"/>
        <v>0</v>
      </c>
      <c r="Y27" s="566">
        <f t="shared" si="2"/>
        <v>0</v>
      </c>
    </row>
    <row r="28" spans="1:25" ht="39" customHeight="1" x14ac:dyDescent="0.3">
      <c r="A28" s="334">
        <f>'Unit Data from Audit Worksheet'!A32</f>
        <v>505</v>
      </c>
      <c r="B28" s="348" t="str">
        <f>'Unit Data from Audit Worksheet'!C32</f>
        <v>Statement of Activities - Governmental</v>
      </c>
      <c r="C28" s="333" t="str">
        <f>'Unit Data from Audit Worksheet'!D32</f>
        <v>Capital grants and contributions</v>
      </c>
      <c r="D28" s="110"/>
      <c r="E28" s="354">
        <f>'Unit Data from Audit Worksheet'!F32</f>
        <v>0</v>
      </c>
      <c r="F28" s="347">
        <f t="shared" si="5"/>
        <v>0</v>
      </c>
      <c r="G28" s="349"/>
      <c r="H28" s="346">
        <f>'Unit Data from Audit Worksheet'!I32</f>
        <v>0</v>
      </c>
      <c r="I28" s="38"/>
      <c r="J28" s="345">
        <v>505</v>
      </c>
      <c r="K28" s="344" t="s">
        <v>191</v>
      </c>
      <c r="L28" s="569">
        <f t="shared" si="4"/>
        <v>0</v>
      </c>
      <c r="P28" s="316"/>
      <c r="W28" s="3" t="b">
        <f t="shared" si="0"/>
        <v>1</v>
      </c>
      <c r="X28" s="566">
        <f t="shared" si="1"/>
        <v>0</v>
      </c>
      <c r="Y28" s="566">
        <f t="shared" si="2"/>
        <v>0</v>
      </c>
    </row>
    <row r="29" spans="1:25" ht="82.5" customHeight="1" x14ac:dyDescent="0.3">
      <c r="A29" s="334">
        <f>'Unit Data from Audit Worksheet'!A33</f>
        <v>341</v>
      </c>
      <c r="B29" s="348" t="str">
        <f>'Unit Data from Audit Worksheet'!C33</f>
        <v>Statement of Activities - Governmental</v>
      </c>
      <c r="C29" s="333" t="str">
        <f>'Unit Data from Audit Worksheet'!D33</f>
        <v>Total General revenues
Exclude: transfers-in or out,
                 special items,
                 extraordinary amounts</v>
      </c>
      <c r="D29" s="110"/>
      <c r="E29" s="354">
        <f>'Unit Data from Audit Worksheet'!F33</f>
        <v>0</v>
      </c>
      <c r="F29" s="347">
        <f t="shared" si="5"/>
        <v>0</v>
      </c>
      <c r="G29" s="349"/>
      <c r="H29" s="346">
        <f>'Unit Data from Audit Worksheet'!I33</f>
        <v>0</v>
      </c>
      <c r="I29" s="38"/>
      <c r="J29" s="345">
        <v>341</v>
      </c>
      <c r="K29" s="344" t="s">
        <v>192</v>
      </c>
      <c r="L29" s="569">
        <f t="shared" si="4"/>
        <v>0</v>
      </c>
      <c r="P29" s="316"/>
      <c r="W29" s="3" t="b">
        <f t="shared" si="0"/>
        <v>1</v>
      </c>
      <c r="X29" s="566">
        <f t="shared" si="1"/>
        <v>0</v>
      </c>
      <c r="Y29" s="566">
        <f t="shared" si="2"/>
        <v>0</v>
      </c>
    </row>
    <row r="30" spans="1:25" ht="82.5" customHeight="1" x14ac:dyDescent="0.3">
      <c r="A30" s="334">
        <f>'Unit Data from Audit Worksheet'!A34</f>
        <v>386</v>
      </c>
      <c r="B30" s="348" t="str">
        <f>'Unit Data from Audit Worksheet'!C34</f>
        <v>Statement of Activities - Governmental</v>
      </c>
      <c r="C30" s="333" t="str">
        <f>'Unit Data from Audit Worksheet'!D34</f>
        <v>Total Transfers in    (Preference is that transfers-in  are not netted against transfers-out)</v>
      </c>
      <c r="D30" s="110"/>
      <c r="E30" s="354">
        <f>'Unit Data from Audit Worksheet'!F34</f>
        <v>0</v>
      </c>
      <c r="F30" s="347">
        <f t="shared" si="5"/>
        <v>0</v>
      </c>
      <c r="G30" s="349"/>
      <c r="H30" s="346">
        <f>'Unit Data from Audit Worksheet'!I34</f>
        <v>0</v>
      </c>
      <c r="I30" s="38"/>
      <c r="J30" s="345">
        <v>386</v>
      </c>
      <c r="K30" s="344" t="s">
        <v>193</v>
      </c>
      <c r="L30" s="569">
        <f t="shared" si="4"/>
        <v>0</v>
      </c>
      <c r="P30" s="316"/>
      <c r="W30" s="3" t="b">
        <f t="shared" si="0"/>
        <v>1</v>
      </c>
      <c r="X30" s="566">
        <f t="shared" si="1"/>
        <v>0</v>
      </c>
      <c r="Y30" s="566">
        <f t="shared" si="2"/>
        <v>0</v>
      </c>
    </row>
    <row r="31" spans="1:25" ht="82.5" customHeight="1" x14ac:dyDescent="0.3">
      <c r="A31" s="334">
        <f>'Unit Data from Audit Worksheet'!A35</f>
        <v>387</v>
      </c>
      <c r="B31" s="348" t="str">
        <f>'Unit Data from Audit Worksheet'!C35</f>
        <v>Statement of Activities - Governmental</v>
      </c>
      <c r="C31" s="333" t="str">
        <f>'Unit Data from Audit Worksheet'!D35</f>
        <v>Total Transfers out    (Preference is that transfers-in  are not netted against transfers-out)</v>
      </c>
      <c r="D31" s="110"/>
      <c r="E31" s="354">
        <f>'Unit Data from Audit Worksheet'!F35</f>
        <v>0</v>
      </c>
      <c r="F31" s="347">
        <f>IF(L31&lt;0,"Error: Enter as a positive.",)</f>
        <v>0</v>
      </c>
      <c r="G31" s="349"/>
      <c r="H31" s="346">
        <f>'Unit Data from Audit Worksheet'!I35</f>
        <v>0</v>
      </c>
      <c r="I31" s="38"/>
      <c r="J31" s="345">
        <v>387</v>
      </c>
      <c r="K31" s="344" t="s">
        <v>194</v>
      </c>
      <c r="L31" s="569">
        <f t="shared" si="4"/>
        <v>0</v>
      </c>
      <c r="P31" s="316"/>
      <c r="W31" s="3" t="b">
        <f t="shared" si="0"/>
        <v>1</v>
      </c>
      <c r="X31" s="566">
        <f t="shared" si="1"/>
        <v>0</v>
      </c>
      <c r="Y31" s="566">
        <f t="shared" si="2"/>
        <v>0</v>
      </c>
    </row>
    <row r="32" spans="1:25" ht="82.5" customHeight="1" x14ac:dyDescent="0.3">
      <c r="A32" s="334">
        <f>'Unit Data from Audit Worksheet'!A36</f>
        <v>389</v>
      </c>
      <c r="B32" s="348" t="str">
        <f>'Unit Data from Audit Worksheet'!C36</f>
        <v>Statement of Activities - Governmental</v>
      </c>
      <c r="C32" s="333" t="str">
        <f>'Unit Data from Audit Worksheet'!D36</f>
        <v>Total Special and Extraordinary items.    (Amounts that increase net position are recorded as positive and amounts that decrease net position are recorded as negative)</v>
      </c>
      <c r="D32" s="110"/>
      <c r="E32" s="354">
        <f>'Unit Data from Audit Worksheet'!F36</f>
        <v>0</v>
      </c>
      <c r="F32" s="347"/>
      <c r="G32" s="349"/>
      <c r="H32" s="346">
        <f>'Unit Data from Audit Worksheet'!I36</f>
        <v>0</v>
      </c>
      <c r="I32" s="38"/>
      <c r="J32" s="345">
        <v>389</v>
      </c>
      <c r="K32" s="344" t="s">
        <v>195</v>
      </c>
      <c r="L32" s="569">
        <f t="shared" si="4"/>
        <v>0</v>
      </c>
      <c r="N32" s="578"/>
      <c r="P32" s="316"/>
      <c r="W32" s="3" t="b">
        <f t="shared" si="0"/>
        <v>1</v>
      </c>
      <c r="X32" s="566">
        <f t="shared" si="1"/>
        <v>0</v>
      </c>
      <c r="Y32" s="566">
        <f t="shared" si="2"/>
        <v>0</v>
      </c>
    </row>
    <row r="33" spans="1:25" ht="79.5" customHeight="1" x14ac:dyDescent="0.3">
      <c r="A33" s="334">
        <f>'Unit Data from Audit Worksheet'!A37</f>
        <v>255</v>
      </c>
      <c r="B33" s="348" t="str">
        <f>'Unit Data from Audit Worksheet'!C37</f>
        <v>Statement of Activities - Governmental</v>
      </c>
      <c r="C33" s="333" t="str">
        <f>'Unit Data from Audit Worksheet'!D37</f>
        <v>Total Change in net position - (Increase in net position is recorded as a positive and a decrease in net position is recorded as a negative)</v>
      </c>
      <c r="D33" s="110"/>
      <c r="E33" s="354">
        <f>'Unit Data from Audit Worksheet'!F37</f>
        <v>0</v>
      </c>
      <c r="F33" s="347">
        <f>IF((L26+L27+L28+L29+L30-L31+L32-L25-L33)=0,,"Total revenues less total expenses do not equal total change in net position. Acct 339+504+505+341+386-387+389-388-255=0")</f>
        <v>0</v>
      </c>
      <c r="G33" s="91">
        <f>L26+L27+L28+L29+L30-L31+L32-L25-L33</f>
        <v>0</v>
      </c>
      <c r="H33" s="346">
        <f>'Unit Data from Audit Worksheet'!I37</f>
        <v>0</v>
      </c>
      <c r="I33" s="38"/>
      <c r="J33" s="345">
        <v>255</v>
      </c>
      <c r="K33" s="344" t="s">
        <v>196</v>
      </c>
      <c r="L33" s="569">
        <f t="shared" si="4"/>
        <v>0</v>
      </c>
      <c r="O33" s="577" t="e">
        <f>'Unit Data from Audit Worksheet'!E37</f>
        <v>#N/A</v>
      </c>
      <c r="P33" s="316"/>
      <c r="Q33" s="559">
        <f>IF(G33&lt;&gt;0,1,0)</f>
        <v>0</v>
      </c>
      <c r="W33" s="3" t="b">
        <f t="shared" si="0"/>
        <v>1</v>
      </c>
      <c r="X33" s="566">
        <f t="shared" si="1"/>
        <v>0</v>
      </c>
      <c r="Y33" s="566">
        <f t="shared" si="2"/>
        <v>0</v>
      </c>
    </row>
    <row r="34" spans="1:25" ht="89.25" customHeight="1" x14ac:dyDescent="0.3">
      <c r="A34" s="334">
        <f>'Unit Data from Audit Worksheet'!A38</f>
        <v>376</v>
      </c>
      <c r="B34" s="348" t="str">
        <f>'Unit Data from Audit Worksheet'!C38</f>
        <v>Statement of Activities - Governmental</v>
      </c>
      <c r="C34" s="333" t="str">
        <f>'Unit Data from Audit Worksheet'!D38</f>
        <v>Any adjustment to beginning net position including rounding, prior period adjustments and restatements.   (Increases to net position are positive; decreases to net position are negative)</v>
      </c>
      <c r="D34" s="110"/>
      <c r="E34" s="354">
        <f>'Unit Data from Audit Worksheet'!F38</f>
        <v>0</v>
      </c>
      <c r="F34" s="87" t="e">
        <f>IF(L19+L20+L21-L33-L34=O19+O20+O21,,"Beginning Balance does not agree with our records acct (252+253+254-255-376=PY252+PY253+PY254)")</f>
        <v>#N/A</v>
      </c>
      <c r="G34" s="92" t="e">
        <f>L19+L20+L21-L33-L34-(O19+O20+O21)</f>
        <v>#N/A</v>
      </c>
      <c r="H34" s="346" t="str">
        <f>'Unit Data from Audit Worksheet'!I38</f>
        <v>Please do not enter prior's years beginning balance as an adjustment in column F.</v>
      </c>
      <c r="I34" s="38"/>
      <c r="J34" s="345">
        <v>376</v>
      </c>
      <c r="K34" s="344" t="s">
        <v>108</v>
      </c>
      <c r="L34" s="569">
        <f t="shared" si="4"/>
        <v>0</v>
      </c>
      <c r="O34" s="577" t="e">
        <f>'Unit Data from Audit Worksheet'!E38</f>
        <v>#N/A</v>
      </c>
      <c r="P34" s="316"/>
      <c r="Q34" s="559" t="e">
        <f>IF(G34&lt;&gt;0,1,0)</f>
        <v>#N/A</v>
      </c>
      <c r="W34" s="3" t="b">
        <f t="shared" si="0"/>
        <v>1</v>
      </c>
      <c r="X34" s="566">
        <f t="shared" si="1"/>
        <v>0</v>
      </c>
      <c r="Y34" s="566">
        <f t="shared" si="2"/>
        <v>0</v>
      </c>
    </row>
    <row r="35" spans="1:25" ht="157.5" customHeight="1" x14ac:dyDescent="0.3">
      <c r="A35" s="334">
        <f>'Unit Data from Audit Worksheet'!A39</f>
        <v>597</v>
      </c>
      <c r="B35" s="348" t="str">
        <f>'Unit Data from Audit Worksheet'!C39</f>
        <v>Statement of Activities                               (all governmental and business funds)</v>
      </c>
      <c r="C35" s="333"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10"/>
      <c r="E35" s="354">
        <f>'Unit Data from Audit Worksheet'!F39</f>
        <v>0</v>
      </c>
      <c r="F35" s="347">
        <f>IF(L35&lt;0,"Error: Number is normally positive.",)</f>
        <v>0</v>
      </c>
      <c r="G35" s="349"/>
      <c r="H35" s="346">
        <f>'Unit Data from Audit Worksheet'!I39</f>
        <v>0</v>
      </c>
      <c r="I35" s="38"/>
      <c r="J35" s="345">
        <v>597</v>
      </c>
      <c r="K35" s="344" t="s">
        <v>400</v>
      </c>
      <c r="L35" s="569">
        <f t="shared" si="4"/>
        <v>0</v>
      </c>
      <c r="O35" s="577"/>
      <c r="P35" s="316"/>
      <c r="W35" s="3" t="b">
        <f t="shared" si="0"/>
        <v>1</v>
      </c>
      <c r="X35" s="566">
        <f t="shared" si="1"/>
        <v>0</v>
      </c>
      <c r="Y35" s="566">
        <f t="shared" si="2"/>
        <v>0</v>
      </c>
    </row>
    <row r="36" spans="1:25" ht="90" customHeight="1" x14ac:dyDescent="0.3">
      <c r="A36" s="334">
        <f>'Unit Data from Audit Worksheet'!A41</f>
        <v>592</v>
      </c>
      <c r="B36" s="348" t="str">
        <f>'Unit Data from Audit Worksheet'!C41</f>
        <v>Statement of Activities - Business Activities</v>
      </c>
      <c r="C36" s="333" t="str">
        <f>'Unit Data from Audit Worksheet'!D41</f>
        <v>Total Change in net position Business Type 
(Increase in net position is recorded as a positive and a decrease in net position is recorded as a negative)</v>
      </c>
      <c r="D36" s="110"/>
      <c r="E36" s="354">
        <f>'Unit Data from Audit Worksheet'!F41</f>
        <v>0</v>
      </c>
      <c r="F36" s="347"/>
      <c r="G36" s="349"/>
      <c r="H36" s="346">
        <f>'Unit Data from Audit Worksheet'!I41</f>
        <v>0</v>
      </c>
      <c r="I36" s="38"/>
      <c r="J36" s="345">
        <v>592</v>
      </c>
      <c r="K36" s="344" t="s">
        <v>366</v>
      </c>
      <c r="L36" s="569">
        <f t="shared" si="4"/>
        <v>0</v>
      </c>
      <c r="O36" s="577"/>
      <c r="P36" s="316"/>
      <c r="W36" s="3" t="b">
        <f t="shared" ref="W36:W66" si="6">EXACT(A36,J36)</f>
        <v>1</v>
      </c>
      <c r="X36" s="566">
        <f t="shared" si="1"/>
        <v>0</v>
      </c>
      <c r="Y36" s="566">
        <f t="shared" si="2"/>
        <v>0</v>
      </c>
    </row>
    <row r="37" spans="1:25" ht="66" customHeight="1" x14ac:dyDescent="0.3">
      <c r="A37" s="334">
        <f>'Unit Data from Audit Worksheet'!A42</f>
        <v>591</v>
      </c>
      <c r="B37" s="348" t="str">
        <f>'Unit Data from Audit Worksheet'!C42</f>
        <v>Statement of Activities - Business Activities</v>
      </c>
      <c r="C37" s="333" t="str">
        <f>'Unit Data from Audit Worksheet'!D42</f>
        <v>Total Expenses - Exclude Transfers</v>
      </c>
      <c r="D37" s="110"/>
      <c r="E37" s="354">
        <f>'Unit Data from Audit Worksheet'!F42</f>
        <v>0</v>
      </c>
      <c r="F37" s="347">
        <f>IF(L37&lt;0,"Error: Enter as a positive.",)</f>
        <v>0</v>
      </c>
      <c r="G37" s="349"/>
      <c r="H37" s="346">
        <f>'Unit Data from Audit Worksheet'!I42</f>
        <v>0</v>
      </c>
      <c r="I37" s="38"/>
      <c r="J37" s="345">
        <v>591</v>
      </c>
      <c r="K37" s="344" t="s">
        <v>365</v>
      </c>
      <c r="L37" s="569">
        <f t="shared" si="4"/>
        <v>0</v>
      </c>
      <c r="O37" s="577"/>
      <c r="P37" s="316"/>
      <c r="W37" s="3" t="b">
        <f t="shared" si="6"/>
        <v>1</v>
      </c>
      <c r="X37" s="566">
        <f t="shared" si="1"/>
        <v>0</v>
      </c>
      <c r="Y37" s="566">
        <f t="shared" si="2"/>
        <v>0</v>
      </c>
    </row>
    <row r="38" spans="1:25" s="705" customFormat="1" ht="66" customHeight="1" x14ac:dyDescent="0.3">
      <c r="A38" s="334">
        <f>'Unit Data from Audit Worksheet'!A43</f>
        <v>593</v>
      </c>
      <c r="B38" s="348" t="str">
        <f>'Unit Data from Audit Worksheet'!C43</f>
        <v>Statement of Activities - Business Activities</v>
      </c>
      <c r="C38" s="333" t="str">
        <f>'Unit Data from Audit Worksheet'!D43</f>
        <v>Total Transfers in    (Preference is that transfers-in  are not netted against transfers-out)</v>
      </c>
      <c r="D38" s="110"/>
      <c r="E38" s="354">
        <f>'Unit Data from Audit Worksheet'!F43</f>
        <v>0</v>
      </c>
      <c r="F38" s="347"/>
      <c r="G38" s="349"/>
      <c r="H38" s="346"/>
      <c r="I38" s="707"/>
      <c r="J38" s="345">
        <v>593</v>
      </c>
      <c r="K38" s="710" t="s">
        <v>1111</v>
      </c>
      <c r="L38" s="569">
        <f t="shared" si="4"/>
        <v>0</v>
      </c>
      <c r="O38" s="577"/>
      <c r="P38" s="316"/>
      <c r="Q38" s="559"/>
      <c r="X38" s="566"/>
      <c r="Y38" s="566"/>
    </row>
    <row r="39" spans="1:25" s="705" customFormat="1" ht="66" customHeight="1" x14ac:dyDescent="0.3">
      <c r="A39" s="334">
        <f>'Unit Data from Audit Worksheet'!A44</f>
        <v>594</v>
      </c>
      <c r="B39" s="348" t="str">
        <f>'Unit Data from Audit Worksheet'!C44</f>
        <v>Statement of Activities - Business Activities</v>
      </c>
      <c r="C39" s="333" t="str">
        <f>'Unit Data from Audit Worksheet'!D44</f>
        <v>Total Transfers out    (Preference is that transfers-in  are not netted against transfers-out)</v>
      </c>
      <c r="D39" s="110"/>
      <c r="E39" s="354">
        <f>'Unit Data from Audit Worksheet'!F44</f>
        <v>0</v>
      </c>
      <c r="F39" s="347"/>
      <c r="G39" s="349"/>
      <c r="H39" s="346"/>
      <c r="I39" s="707"/>
      <c r="J39" s="345">
        <v>594</v>
      </c>
      <c r="K39" s="710" t="s">
        <v>1112</v>
      </c>
      <c r="L39" s="569">
        <f t="shared" si="4"/>
        <v>0</v>
      </c>
      <c r="O39" s="577"/>
      <c r="P39" s="316"/>
      <c r="Q39" s="559"/>
      <c r="X39" s="566"/>
      <c r="Y39" s="566"/>
    </row>
    <row r="40" spans="1:25" s="705" customFormat="1" ht="66" customHeight="1" x14ac:dyDescent="0.3">
      <c r="A40" s="334">
        <f>'Unit Data from Audit Worksheet'!A46</f>
        <v>558</v>
      </c>
      <c r="B40" s="348" t="str">
        <f>'Unit Data from Audit Worksheet'!C46</f>
        <v>Mental Health-Balance Sheet - Non GAAP</v>
      </c>
      <c r="C40" s="333" t="str">
        <f>'Unit Data from Audit Worksheet'!D46</f>
        <v xml:space="preserve">All unrestricted cash and investments.  
Exclude restricted cash and cash held by a third party. </v>
      </c>
      <c r="D40" s="110"/>
      <c r="E40" s="354">
        <f>'Unit Data from Audit Worksheet'!F46</f>
        <v>0</v>
      </c>
      <c r="F40" s="347"/>
      <c r="G40" s="349"/>
      <c r="H40" s="346"/>
      <c r="I40" s="707"/>
      <c r="J40" s="345">
        <v>558</v>
      </c>
      <c r="K40" s="706" t="s">
        <v>1113</v>
      </c>
      <c r="L40" s="569">
        <f t="shared" si="4"/>
        <v>0</v>
      </c>
      <c r="O40" s="577"/>
      <c r="P40" s="316"/>
      <c r="Q40" s="559"/>
      <c r="X40" s="566"/>
      <c r="Y40" s="566"/>
    </row>
    <row r="41" spans="1:25" s="705" customFormat="1" ht="66" customHeight="1" x14ac:dyDescent="0.3">
      <c r="A41" s="334">
        <f>'Unit Data from Audit Worksheet'!A47</f>
        <v>559</v>
      </c>
      <c r="B41" s="348" t="str">
        <f>'Unit Data from Audit Worksheet'!C47</f>
        <v>Mental Health-Balance Sheet - Non GAAP</v>
      </c>
      <c r="C41" s="333" t="str">
        <f>'Unit Data from Audit Worksheet'!D47</f>
        <v>All restricted cash and investments</v>
      </c>
      <c r="D41" s="110"/>
      <c r="E41" s="354">
        <f>'Unit Data from Audit Worksheet'!F47</f>
        <v>0</v>
      </c>
      <c r="F41" s="347"/>
      <c r="G41" s="349"/>
      <c r="H41" s="346"/>
      <c r="I41" s="707"/>
      <c r="J41" s="345">
        <v>559</v>
      </c>
      <c r="K41" s="706" t="s">
        <v>1114</v>
      </c>
      <c r="L41" s="569">
        <f t="shared" si="4"/>
        <v>0</v>
      </c>
      <c r="O41" s="577"/>
      <c r="P41" s="316"/>
      <c r="Q41" s="559"/>
      <c r="X41" s="566"/>
      <c r="Y41" s="566"/>
    </row>
    <row r="42" spans="1:25" s="705" customFormat="1" ht="124.5" customHeight="1" x14ac:dyDescent="0.3">
      <c r="A42" s="334">
        <f>'Unit Data from Audit Worksheet'!A48</f>
        <v>560</v>
      </c>
      <c r="B42" s="348" t="str">
        <f>'Unit Data from Audit Worksheet'!C48</f>
        <v>Mental Health-Balance Sheet - Non GAAP</v>
      </c>
      <c r="C42" s="333" t="str">
        <f>'Unit Data from Audit Worksheet'!D48</f>
        <v>Current Liabilities 
Exclude: all deferred inflows
                 current debt service payments
Include: Liabilities payable from restricted assets.</v>
      </c>
      <c r="D42" s="110"/>
      <c r="E42" s="354">
        <f>'Unit Data from Audit Worksheet'!F48</f>
        <v>0</v>
      </c>
      <c r="F42" s="347"/>
      <c r="G42" s="349"/>
      <c r="H42" s="346"/>
      <c r="I42" s="707"/>
      <c r="J42" s="345">
        <v>560</v>
      </c>
      <c r="K42" s="706" t="s">
        <v>1115</v>
      </c>
      <c r="L42" s="569">
        <f t="shared" si="4"/>
        <v>0</v>
      </c>
      <c r="O42" s="577"/>
      <c r="P42" s="316"/>
      <c r="Q42" s="559"/>
      <c r="X42" s="566"/>
      <c r="Y42" s="566"/>
    </row>
    <row r="43" spans="1:25" s="705" customFormat="1" ht="66" customHeight="1" x14ac:dyDescent="0.3">
      <c r="A43" s="334">
        <f>'Unit Data from Audit Worksheet'!A49</f>
        <v>561</v>
      </c>
      <c r="B43" s="348" t="str">
        <f>'Unit Data from Audit Worksheet'!C49</f>
        <v>Mental Health-Balance Sheet - Non GAAP</v>
      </c>
      <c r="C43" s="333" t="str">
        <f>'Unit Data from Audit Worksheet'!D49</f>
        <v xml:space="preserve">Mental Health Enterprise Fund Non GAAP deferred inflows or liabilities derived from cash receipts.   </v>
      </c>
      <c r="D43" s="110"/>
      <c r="E43" s="354">
        <f>'Unit Data from Audit Worksheet'!F49</f>
        <v>0</v>
      </c>
      <c r="F43" s="347"/>
      <c r="G43" s="349"/>
      <c r="H43" s="346"/>
      <c r="I43" s="707"/>
      <c r="J43" s="345">
        <v>561</v>
      </c>
      <c r="K43" s="706" t="s">
        <v>1116</v>
      </c>
      <c r="L43" s="569">
        <f t="shared" si="4"/>
        <v>0</v>
      </c>
      <c r="O43" s="577"/>
      <c r="P43" s="316"/>
      <c r="Q43" s="559"/>
      <c r="X43" s="566"/>
      <c r="Y43" s="566"/>
    </row>
    <row r="44" spans="1:25" s="705" customFormat="1" ht="137.25" customHeight="1" x14ac:dyDescent="0.3">
      <c r="A44" s="334">
        <f>'Unit Data from Audit Worksheet'!A50</f>
        <v>563</v>
      </c>
      <c r="B44" s="348" t="str">
        <f>'Unit Data from Audit Worksheet'!C50</f>
        <v>Mental Health-Balance Sheet - Non GAAP</v>
      </c>
      <c r="C44" s="333" t="str">
        <f>'Unit Data from Audit Worksheet'!D50</f>
        <v>Total Liabilities payable from restricted assets (only complete if this if unit has listed this account in their financial statements for the Mental Health Enterprise Fund Non GAAP and the auditor has listed the cash to be used to pay the liabilities as restricted)</v>
      </c>
      <c r="D44" s="110"/>
      <c r="E44" s="354">
        <f>'Unit Data from Audit Worksheet'!F50</f>
        <v>0</v>
      </c>
      <c r="F44" s="347"/>
      <c r="G44" s="349"/>
      <c r="H44" s="346"/>
      <c r="I44" s="707"/>
      <c r="J44" s="345">
        <v>563</v>
      </c>
      <c r="K44" s="706" t="s">
        <v>1117</v>
      </c>
      <c r="L44" s="569">
        <f t="shared" si="4"/>
        <v>0</v>
      </c>
      <c r="O44" s="577"/>
      <c r="P44" s="316"/>
      <c r="Q44" s="559"/>
      <c r="X44" s="566"/>
      <c r="Y44" s="566"/>
    </row>
    <row r="45" spans="1:25" s="705" customFormat="1" ht="66" customHeight="1" x14ac:dyDescent="0.3">
      <c r="A45" s="334">
        <f>'Unit Data from Audit Worksheet'!A51</f>
        <v>564</v>
      </c>
      <c r="B45" s="348" t="str">
        <f>'Unit Data from Audit Worksheet'!C51</f>
        <v>Mental Health Enterprise Fund Non GAAP-Rev, Exp. Change in Fund Balance</v>
      </c>
      <c r="C45" s="333" t="str">
        <f>'Unit Data from Audit Worksheet'!D51</f>
        <v>Total expenditures  
Exclude: expenditures in the ""other financing sources (uses)"" section.</v>
      </c>
      <c r="D45" s="110"/>
      <c r="E45" s="354">
        <f>'Unit Data from Audit Worksheet'!F51</f>
        <v>0</v>
      </c>
      <c r="F45" s="347"/>
      <c r="G45" s="349"/>
      <c r="H45" s="346"/>
      <c r="I45" s="707"/>
      <c r="J45" s="345">
        <v>564</v>
      </c>
      <c r="K45" s="706" t="s">
        <v>1118</v>
      </c>
      <c r="L45" s="569">
        <f t="shared" si="4"/>
        <v>0</v>
      </c>
      <c r="O45" s="577"/>
      <c r="P45" s="316"/>
      <c r="Q45" s="559"/>
      <c r="X45" s="566"/>
      <c r="Y45" s="566"/>
    </row>
    <row r="46" spans="1:25" s="705" customFormat="1" ht="66" customHeight="1" x14ac:dyDescent="0.3">
      <c r="A46" s="334">
        <f>'Unit Data from Audit Worksheet'!A52</f>
        <v>568</v>
      </c>
      <c r="B46" s="348" t="str">
        <f>'Unit Data from Audit Worksheet'!C52</f>
        <v>Mental Health Enterprise Fund Non GAAP-Rev, Exp. Change in Fund Balance</v>
      </c>
      <c r="C46" s="333" t="str">
        <f>'Unit Data from Audit Worksheet'!D52</f>
        <v>Total Proceeds from all long-term debt issuances 
Exclude: proceeds from refundings</v>
      </c>
      <c r="D46" s="110"/>
      <c r="E46" s="354">
        <f>'Unit Data from Audit Worksheet'!F52</f>
        <v>0</v>
      </c>
      <c r="F46" s="347"/>
      <c r="G46" s="349"/>
      <c r="H46" s="346"/>
      <c r="I46" s="707"/>
      <c r="J46" s="345">
        <v>568</v>
      </c>
      <c r="K46" s="706" t="s">
        <v>1119</v>
      </c>
      <c r="L46" s="569">
        <f t="shared" si="4"/>
        <v>0</v>
      </c>
      <c r="O46" s="577"/>
      <c r="P46" s="316"/>
      <c r="Q46" s="559"/>
      <c r="X46" s="566"/>
      <c r="Y46" s="566"/>
    </row>
    <row r="47" spans="1:25" s="709" customFormat="1" ht="66" customHeight="1" x14ac:dyDescent="0.3">
      <c r="A47" s="334">
        <f>'Unit Data from Audit Worksheet'!A53</f>
        <v>565</v>
      </c>
      <c r="B47" s="348" t="str">
        <f>'Unit Data from Audit Worksheet'!C53</f>
        <v>Mental Health Enterprise Fund Non GAAP-Rev, Exp. Change in Fund Balance</v>
      </c>
      <c r="C47" s="333" t="str">
        <f>'Unit Data from Audit Worksheet'!D53</f>
        <v>Debt Refunding - Net refunding proceeds against debt payoff and if negative place results on this line.</v>
      </c>
      <c r="D47" s="110"/>
      <c r="E47" s="354">
        <f>'Unit Data from Audit Worksheet'!F53</f>
        <v>0</v>
      </c>
      <c r="F47" s="347"/>
      <c r="G47" s="349"/>
      <c r="H47" s="346"/>
      <c r="I47" s="711"/>
      <c r="J47" s="345">
        <v>565</v>
      </c>
      <c r="K47" s="706" t="s">
        <v>1253</v>
      </c>
      <c r="L47" s="569">
        <f t="shared" si="4"/>
        <v>0</v>
      </c>
      <c r="O47" s="577"/>
      <c r="P47" s="316"/>
      <c r="Q47" s="559"/>
      <c r="X47" s="566"/>
      <c r="Y47" s="566"/>
    </row>
    <row r="48" spans="1:25" s="705" customFormat="1" ht="66" customHeight="1" x14ac:dyDescent="0.3">
      <c r="A48" s="334">
        <f>'Unit Data from Audit Worksheet'!A54</f>
        <v>566</v>
      </c>
      <c r="B48" s="348" t="str">
        <f>'Unit Data from Audit Worksheet'!C54</f>
        <v>Mental Health Enterprise Fund Non GAAP-Rev, Exp. Change in Fund Balance</v>
      </c>
      <c r="C48" s="333" t="str">
        <f>'Unit Data from Audit Worksheet'!D54</f>
        <v>Debt Refunding - Net refunding proceeds against debt payoff and if positive place results on this line.</v>
      </c>
      <c r="D48" s="110"/>
      <c r="E48" s="354">
        <f>'Unit Data from Audit Worksheet'!F54</f>
        <v>0</v>
      </c>
      <c r="F48" s="347"/>
      <c r="G48" s="349"/>
      <c r="H48" s="346"/>
      <c r="I48" s="707"/>
      <c r="J48" s="345">
        <v>566</v>
      </c>
      <c r="K48" s="706" t="s">
        <v>1120</v>
      </c>
      <c r="L48" s="569">
        <f t="shared" si="4"/>
        <v>0</v>
      </c>
      <c r="O48" s="577"/>
      <c r="P48" s="316"/>
      <c r="Q48" s="559"/>
      <c r="X48" s="566"/>
      <c r="Y48" s="566"/>
    </row>
    <row r="49" spans="1:25" s="705" customFormat="1" ht="66" customHeight="1" x14ac:dyDescent="0.3">
      <c r="A49" s="334">
        <f>'Unit Data from Audit Worksheet'!A55</f>
        <v>567</v>
      </c>
      <c r="B49" s="348" t="str">
        <f>'Unit Data from Audit Worksheet'!C55</f>
        <v>Mental Health Enterprise Fund Non GAAP-Rev, Exp. Change in Fund Balance</v>
      </c>
      <c r="C49" s="333" t="str">
        <f>'Unit Data from Audit Worksheet'!D55</f>
        <v>Total Transfers out    (Preference is that transfers-in  are not netted against transfers-out)</v>
      </c>
      <c r="D49" s="110"/>
      <c r="E49" s="354">
        <f>'Unit Data from Audit Worksheet'!F55</f>
        <v>0</v>
      </c>
      <c r="F49" s="347"/>
      <c r="G49" s="349"/>
      <c r="H49" s="346"/>
      <c r="I49" s="707"/>
      <c r="J49" s="345">
        <v>567</v>
      </c>
      <c r="K49" s="706" t="s">
        <v>1121</v>
      </c>
      <c r="L49" s="569">
        <f t="shared" si="4"/>
        <v>0</v>
      </c>
      <c r="O49" s="577"/>
      <c r="P49" s="316"/>
      <c r="Q49" s="559"/>
      <c r="X49" s="566"/>
      <c r="Y49" s="566"/>
    </row>
    <row r="50" spans="1:25" s="705" customFormat="1" ht="66" customHeight="1" x14ac:dyDescent="0.3">
      <c r="A50" s="334">
        <f>'Unit Data from Audit Worksheet'!A56</f>
        <v>562</v>
      </c>
      <c r="B50" s="348" t="str">
        <f>'Unit Data from Audit Worksheet'!C56</f>
        <v>Notes</v>
      </c>
      <c r="C50" s="333" t="str">
        <f>'Unit Data from Audit Worksheet'!D56</f>
        <v>Mental Health Enterprise Fund Non GAAP -  Total Encumbrances.  You will have to refer to the note disclosure where the amount of encumbrances is listed.</v>
      </c>
      <c r="D50" s="110"/>
      <c r="E50" s="354">
        <f>'Unit Data from Audit Worksheet'!F56</f>
        <v>0</v>
      </c>
      <c r="F50" s="347"/>
      <c r="G50" s="349"/>
      <c r="H50" s="346"/>
      <c r="I50" s="707"/>
      <c r="J50" s="345">
        <v>562</v>
      </c>
      <c r="K50" s="706" t="s">
        <v>1122</v>
      </c>
      <c r="L50" s="569">
        <f t="shared" si="4"/>
        <v>0</v>
      </c>
      <c r="O50" s="577"/>
      <c r="P50" s="316"/>
      <c r="Q50" s="559"/>
      <c r="X50" s="566"/>
      <c r="Y50" s="566"/>
    </row>
    <row r="51" spans="1:25" s="705" customFormat="1" ht="66" customHeight="1" x14ac:dyDescent="0.3">
      <c r="A51" s="334">
        <f>'Unit Data from Audit Worksheet'!A57</f>
        <v>569</v>
      </c>
      <c r="B51" s="348" t="str">
        <f>'Unit Data from Audit Worksheet'!C57</f>
        <v>Notes</v>
      </c>
      <c r="C51" s="333" t="str">
        <f>'Unit Data from Audit Worksheet'!D57</f>
        <v>Please enter the principal and interest due next fiscal year on existing borrowings.</v>
      </c>
      <c r="D51" s="110"/>
      <c r="E51" s="354">
        <f>'Unit Data from Audit Worksheet'!F57</f>
        <v>0</v>
      </c>
      <c r="F51" s="347"/>
      <c r="G51" s="349"/>
      <c r="H51" s="346"/>
      <c r="I51" s="707"/>
      <c r="J51" s="345">
        <v>569</v>
      </c>
      <c r="K51" s="706" t="s">
        <v>1123</v>
      </c>
      <c r="L51" s="569">
        <f t="shared" si="4"/>
        <v>0</v>
      </c>
      <c r="O51" s="577"/>
      <c r="P51" s="316"/>
      <c r="Q51" s="559"/>
      <c r="X51" s="566"/>
      <c r="Y51" s="566"/>
    </row>
    <row r="52" spans="1:25" ht="54" customHeight="1" x14ac:dyDescent="0.3">
      <c r="A52" s="334">
        <f>'Unit Data from Audit Worksheet'!A59</f>
        <v>506</v>
      </c>
      <c r="B52" s="53" t="str">
        <f>'Unit Data from Audit Worksheet'!C59</f>
        <v>General Fund-Balance Sheet</v>
      </c>
      <c r="C52" s="579" t="str">
        <f>'Unit Data from Audit Worksheet'!D59</f>
        <v xml:space="preserve">All unrestricted cash and investments.  
Exclude restricted cash and cash held by a third party. </v>
      </c>
      <c r="D52" s="110"/>
      <c r="E52" s="154">
        <f>'Unit Data from Audit Worksheet'!F59</f>
        <v>0</v>
      </c>
      <c r="F52" s="37">
        <f>IF(L52&lt;0,"Error: Number is normally positive.",)</f>
        <v>0</v>
      </c>
      <c r="G52" s="73"/>
      <c r="H52" s="346">
        <f>'Unit Data from Audit Worksheet'!I59</f>
        <v>0</v>
      </c>
      <c r="I52" s="38"/>
      <c r="J52" s="41">
        <v>506</v>
      </c>
      <c r="K52" s="344" t="s">
        <v>197</v>
      </c>
      <c r="L52" s="580">
        <f t="shared" ref="L52:L65" si="7">IF(D52="",E52,D52)</f>
        <v>0</v>
      </c>
      <c r="P52" s="316"/>
      <c r="W52" s="3" t="b">
        <f t="shared" si="6"/>
        <v>1</v>
      </c>
      <c r="X52" s="566">
        <f t="shared" si="1"/>
        <v>0</v>
      </c>
      <c r="Y52" s="566">
        <f t="shared" si="2"/>
        <v>0</v>
      </c>
    </row>
    <row r="53" spans="1:25" ht="45.75" customHeight="1" x14ac:dyDescent="0.3">
      <c r="A53" s="334">
        <f>'Unit Data from Audit Worksheet'!A60</f>
        <v>536</v>
      </c>
      <c r="B53" s="53" t="str">
        <f>'Unit Data from Audit Worksheet'!C60</f>
        <v>General Fund-Balance Sheet</v>
      </c>
      <c r="C53" s="579" t="str">
        <f>'Unit Data from Audit Worksheet'!D60</f>
        <v>All restricted cash and investments</v>
      </c>
      <c r="D53" s="110"/>
      <c r="E53" s="154">
        <f>'Unit Data from Audit Worksheet'!F60</f>
        <v>0</v>
      </c>
      <c r="F53" s="37">
        <f>IF(L53&lt;0,"Error: Number is normally positive.",)</f>
        <v>0</v>
      </c>
      <c r="G53" s="73"/>
      <c r="H53" s="346">
        <f>'Unit Data from Audit Worksheet'!I60</f>
        <v>0</v>
      </c>
      <c r="I53" s="38"/>
      <c r="J53" s="41">
        <v>536</v>
      </c>
      <c r="K53" s="344" t="s">
        <v>198</v>
      </c>
      <c r="L53" s="580">
        <f t="shared" si="7"/>
        <v>0</v>
      </c>
      <c r="P53" s="316"/>
      <c r="W53" s="3" t="b">
        <f t="shared" si="6"/>
        <v>1</v>
      </c>
      <c r="X53" s="566">
        <f t="shared" si="1"/>
        <v>0</v>
      </c>
      <c r="Y53" s="566">
        <f t="shared" si="2"/>
        <v>0</v>
      </c>
    </row>
    <row r="54" spans="1:25" ht="56.25" customHeight="1" x14ac:dyDescent="0.3">
      <c r="A54" s="334">
        <f>'Unit Data from Audit Worksheet'!A61</f>
        <v>586</v>
      </c>
      <c r="B54" s="348" t="str">
        <f>'Unit Data from Audit Worksheet'!C61</f>
        <v>General Fund-Balance Sheet</v>
      </c>
      <c r="C54" s="333" t="str">
        <f>'Unit Data from Audit Worksheet'!D61</f>
        <v>Advance To: Interfund loan receivable-portion of repayment plan longer than 12 months</v>
      </c>
      <c r="D54" s="144"/>
      <c r="E54" s="354">
        <f>'Unit Data from Audit Worksheet'!F61</f>
        <v>0</v>
      </c>
      <c r="F54" s="347"/>
      <c r="G54" s="349"/>
      <c r="H54" s="346"/>
      <c r="I54" s="38"/>
      <c r="J54" s="345">
        <v>586</v>
      </c>
      <c r="K54" s="333" t="s">
        <v>348</v>
      </c>
      <c r="L54" s="569">
        <f t="shared" si="7"/>
        <v>0</v>
      </c>
      <c r="P54" s="316"/>
      <c r="W54" s="3" t="b">
        <f t="shared" si="6"/>
        <v>1</v>
      </c>
      <c r="X54" s="566">
        <f t="shared" si="1"/>
        <v>0</v>
      </c>
      <c r="Y54" s="566">
        <f t="shared" si="2"/>
        <v>0</v>
      </c>
    </row>
    <row r="55" spans="1:25" ht="28.8" x14ac:dyDescent="0.3">
      <c r="A55" s="334">
        <f>'Unit Data from Audit Worksheet'!A62</f>
        <v>379</v>
      </c>
      <c r="B55" s="348" t="str">
        <f>'Unit Data from Audit Worksheet'!C62</f>
        <v>General Fund-Balance Sheet</v>
      </c>
      <c r="C55" s="333" t="str">
        <f>'Unit Data from Audit Worksheet'!D62</f>
        <v>Total Assets and deferred outflows</v>
      </c>
      <c r="D55" s="144"/>
      <c r="E55" s="354">
        <f>'Unit Data from Audit Worksheet'!F62</f>
        <v>0</v>
      </c>
      <c r="F55" s="84">
        <f>IF((L52+L53)&gt;L55,"Error: Please review accts (506+536)&gt;379",)</f>
        <v>0</v>
      </c>
      <c r="G55" s="349" t="str">
        <f>IF(Q55=1," Included in error count"," ")</f>
        <v xml:space="preserve"> </v>
      </c>
      <c r="H55" s="346">
        <f>'Unit Data from Audit Worksheet'!I62</f>
        <v>0</v>
      </c>
      <c r="I55" s="38"/>
      <c r="J55" s="345">
        <v>379</v>
      </c>
      <c r="K55" s="344" t="s">
        <v>118</v>
      </c>
      <c r="L55" s="569">
        <f t="shared" si="7"/>
        <v>0</v>
      </c>
      <c r="P55" s="316"/>
      <c r="Q55" s="559">
        <f>IF(L52+L53&gt;L55,1,0)</f>
        <v>0</v>
      </c>
      <c r="W55" s="3" t="b">
        <f t="shared" si="6"/>
        <v>1</v>
      </c>
      <c r="X55" s="566">
        <f t="shared" si="1"/>
        <v>0</v>
      </c>
      <c r="Y55" s="566">
        <f t="shared" si="2"/>
        <v>0</v>
      </c>
    </row>
    <row r="56" spans="1:25" ht="106.5" customHeight="1" x14ac:dyDescent="0.3">
      <c r="A56" s="334">
        <f>'Unit Data from Audit Worksheet'!A63</f>
        <v>368</v>
      </c>
      <c r="B56" s="348" t="str">
        <f>'Unit Data from Audit Worksheet'!C63</f>
        <v>General Fund-Balance Sheet</v>
      </c>
      <c r="C56" s="333" t="str">
        <f>'Unit Data from Audit Worksheet'!D63</f>
        <v>Total Liabilities payable from restricted assets (only complete if this is listed in your financial statements for the general fund and the auditor has listed the cash to be used to pay the liabilities as restricted)</v>
      </c>
      <c r="D56" s="144"/>
      <c r="E56" s="354">
        <f>'Unit Data from Audit Worksheet'!F63</f>
        <v>0</v>
      </c>
      <c r="F56" s="347">
        <f>IF(L56&lt;0,"Error: Enter as a positive.",)</f>
        <v>0</v>
      </c>
      <c r="G56" s="349"/>
      <c r="H56" s="346">
        <f>'Unit Data from Audit Worksheet'!I63</f>
        <v>0</v>
      </c>
      <c r="I56" s="38"/>
      <c r="J56" s="345">
        <v>368</v>
      </c>
      <c r="K56" s="344" t="s">
        <v>199</v>
      </c>
      <c r="L56" s="569">
        <f t="shared" si="7"/>
        <v>0</v>
      </c>
      <c r="P56" s="316"/>
      <c r="W56" s="3" t="b">
        <f t="shared" si="6"/>
        <v>1</v>
      </c>
      <c r="X56" s="566">
        <f t="shared" si="1"/>
        <v>0</v>
      </c>
      <c r="Y56" s="566">
        <f t="shared" si="2"/>
        <v>0</v>
      </c>
    </row>
    <row r="57" spans="1:25" ht="90.75" customHeight="1" x14ac:dyDescent="0.3">
      <c r="A57" s="334">
        <f>'Unit Data from Audit Worksheet'!A64</f>
        <v>4</v>
      </c>
      <c r="B57" s="53" t="str">
        <f>'Unit Data from Audit Worksheet'!C64</f>
        <v>General Fund-Balance Sheet</v>
      </c>
      <c r="C57" s="579" t="str">
        <f>'Unit Data from Audit Worksheet'!D64</f>
        <v>Current Liabilities (as reported on the Balance Sheet)
Exclude all deferred inflows. 
Include advance from(long-term portion of interfund loans)</v>
      </c>
      <c r="D57" s="144"/>
      <c r="E57" s="154">
        <f>'Unit Data from Audit Worksheet'!F64</f>
        <v>0</v>
      </c>
      <c r="F57" s="37">
        <f t="shared" ref="F57:F66" si="8">IF(L57&lt;0,"Error: Enter as a positive.",)</f>
        <v>0</v>
      </c>
      <c r="G57" s="73"/>
      <c r="H57" s="346">
        <f>'Unit Data from Audit Worksheet'!I64</f>
        <v>0</v>
      </c>
      <c r="I57" s="38"/>
      <c r="J57" s="41">
        <v>4</v>
      </c>
      <c r="K57" s="344" t="s">
        <v>119</v>
      </c>
      <c r="L57" s="580">
        <f t="shared" si="7"/>
        <v>0</v>
      </c>
      <c r="P57" s="316"/>
      <c r="W57" s="3" t="b">
        <f t="shared" si="6"/>
        <v>1</v>
      </c>
      <c r="X57" s="566">
        <f t="shared" si="1"/>
        <v>0</v>
      </c>
      <c r="Y57" s="566">
        <f t="shared" si="2"/>
        <v>0</v>
      </c>
    </row>
    <row r="58" spans="1:25" ht="131.25" customHeight="1" x14ac:dyDescent="0.3">
      <c r="A58" s="334">
        <f>'Unit Data from Audit Worksheet'!A65</f>
        <v>5</v>
      </c>
      <c r="B58" s="53" t="str">
        <f>'Unit Data from Audit Worksheet'!C65</f>
        <v>General Fund-Balance Sheet</v>
      </c>
      <c r="C58" s="579" t="str">
        <f>'Unit Data from Audit Worksheet'!D65</f>
        <v>General fund deferred inflows derived from cash receipts. 
 Prepaid taxes is a common item listed.  Deferred inflows on the face of the statements can include cash and non-cash.  You may have to refer to the note disclosure where the cash and non-cash is broken out.</v>
      </c>
      <c r="D58" s="144"/>
      <c r="E58" s="154">
        <f>'Unit Data from Audit Worksheet'!F65</f>
        <v>0</v>
      </c>
      <c r="F58" s="37">
        <f t="shared" si="8"/>
        <v>0</v>
      </c>
      <c r="G58" s="73"/>
      <c r="H58" s="346">
        <f>'Unit Data from Audit Worksheet'!I65</f>
        <v>0</v>
      </c>
      <c r="I58" s="38"/>
      <c r="J58" s="41">
        <v>5</v>
      </c>
      <c r="K58" s="344" t="s">
        <v>120</v>
      </c>
      <c r="L58" s="580">
        <f t="shared" si="7"/>
        <v>0</v>
      </c>
      <c r="P58" s="316"/>
      <c r="W58" s="3" t="b">
        <f t="shared" si="6"/>
        <v>1</v>
      </c>
      <c r="X58" s="566">
        <f t="shared" si="1"/>
        <v>0</v>
      </c>
      <c r="Y58" s="566">
        <f t="shared" si="2"/>
        <v>0</v>
      </c>
    </row>
    <row r="59" spans="1:25" ht="104.25" customHeight="1" x14ac:dyDescent="0.3">
      <c r="A59" s="334">
        <f>'Unit Data from Audit Worksheet'!A66</f>
        <v>380</v>
      </c>
      <c r="B59" s="348" t="str">
        <f>'Unit Data from Audit Worksheet'!C66</f>
        <v>General Fund-Balance Sheet</v>
      </c>
      <c r="C59" s="333" t="str">
        <f>'Unit Data from Audit Worksheet'!D66</f>
        <v>Total Deferred inflows not derived from cash receipts.  Deferred inflows on the face of the statements can include cash and non-cash.  You may have to refer to the note disclosure where the cash and non-cash is broken out.</v>
      </c>
      <c r="D59" s="144"/>
      <c r="E59" s="354">
        <f>'Unit Data from Audit Worksheet'!F66</f>
        <v>0</v>
      </c>
      <c r="F59" s="347">
        <f t="shared" si="8"/>
        <v>0</v>
      </c>
      <c r="G59" s="349"/>
      <c r="H59" s="346">
        <f>'Unit Data from Audit Worksheet'!I66</f>
        <v>0</v>
      </c>
      <c r="I59" s="38"/>
      <c r="J59" s="345">
        <v>380</v>
      </c>
      <c r="K59" s="344" t="s">
        <v>121</v>
      </c>
      <c r="L59" s="569">
        <f t="shared" si="7"/>
        <v>0</v>
      </c>
      <c r="P59" s="316"/>
      <c r="W59" s="3" t="b">
        <f t="shared" si="6"/>
        <v>1</v>
      </c>
      <c r="X59" s="566">
        <f t="shared" si="1"/>
        <v>0</v>
      </c>
      <c r="Y59" s="566">
        <f t="shared" si="2"/>
        <v>0</v>
      </c>
    </row>
    <row r="60" spans="1:25" ht="41.25" customHeight="1" x14ac:dyDescent="0.3">
      <c r="A60" s="334">
        <f>'Unit Data from Audit Worksheet'!A67</f>
        <v>391</v>
      </c>
      <c r="B60" s="348" t="str">
        <f>'Unit Data from Audit Worksheet'!C67</f>
        <v>General Fund-Balance Sheet</v>
      </c>
      <c r="C60" s="333" t="str">
        <f>'Unit Data from Audit Worksheet'!D67</f>
        <v xml:space="preserve">Fund balance, Restricted for Stabilization by State Statute </v>
      </c>
      <c r="D60" s="144"/>
      <c r="E60" s="354">
        <f>'Unit Data from Audit Worksheet'!F67</f>
        <v>0</v>
      </c>
      <c r="F60" s="347">
        <f t="shared" si="8"/>
        <v>0</v>
      </c>
      <c r="G60" s="349"/>
      <c r="H60" s="346">
        <f>'Unit Data from Audit Worksheet'!I67</f>
        <v>0</v>
      </c>
      <c r="I60" s="38"/>
      <c r="J60" s="345">
        <v>391</v>
      </c>
      <c r="K60" s="344" t="s">
        <v>200</v>
      </c>
      <c r="L60" s="569">
        <f t="shared" si="7"/>
        <v>0</v>
      </c>
      <c r="P60" s="316"/>
      <c r="W60" s="3" t="b">
        <f t="shared" si="6"/>
        <v>1</v>
      </c>
      <c r="X60" s="566">
        <f t="shared" si="1"/>
        <v>0</v>
      </c>
      <c r="Y60" s="566">
        <f t="shared" si="2"/>
        <v>0</v>
      </c>
    </row>
    <row r="61" spans="1:25" ht="28.8" x14ac:dyDescent="0.3">
      <c r="A61" s="334">
        <f>'Unit Data from Audit Worksheet'!A68</f>
        <v>7</v>
      </c>
      <c r="B61" s="53" t="str">
        <f>'Unit Data from Audit Worksheet'!C68</f>
        <v>General Fund-Balance Sheet</v>
      </c>
      <c r="C61" s="579" t="str">
        <f>'Unit Data from Audit Worksheet'!D68</f>
        <v>Fund balance, Nonspendable-  inventory/prepaids/etc.</v>
      </c>
      <c r="D61" s="144"/>
      <c r="E61" s="154">
        <f>'Unit Data from Audit Worksheet'!F68</f>
        <v>0</v>
      </c>
      <c r="F61" s="37">
        <f t="shared" si="8"/>
        <v>0</v>
      </c>
      <c r="G61" s="73"/>
      <c r="H61" s="346">
        <f>'Unit Data from Audit Worksheet'!I68</f>
        <v>0</v>
      </c>
      <c r="I61" s="38"/>
      <c r="J61" s="41">
        <v>7</v>
      </c>
      <c r="K61" s="344" t="s">
        <v>201</v>
      </c>
      <c r="L61" s="580">
        <f t="shared" si="7"/>
        <v>0</v>
      </c>
      <c r="P61" s="316"/>
      <c r="W61" s="3" t="b">
        <f t="shared" si="6"/>
        <v>1</v>
      </c>
      <c r="X61" s="566">
        <f t="shared" si="1"/>
        <v>0</v>
      </c>
      <c r="Y61" s="566">
        <f t="shared" si="2"/>
        <v>0</v>
      </c>
    </row>
    <row r="62" spans="1:25" ht="89.25" customHeight="1" x14ac:dyDescent="0.3">
      <c r="A62" s="581">
        <f>'Unit Data from Audit Worksheet'!A69</f>
        <v>11</v>
      </c>
      <c r="B62" s="117" t="str">
        <f>'Unit Data from Audit Worksheet'!C69</f>
        <v>General Fund-Balance Sheet</v>
      </c>
      <c r="C62" s="571" t="str">
        <f>'Unit Data from Audit Worksheet'!D69</f>
        <v>Fund balance, Restricted for Streets (unspent Powell Bill balance).  You may have to refer to the note disclosure where restricted fund balance is described.</v>
      </c>
      <c r="D62" s="110"/>
      <c r="E62" s="155">
        <f>'Unit Data from Audit Worksheet'!F69</f>
        <v>0</v>
      </c>
      <c r="F62" s="111">
        <f t="shared" si="8"/>
        <v>0</v>
      </c>
      <c r="G62" s="112"/>
      <c r="H62" s="113">
        <f>'Unit Data from Audit Worksheet'!I69</f>
        <v>0</v>
      </c>
      <c r="I62" s="38"/>
      <c r="J62" s="105">
        <v>11</v>
      </c>
      <c r="K62" s="44" t="s">
        <v>202</v>
      </c>
      <c r="L62" s="569">
        <f t="shared" si="7"/>
        <v>0</v>
      </c>
      <c r="P62" s="317"/>
      <c r="W62" s="3" t="b">
        <f t="shared" si="6"/>
        <v>1</v>
      </c>
      <c r="X62" s="566">
        <f t="shared" si="1"/>
        <v>0</v>
      </c>
      <c r="Y62" s="566">
        <f t="shared" si="2"/>
        <v>0</v>
      </c>
    </row>
    <row r="63" spans="1:25" s="18" customFormat="1" ht="48.75" customHeight="1" x14ac:dyDescent="0.3">
      <c r="A63" s="306">
        <f>'Unit Data from Audit Worksheet'!A70</f>
        <v>645</v>
      </c>
      <c r="B63" s="361" t="str">
        <f>'Unit Data from Audit Worksheet'!C70</f>
        <v>General Fund-Balance Sheet</v>
      </c>
      <c r="C63" s="306" t="str">
        <f>'Unit Data from Audit Worksheet'!D70</f>
        <v>Fund balance, Assigned (total of all assigned components)</v>
      </c>
      <c r="D63" s="116"/>
      <c r="E63" s="360">
        <f>'Unit Data from Audit Worksheet'!F70</f>
        <v>0</v>
      </c>
      <c r="F63" s="342">
        <f>IF(L63&lt;0,"Error: Enter as a positive.",)</f>
        <v>0</v>
      </c>
      <c r="G63" s="327"/>
      <c r="H63" s="342">
        <f>'Unit Data from Audit Worksheet'!I70</f>
        <v>0</v>
      </c>
      <c r="I63" s="582"/>
      <c r="J63" s="341">
        <v>645</v>
      </c>
      <c r="K63" s="306" t="s">
        <v>469</v>
      </c>
      <c r="L63" s="583">
        <f t="shared" si="7"/>
        <v>0</v>
      </c>
      <c r="M63" s="573"/>
      <c r="N63" s="573"/>
      <c r="O63" s="573"/>
      <c r="P63" s="318"/>
      <c r="Q63" s="574"/>
      <c r="R63" s="3"/>
      <c r="S63" s="573"/>
      <c r="T63" s="573"/>
      <c r="U63" s="573"/>
      <c r="V63" s="573"/>
      <c r="W63" s="18" t="b">
        <f t="shared" si="6"/>
        <v>1</v>
      </c>
      <c r="X63" s="575">
        <f t="shared" si="1"/>
        <v>0</v>
      </c>
      <c r="Y63" s="575">
        <f t="shared" si="2"/>
        <v>0</v>
      </c>
    </row>
    <row r="64" spans="1:25" s="18" customFormat="1" ht="45.75" customHeight="1" x14ac:dyDescent="0.3">
      <c r="A64" s="306">
        <f>'Unit Data from Audit Worksheet'!A71</f>
        <v>646</v>
      </c>
      <c r="B64" s="361" t="str">
        <f>'Unit Data from Audit Worksheet'!C71</f>
        <v>General Fund-Balance Sheet</v>
      </c>
      <c r="C64" s="306" t="str">
        <f>'Unit Data from Audit Worksheet'!D71</f>
        <v>Fund Balance, Unassigned</v>
      </c>
      <c r="D64" s="116"/>
      <c r="E64" s="360">
        <f>'Unit Data from Audit Worksheet'!F71</f>
        <v>0</v>
      </c>
      <c r="F64" s="342">
        <f>IF(L64&lt;0,"Error: Enter as a positive.",)</f>
        <v>0</v>
      </c>
      <c r="G64" s="327"/>
      <c r="H64" s="342">
        <f>'Unit Data from Audit Worksheet'!I71</f>
        <v>0</v>
      </c>
      <c r="I64" s="582"/>
      <c r="J64" s="341">
        <v>646</v>
      </c>
      <c r="K64" s="306" t="s">
        <v>470</v>
      </c>
      <c r="L64" s="583">
        <f t="shared" si="7"/>
        <v>0</v>
      </c>
      <c r="M64" s="573"/>
      <c r="N64" s="573"/>
      <c r="O64" s="573"/>
      <c r="P64" s="318"/>
      <c r="Q64" s="574"/>
      <c r="R64" s="3"/>
      <c r="S64" s="573"/>
      <c r="T64" s="573"/>
      <c r="U64" s="573"/>
      <c r="V64" s="573"/>
      <c r="W64" s="18" t="b">
        <f t="shared" si="6"/>
        <v>1</v>
      </c>
      <c r="X64" s="575">
        <f t="shared" si="1"/>
        <v>0</v>
      </c>
      <c r="Y64" s="575">
        <f t="shared" si="2"/>
        <v>0</v>
      </c>
    </row>
    <row r="65" spans="1:27" ht="55.5" customHeight="1" x14ac:dyDescent="0.3">
      <c r="A65" s="567">
        <f>'Unit Data from Audit Worksheet'!A72</f>
        <v>9</v>
      </c>
      <c r="B65" s="118" t="str">
        <f>'Unit Data from Audit Worksheet'!C72</f>
        <v>General Fund-Balance Sheet</v>
      </c>
      <c r="C65" s="584" t="str">
        <f>'Unit Data from Audit Worksheet'!D72</f>
        <v>Total Fund balance (enter fund deficits as negative)</v>
      </c>
      <c r="D65" s="144"/>
      <c r="E65" s="153">
        <f>'Unit Data from Audit Worksheet'!F72</f>
        <v>0</v>
      </c>
      <c r="F65" s="119">
        <f>IF(L55-L57-L58-L59-L65=0,,"Error: Total assets less total liabilities do not equal Acct +379-4-5-380-9=0")</f>
        <v>0</v>
      </c>
      <c r="G65" s="120">
        <f>L55-L57-L58-L59-L65</f>
        <v>0</v>
      </c>
      <c r="H65" s="346">
        <f>'Unit Data from Audit Worksheet'!I72</f>
        <v>0</v>
      </c>
      <c r="I65" s="38"/>
      <c r="J65" s="121">
        <v>9</v>
      </c>
      <c r="K65" s="51" t="s">
        <v>203</v>
      </c>
      <c r="L65" s="580">
        <f t="shared" si="7"/>
        <v>0</v>
      </c>
      <c r="O65" s="577" t="e">
        <f>'Unit Data from Audit Worksheet'!E72</f>
        <v>#N/A</v>
      </c>
      <c r="P65" s="315"/>
      <c r="Q65" s="559">
        <f>IF(G65&lt;&gt;0,1,0)</f>
        <v>0</v>
      </c>
      <c r="W65" s="3" t="b">
        <f t="shared" si="6"/>
        <v>1</v>
      </c>
      <c r="X65" s="566">
        <f t="shared" si="1"/>
        <v>0</v>
      </c>
      <c r="Y65" s="566">
        <f t="shared" si="2"/>
        <v>0</v>
      </c>
    </row>
    <row r="66" spans="1:27" s="18" customFormat="1" ht="73.5" customHeight="1" x14ac:dyDescent="0.3">
      <c r="A66" s="334">
        <f>'Unit Data from Audit Worksheet'!A73</f>
        <v>540</v>
      </c>
      <c r="B66" s="348" t="str">
        <f>'Unit Data from Audit Worksheet'!C73</f>
        <v>General Fund - Budget Actual Statement</v>
      </c>
      <c r="C66" s="333" t="str">
        <f>'Unit Data from Audit Worksheet'!D73</f>
        <v>Amount of the General Fund Balance appropriated in next year's budget. As reported on the General Fund Balance Sheet.</v>
      </c>
      <c r="D66" s="144"/>
      <c r="E66" s="354">
        <f>'Unit Data from Audit Worksheet'!F73</f>
        <v>0</v>
      </c>
      <c r="F66" s="347">
        <f t="shared" si="8"/>
        <v>0</v>
      </c>
      <c r="G66" s="349"/>
      <c r="H66" s="346">
        <f>'Unit Data from Audit Worksheet'!I73</f>
        <v>0</v>
      </c>
      <c r="I66" s="38"/>
      <c r="J66" s="345">
        <v>540</v>
      </c>
      <c r="K66" s="344" t="s">
        <v>262</v>
      </c>
      <c r="L66" s="569">
        <f t="shared" ref="L66:L123" si="9">IF(D66="",E66,D66)</f>
        <v>0</v>
      </c>
      <c r="P66" s="316"/>
      <c r="Q66" s="559"/>
      <c r="R66" s="3"/>
      <c r="W66" s="3" t="b">
        <f t="shared" si="6"/>
        <v>1</v>
      </c>
      <c r="X66" s="566">
        <f t="shared" si="1"/>
        <v>0</v>
      </c>
      <c r="Y66" s="566">
        <f t="shared" si="2"/>
        <v>0</v>
      </c>
      <c r="AA66" s="3"/>
    </row>
    <row r="67" spans="1:27" s="18" customFormat="1" ht="73.5" customHeight="1" x14ac:dyDescent="0.3">
      <c r="A67" s="585">
        <f>'Unit Data from Audit Worksheet'!A75</f>
        <v>984</v>
      </c>
      <c r="B67" s="352" t="str">
        <f>'Unit Data from Audit Worksheet'!C75</f>
        <v>General Fund - Budget Actual Statement</v>
      </c>
      <c r="C67" s="586" t="str">
        <f>'Unit Data from Audit Worksheet'!D75</f>
        <v>Amount of Ad valorem tax collected (including motor vehicle and prior years) reported on budget actual statement</v>
      </c>
      <c r="D67" s="144"/>
      <c r="E67" s="355">
        <f>'Unit Data from Audit Worksheet'!F75</f>
        <v>0</v>
      </c>
      <c r="F67" s="347"/>
      <c r="G67" s="349"/>
      <c r="H67" s="346"/>
      <c r="I67" s="38"/>
      <c r="J67" s="363">
        <v>984</v>
      </c>
      <c r="K67" s="126" t="s">
        <v>824</v>
      </c>
      <c r="L67" s="587">
        <f t="shared" si="9"/>
        <v>0</v>
      </c>
      <c r="P67" s="316"/>
      <c r="Q67" s="559"/>
      <c r="R67" s="3"/>
      <c r="W67" s="3"/>
      <c r="X67" s="566"/>
      <c r="Y67" s="566"/>
      <c r="AA67" s="3"/>
    </row>
    <row r="68" spans="1:27" s="18" customFormat="1" ht="73.5" customHeight="1" x14ac:dyDescent="0.3">
      <c r="A68" s="585">
        <f>'Unit Data from Audit Worksheet'!A76</f>
        <v>985</v>
      </c>
      <c r="B68" s="352" t="str">
        <f>'Unit Data from Audit Worksheet'!C76</f>
        <v>General Fund - Budget Actual Statement</v>
      </c>
      <c r="C68" s="586" t="str">
        <f>'Unit Data from Audit Worksheet'!D76</f>
        <v>Amount of Ad valorem tax budgeted (including motor vehicle and prior years) reported on budget actual statement</v>
      </c>
      <c r="D68" s="144"/>
      <c r="E68" s="355">
        <f>'Unit Data from Audit Worksheet'!F76</f>
        <v>0</v>
      </c>
      <c r="F68" s="347"/>
      <c r="G68" s="349"/>
      <c r="H68" s="346"/>
      <c r="I68" s="38"/>
      <c r="J68" s="363">
        <v>985</v>
      </c>
      <c r="K68" s="126" t="s">
        <v>825</v>
      </c>
      <c r="L68" s="587">
        <f t="shared" si="9"/>
        <v>0</v>
      </c>
      <c r="P68" s="316"/>
      <c r="Q68" s="559"/>
      <c r="R68" s="3"/>
      <c r="W68" s="3"/>
      <c r="X68" s="566"/>
      <c r="Y68" s="566"/>
      <c r="AA68" s="3"/>
    </row>
    <row r="69" spans="1:27" ht="73.5" customHeight="1" x14ac:dyDescent="0.3">
      <c r="A69" s="334">
        <f>'Unit Data from Audit Worksheet'!A77</f>
        <v>369</v>
      </c>
      <c r="B69" s="348" t="str">
        <f>'Unit Data from Audit Worksheet'!C77</f>
        <v>General Fund-Rev, Exp. Change in Fund Balance</v>
      </c>
      <c r="C69" s="333" t="str">
        <f>'Unit Data from Audit Worksheet'!D77</f>
        <v>Total Intergovernmental revenue 
Include restricted and unrestricted revenues</v>
      </c>
      <c r="D69" s="144"/>
      <c r="E69" s="354">
        <f>'Unit Data from Audit Worksheet'!F77</f>
        <v>0</v>
      </c>
      <c r="F69" s="347"/>
      <c r="G69" s="349"/>
      <c r="H69" s="346">
        <f>'Unit Data from Audit Worksheet'!I77</f>
        <v>0</v>
      </c>
      <c r="I69" s="38"/>
      <c r="J69" s="345">
        <v>369</v>
      </c>
      <c r="K69" s="344" t="s">
        <v>204</v>
      </c>
      <c r="L69" s="569">
        <f t="shared" si="9"/>
        <v>0</v>
      </c>
      <c r="P69" s="316"/>
      <c r="W69" s="3" t="b">
        <f t="shared" ref="W69:W132" si="10">EXACT(A69,J69)</f>
        <v>1</v>
      </c>
      <c r="X69" s="566">
        <f t="shared" si="1"/>
        <v>0</v>
      </c>
      <c r="Y69" s="566">
        <f t="shared" si="2"/>
        <v>0</v>
      </c>
    </row>
    <row r="70" spans="1:27" ht="73.5" customHeight="1" x14ac:dyDescent="0.3">
      <c r="A70" s="334">
        <f>'Unit Data from Audit Worksheet'!A78</f>
        <v>16</v>
      </c>
      <c r="B70" s="348" t="str">
        <f>'Unit Data from Audit Worksheet'!C78</f>
        <v>General Fund-Rev, Exp. Change in Fund Balance</v>
      </c>
      <c r="C70" s="333" t="str">
        <f>'Unit Data from Audit Worksheet'!D78</f>
        <v>Total revenues</v>
      </c>
      <c r="D70" s="144"/>
      <c r="E70" s="354">
        <f>'Unit Data from Audit Worksheet'!F78</f>
        <v>0</v>
      </c>
      <c r="F70" s="347"/>
      <c r="G70" s="349"/>
      <c r="H70" s="346">
        <f>'Unit Data from Audit Worksheet'!I78</f>
        <v>0</v>
      </c>
      <c r="I70" s="38"/>
      <c r="J70" s="345">
        <v>16</v>
      </c>
      <c r="K70" s="344" t="s">
        <v>205</v>
      </c>
      <c r="L70" s="569">
        <f t="shared" si="9"/>
        <v>0</v>
      </c>
      <c r="P70" s="316"/>
      <c r="W70" s="3" t="b">
        <f t="shared" si="10"/>
        <v>1</v>
      </c>
      <c r="X70" s="566">
        <f t="shared" si="1"/>
        <v>0</v>
      </c>
      <c r="Y70" s="566">
        <f t="shared" si="2"/>
        <v>0</v>
      </c>
    </row>
    <row r="71" spans="1:27" ht="73.5" customHeight="1" x14ac:dyDescent="0.3">
      <c r="A71" s="334">
        <f>'Unit Data from Audit Worksheet'!A79</f>
        <v>370</v>
      </c>
      <c r="B71" s="348" t="str">
        <f>'Unit Data from Audit Worksheet'!C79</f>
        <v>General Fund-Rev, Exp. Change in Fund Balance</v>
      </c>
      <c r="C71" s="333" t="str">
        <f>'Unit Data from Audit Worksheet'!D79</f>
        <v>Debt service expenditures. 
Include principal, interest paid, and bond/debt issuance costs on long-term debt</v>
      </c>
      <c r="D71" s="144"/>
      <c r="E71" s="354">
        <f>'Unit Data from Audit Worksheet'!F79</f>
        <v>0</v>
      </c>
      <c r="F71" s="347">
        <f t="shared" ref="F71:F77" si="11">IF(L71&lt;0,"Error: Enter as a positive.",)</f>
        <v>0</v>
      </c>
      <c r="G71" s="349"/>
      <c r="H71" s="346">
        <f>'Unit Data from Audit Worksheet'!I79</f>
        <v>0</v>
      </c>
      <c r="I71" s="38"/>
      <c r="J71" s="345">
        <v>370</v>
      </c>
      <c r="K71" s="344" t="s">
        <v>206</v>
      </c>
      <c r="L71" s="569">
        <f t="shared" si="9"/>
        <v>0</v>
      </c>
      <c r="P71" s="316"/>
      <c r="W71" s="3" t="b">
        <f t="shared" si="10"/>
        <v>1</v>
      </c>
      <c r="X71" s="566">
        <f t="shared" si="1"/>
        <v>0</v>
      </c>
      <c r="Y71" s="566">
        <f t="shared" si="2"/>
        <v>0</v>
      </c>
    </row>
    <row r="72" spans="1:27" ht="73.5" customHeight="1" x14ac:dyDescent="0.3">
      <c r="A72" s="334">
        <f>'Unit Data from Audit Worksheet'!A80</f>
        <v>532</v>
      </c>
      <c r="B72" s="348" t="str">
        <f>'Unit Data from Audit Worksheet'!C80</f>
        <v>General Fund-Rev, Exp. Change in Fund Balance</v>
      </c>
      <c r="C72" s="333" t="str">
        <f>'Unit Data from Audit Worksheet'!D80</f>
        <v xml:space="preserve">Total expenditures  
Exclude expenditures in the "other financing sources (uses)" section.
</v>
      </c>
      <c r="D72" s="144"/>
      <c r="E72" s="354">
        <f>'Unit Data from Audit Worksheet'!F80</f>
        <v>0</v>
      </c>
      <c r="F72" s="347">
        <f t="shared" si="11"/>
        <v>0</v>
      </c>
      <c r="G72" s="349"/>
      <c r="H72" s="346">
        <f>'Unit Data from Audit Worksheet'!I80</f>
        <v>0</v>
      </c>
      <c r="I72" s="38"/>
      <c r="J72" s="345">
        <v>532</v>
      </c>
      <c r="K72" s="588" t="s">
        <v>207</v>
      </c>
      <c r="L72" s="569">
        <f t="shared" si="9"/>
        <v>0</v>
      </c>
      <c r="P72" s="316"/>
      <c r="W72" s="3" t="b">
        <f t="shared" si="10"/>
        <v>1</v>
      </c>
      <c r="X72" s="566">
        <f t="shared" si="1"/>
        <v>0</v>
      </c>
      <c r="Y72" s="566">
        <f t="shared" si="2"/>
        <v>0</v>
      </c>
    </row>
    <row r="73" spans="1:27" ht="73.5" customHeight="1" x14ac:dyDescent="0.3">
      <c r="A73" s="334">
        <f>'Unit Data from Audit Worksheet'!A81</f>
        <v>17</v>
      </c>
      <c r="B73" s="348" t="str">
        <f>'Unit Data from Audit Worksheet'!C81</f>
        <v>General Fund-Rev, Exp. Change in Fund Balance</v>
      </c>
      <c r="C73" s="333" t="str">
        <f>'Unit Data from Audit Worksheet'!D81</f>
        <v>Total Transfers in    (Preference is that transfers-in  are not netted against transfers-out)</v>
      </c>
      <c r="D73" s="144"/>
      <c r="E73" s="354">
        <f>'Unit Data from Audit Worksheet'!F81</f>
        <v>0</v>
      </c>
      <c r="F73" s="347">
        <f t="shared" si="11"/>
        <v>0</v>
      </c>
      <c r="G73" s="349"/>
      <c r="H73" s="346">
        <f>'Unit Data from Audit Worksheet'!I81</f>
        <v>0</v>
      </c>
      <c r="I73" s="38"/>
      <c r="J73" s="345">
        <v>17</v>
      </c>
      <c r="K73" s="344" t="s">
        <v>208</v>
      </c>
      <c r="L73" s="569">
        <f t="shared" si="9"/>
        <v>0</v>
      </c>
      <c r="P73" s="316"/>
      <c r="W73" s="3" t="b">
        <f t="shared" si="10"/>
        <v>1</v>
      </c>
      <c r="X73" s="566">
        <f t="shared" si="1"/>
        <v>0</v>
      </c>
      <c r="Y73" s="566">
        <f t="shared" si="2"/>
        <v>0</v>
      </c>
    </row>
    <row r="74" spans="1:27" ht="54.75" customHeight="1" x14ac:dyDescent="0.3">
      <c r="A74" s="334">
        <f>'Unit Data from Audit Worksheet'!A82</f>
        <v>20</v>
      </c>
      <c r="B74" s="348" t="str">
        <f>'Unit Data from Audit Worksheet'!C82</f>
        <v>General Fund-Rev, Exp. Change in Fund Balance</v>
      </c>
      <c r="C74" s="333" t="str">
        <f>'Unit Data from Audit Worksheet'!D82</f>
        <v>Total Transfers out    (Preference is that transfers-in  are not netted against transfers-out)</v>
      </c>
      <c r="D74" s="144"/>
      <c r="E74" s="354">
        <f>'Unit Data from Audit Worksheet'!F82</f>
        <v>0</v>
      </c>
      <c r="F74" s="347">
        <f t="shared" si="11"/>
        <v>0</v>
      </c>
      <c r="G74" s="349"/>
      <c r="H74" s="346">
        <f>'Unit Data from Audit Worksheet'!I82</f>
        <v>0</v>
      </c>
      <c r="I74" s="38"/>
      <c r="J74" s="345">
        <v>20</v>
      </c>
      <c r="K74" s="344" t="s">
        <v>209</v>
      </c>
      <c r="L74" s="569">
        <f t="shared" si="9"/>
        <v>0</v>
      </c>
      <c r="P74" s="316"/>
      <c r="W74" s="3" t="b">
        <f t="shared" si="10"/>
        <v>1</v>
      </c>
      <c r="X74" s="566">
        <f t="shared" si="1"/>
        <v>0</v>
      </c>
      <c r="Y74" s="566">
        <f t="shared" si="2"/>
        <v>0</v>
      </c>
    </row>
    <row r="75" spans="1:27" ht="54.75" customHeight="1" x14ac:dyDescent="0.3">
      <c r="A75" s="334">
        <f>'Unit Data from Audit Worksheet'!A83</f>
        <v>533</v>
      </c>
      <c r="B75" s="348" t="str">
        <f>'Unit Data from Audit Worksheet'!C83</f>
        <v>General Fund-Rev, Exp. Change in Fund Balance</v>
      </c>
      <c r="C75" s="333" t="str">
        <f>'Unit Data from Audit Worksheet'!D83</f>
        <v>Total Proceeds from all long-term debt issuances 
Exclude proceeds from refundings</v>
      </c>
      <c r="D75" s="144"/>
      <c r="E75" s="354">
        <f>'Unit Data from Audit Worksheet'!F83</f>
        <v>0</v>
      </c>
      <c r="F75" s="347">
        <f t="shared" si="11"/>
        <v>0</v>
      </c>
      <c r="G75" s="349"/>
      <c r="H75" s="346">
        <f>'Unit Data from Audit Worksheet'!I83</f>
        <v>0</v>
      </c>
      <c r="I75" s="38"/>
      <c r="J75" s="345">
        <v>533</v>
      </c>
      <c r="K75" s="588" t="s">
        <v>210</v>
      </c>
      <c r="L75" s="569">
        <f t="shared" si="9"/>
        <v>0</v>
      </c>
      <c r="P75" s="316"/>
      <c r="W75" s="3" t="b">
        <f t="shared" si="10"/>
        <v>1</v>
      </c>
      <c r="X75" s="566">
        <f t="shared" si="1"/>
        <v>0</v>
      </c>
      <c r="Y75" s="566">
        <f t="shared" si="2"/>
        <v>0</v>
      </c>
    </row>
    <row r="76" spans="1:27" ht="54.75" customHeight="1" x14ac:dyDescent="0.3">
      <c r="A76" s="334">
        <f>'Unit Data from Audit Worksheet'!A84</f>
        <v>508</v>
      </c>
      <c r="B76" s="348" t="str">
        <f>'Unit Data from Audit Worksheet'!C84</f>
        <v>General Fund-Rev, Exp. Change in Fund Balance</v>
      </c>
      <c r="C76" s="333" t="str">
        <f>'Unit Data from Audit Worksheet'!D84</f>
        <v>Debt Refunding - Net refunding proceeds against debt payoff and if positive place results on this line.</v>
      </c>
      <c r="D76" s="144"/>
      <c r="E76" s="354">
        <f>'Unit Data from Audit Worksheet'!F84</f>
        <v>0</v>
      </c>
      <c r="F76" s="347">
        <f t="shared" si="11"/>
        <v>0</v>
      </c>
      <c r="G76" s="349"/>
      <c r="H76" s="346">
        <f>'Unit Data from Audit Worksheet'!I84</f>
        <v>0</v>
      </c>
      <c r="I76" s="38"/>
      <c r="J76" s="345">
        <v>508</v>
      </c>
      <c r="K76" s="344" t="s">
        <v>212</v>
      </c>
      <c r="L76" s="569">
        <f t="shared" si="9"/>
        <v>0</v>
      </c>
      <c r="P76" s="316"/>
      <c r="W76" s="3" t="b">
        <f t="shared" si="10"/>
        <v>1</v>
      </c>
      <c r="X76" s="566">
        <f t="shared" si="1"/>
        <v>0</v>
      </c>
      <c r="Y76" s="566">
        <f t="shared" si="2"/>
        <v>0</v>
      </c>
    </row>
    <row r="77" spans="1:27" ht="54.75" customHeight="1" x14ac:dyDescent="0.3">
      <c r="A77" s="334">
        <f>'Unit Data from Audit Worksheet'!A85</f>
        <v>509</v>
      </c>
      <c r="B77" s="348" t="str">
        <f>'Unit Data from Audit Worksheet'!C85</f>
        <v>General Fund-Rev, Exp. Change in Fund Balance</v>
      </c>
      <c r="C77" s="333" t="str">
        <f>'Unit Data from Audit Worksheet'!D85</f>
        <v>Debt Refunding - Net refunding proceeds against debt payoff and if negative place results on this line.</v>
      </c>
      <c r="D77" s="144"/>
      <c r="E77" s="354">
        <f>'Unit Data from Audit Worksheet'!F85</f>
        <v>0</v>
      </c>
      <c r="F77" s="347">
        <f t="shared" si="11"/>
        <v>0</v>
      </c>
      <c r="G77" s="349"/>
      <c r="H77" s="346">
        <f>'Unit Data from Audit Worksheet'!I85</f>
        <v>0</v>
      </c>
      <c r="I77" s="38"/>
      <c r="J77" s="345">
        <v>509</v>
      </c>
      <c r="K77" s="344" t="s">
        <v>213</v>
      </c>
      <c r="L77" s="569">
        <f t="shared" si="9"/>
        <v>0</v>
      </c>
      <c r="P77" s="316"/>
      <c r="W77" s="3" t="b">
        <f t="shared" si="10"/>
        <v>1</v>
      </c>
      <c r="X77" s="566">
        <f t="shared" si="1"/>
        <v>0</v>
      </c>
      <c r="Y77" s="566">
        <f t="shared" si="2"/>
        <v>0</v>
      </c>
    </row>
    <row r="78" spans="1:27" ht="84.75" customHeight="1" x14ac:dyDescent="0.3">
      <c r="A78" s="334">
        <f>'Unit Data from Audit Worksheet'!A86</f>
        <v>22</v>
      </c>
      <c r="B78" s="348" t="str">
        <f>'Unit Data from Audit Worksheet'!C86</f>
        <v>General Fund-Rev, Exp. Change in Fund Balance</v>
      </c>
      <c r="C78" s="333" t="str">
        <f>'Unit Data from Audit Worksheet'!D86</f>
        <v xml:space="preserve">All other items on this statement that were not included in total revenues, total expenditures, transfers in or out, or proceeds from long-term debt above.  </v>
      </c>
      <c r="D78" s="144"/>
      <c r="E78" s="354">
        <f>'Unit Data from Audit Worksheet'!F86</f>
        <v>0</v>
      </c>
      <c r="F78" s="347"/>
      <c r="G78" s="349"/>
      <c r="H78" s="346">
        <f>'Unit Data from Audit Worksheet'!I86</f>
        <v>0</v>
      </c>
      <c r="I78" s="38"/>
      <c r="J78" s="345">
        <v>22</v>
      </c>
      <c r="K78" s="344" t="s">
        <v>211</v>
      </c>
      <c r="L78" s="569">
        <f t="shared" si="9"/>
        <v>0</v>
      </c>
      <c r="P78" s="316"/>
      <c r="W78" s="3" t="b">
        <f t="shared" si="10"/>
        <v>1</v>
      </c>
      <c r="X78" s="566">
        <f t="shared" si="1"/>
        <v>0</v>
      </c>
      <c r="Y78" s="566">
        <f t="shared" si="2"/>
        <v>0</v>
      </c>
    </row>
    <row r="79" spans="1:27" ht="74.25" customHeight="1" x14ac:dyDescent="0.3">
      <c r="A79" s="334">
        <f>'Unit Data from Audit Worksheet'!A87</f>
        <v>23</v>
      </c>
      <c r="B79" s="348" t="str">
        <f>'Unit Data from Audit Worksheet'!C87</f>
        <v>General Fund-Rev, Exp. Change in Fund Balance</v>
      </c>
      <c r="C79" s="333" t="str">
        <f>'Unit Data from Audit Worksheet'!D87</f>
        <v>Change in fund balance - (Increase in Fund balance is recorded as a positive and a decrease in fund balance is recorded as a negative)</v>
      </c>
      <c r="D79" s="144"/>
      <c r="E79" s="354">
        <f>'Unit Data from Audit Worksheet'!F87</f>
        <v>0</v>
      </c>
      <c r="F79" s="347">
        <f>IF(+L70-L72+L73-L74+L75+L76-L77+L78-L79=0,,"Error:Total revenues less toal Expenditures do not equal change in fund balance")</f>
        <v>0</v>
      </c>
      <c r="G79" s="91">
        <f>+L70-L72+L73-L74+L75+L78+L76-L77-L79</f>
        <v>0</v>
      </c>
      <c r="H79" s="346">
        <f>'Unit Data from Audit Worksheet'!I87</f>
        <v>0</v>
      </c>
      <c r="I79" s="38"/>
      <c r="J79" s="345">
        <v>23</v>
      </c>
      <c r="K79" s="344" t="s">
        <v>214</v>
      </c>
      <c r="L79" s="569">
        <f t="shared" si="9"/>
        <v>0</v>
      </c>
      <c r="P79" s="316"/>
      <c r="Q79" s="559">
        <f>IF(G79&lt;&gt;0,1,0)</f>
        <v>0</v>
      </c>
      <c r="W79" s="3" t="b">
        <f t="shared" si="10"/>
        <v>1</v>
      </c>
      <c r="X79" s="566">
        <f t="shared" si="1"/>
        <v>0</v>
      </c>
      <c r="Y79" s="566">
        <f t="shared" si="2"/>
        <v>0</v>
      </c>
    </row>
    <row r="80" spans="1:27" ht="123" customHeight="1" x14ac:dyDescent="0.3">
      <c r="A80" s="581">
        <f>'Unit Data from Audit Worksheet'!A89</f>
        <v>507</v>
      </c>
      <c r="B80" s="117" t="str">
        <f>'Unit Data from Audit Worksheet'!C89</f>
        <v>General Fund-Rev, Exp. Change in Fund Balance</v>
      </c>
      <c r="C80" s="326" t="str">
        <f>'Unit Data from Audit Worksheet'!D89</f>
        <v>Any adjustment to beginning fund balance including rounding, prior period adjustments and restatements.   (Amounts that increase fund balance are recorded as positive and amounts that decrease fund balance are recorded as negative)</v>
      </c>
      <c r="D80" s="110"/>
      <c r="E80" s="155">
        <f>'Unit Data from Audit Worksheet'!F89</f>
        <v>0</v>
      </c>
      <c r="F80" s="111" t="e">
        <f>IF(+L65-L79-L80=O65,,"Error: Beginning Fund Bal does not equal our records Accts 9-23-507= PY9")</f>
        <v>#N/A</v>
      </c>
      <c r="G80" s="122" t="e">
        <f>L65-L79-L80-O65</f>
        <v>#N/A</v>
      </c>
      <c r="H80" s="113" t="str">
        <f>'Unit Data from Audit Worksheet'!I89</f>
        <v>Please do not enter prior's years beginning balance as an adjustment in column F.</v>
      </c>
      <c r="I80" s="38"/>
      <c r="J80" s="105">
        <v>507</v>
      </c>
      <c r="K80" s="44" t="s">
        <v>215</v>
      </c>
      <c r="L80" s="569">
        <f t="shared" si="9"/>
        <v>0</v>
      </c>
      <c r="N80" s="578"/>
      <c r="O80" s="577"/>
      <c r="P80" s="317"/>
      <c r="Q80" s="559" t="e">
        <f>IF(G80&lt;&gt;0,1,0)</f>
        <v>#N/A</v>
      </c>
      <c r="W80" s="3" t="b">
        <f t="shared" si="10"/>
        <v>1</v>
      </c>
      <c r="X80" s="566">
        <f t="shared" si="1"/>
        <v>0</v>
      </c>
      <c r="Y80" s="566">
        <f t="shared" si="2"/>
        <v>0</v>
      </c>
    </row>
    <row r="81" spans="1:26" ht="123" customHeight="1" x14ac:dyDescent="0.3">
      <c r="A81" s="581">
        <f>'Unit Data from Audit Worksheet'!A90</f>
        <v>147</v>
      </c>
      <c r="B81" s="117" t="str">
        <f>'Unit Data from Audit Worksheet'!C90</f>
        <v>General Fund-Rev, Exp. Change in Fund Balance or General Fund Budget Actual</v>
      </c>
      <c r="C81" s="326" t="str">
        <f>'Unit Data from Audit Worksheet'!D90</f>
        <v>Local Current Expense sent to Boards of Education (some units present this information in the detailed general fund statements after the notes)
Exclude: amounts for community colleges and 
                  supplemental taxes
Include: amounts spent on resource officers, 
                  nurses and Timber receipts</v>
      </c>
      <c r="D81" s="357"/>
      <c r="E81" s="155">
        <f>'Unit Data from Audit Worksheet'!F90</f>
        <v>0</v>
      </c>
      <c r="F81" s="350"/>
      <c r="G81" s="358"/>
      <c r="H81" s="350"/>
      <c r="I81" s="38"/>
      <c r="J81" s="359">
        <v>147</v>
      </c>
      <c r="K81" s="351" t="s">
        <v>300</v>
      </c>
      <c r="L81" s="569">
        <f t="shared" si="9"/>
        <v>0</v>
      </c>
      <c r="N81" s="578"/>
      <c r="O81" s="577"/>
      <c r="P81" s="325"/>
      <c r="W81" s="3" t="b">
        <f t="shared" si="10"/>
        <v>1</v>
      </c>
      <c r="X81" s="566"/>
      <c r="Y81" s="566"/>
    </row>
    <row r="82" spans="1:26" ht="123" customHeight="1" x14ac:dyDescent="0.3">
      <c r="A82" s="581">
        <f>'Unit Data from Audit Worksheet'!A91</f>
        <v>585</v>
      </c>
      <c r="B82" s="117" t="str">
        <f>'Unit Data from Audit Worksheet'!C91</f>
        <v>General Fund-Rev, Exp. Change in Fund Balance or General Fund Budget Actual</v>
      </c>
      <c r="C82" s="571" t="str">
        <f>'Unit Data from Audit Worksheet'!D91</f>
        <v xml:space="preserve">How much of the above number in account 147 is from Timber Receipts sent to the schools </v>
      </c>
      <c r="D82" s="357"/>
      <c r="E82" s="155">
        <f>'Unit Data from Audit Worksheet'!F91</f>
        <v>0</v>
      </c>
      <c r="F82" s="350"/>
      <c r="G82" s="358"/>
      <c r="H82" s="350"/>
      <c r="I82" s="38"/>
      <c r="J82" s="359">
        <v>585</v>
      </c>
      <c r="K82" s="362" t="s">
        <v>391</v>
      </c>
      <c r="L82" s="569">
        <f t="shared" si="9"/>
        <v>0</v>
      </c>
      <c r="N82" s="578"/>
      <c r="O82" s="577"/>
      <c r="P82" s="325"/>
      <c r="W82" s="3" t="b">
        <f t="shared" si="10"/>
        <v>1</v>
      </c>
      <c r="X82" s="566"/>
      <c r="Y82" s="566"/>
    </row>
    <row r="83" spans="1:26" ht="123" customHeight="1" x14ac:dyDescent="0.3">
      <c r="A83" s="581">
        <f>'Unit Data from Audit Worksheet'!A92</f>
        <v>546</v>
      </c>
      <c r="B83" s="117" t="str">
        <f>'Unit Data from Audit Worksheet'!C92</f>
        <v>General Fund-Rev, Exp. Change in Fund Balance or General Fund Budget Actual</v>
      </c>
      <c r="C83" s="571" t="str">
        <f>'Unit Data from Audit Worksheet'!D92</f>
        <v>Amount of Supplemental School Tax revenue recorded in the governmental funds.</v>
      </c>
      <c r="D83" s="357"/>
      <c r="E83" s="155">
        <f>'Unit Data from Audit Worksheet'!F92</f>
        <v>0</v>
      </c>
      <c r="F83" s="350"/>
      <c r="G83" s="358"/>
      <c r="H83" s="350"/>
      <c r="I83" s="38"/>
      <c r="J83" s="359">
        <v>546</v>
      </c>
      <c r="K83" s="362" t="s">
        <v>563</v>
      </c>
      <c r="L83" s="569">
        <f t="shared" si="9"/>
        <v>0</v>
      </c>
      <c r="N83" s="578"/>
      <c r="O83" s="577"/>
      <c r="P83" s="325"/>
      <c r="W83" s="3" t="b">
        <f t="shared" si="10"/>
        <v>1</v>
      </c>
      <c r="X83" s="566"/>
      <c r="Y83" s="566"/>
    </row>
    <row r="84" spans="1:26" ht="123" customHeight="1" x14ac:dyDescent="0.3">
      <c r="A84" s="581">
        <f>'Unit Data from Audit Worksheet'!A93</f>
        <v>589</v>
      </c>
      <c r="B84" s="117" t="str">
        <f>'Unit Data from Audit Worksheet'!C93</f>
        <v>General Fund-Rev, Exp. Change in Fund Balance or General Fund Budget Actual</v>
      </c>
      <c r="C84" s="571" t="str">
        <f>'Unit Data from Audit Worksheet'!D93</f>
        <v>Amount of Supplemental School Tax revenue recorded in agency funds.</v>
      </c>
      <c r="D84" s="357"/>
      <c r="E84" s="155">
        <f>'Unit Data from Audit Worksheet'!F93</f>
        <v>0</v>
      </c>
      <c r="F84" s="350"/>
      <c r="G84" s="358"/>
      <c r="H84" s="350"/>
      <c r="I84" s="38"/>
      <c r="J84" s="359">
        <v>589</v>
      </c>
      <c r="K84" s="124" t="s">
        <v>990</v>
      </c>
      <c r="L84" s="569">
        <f t="shared" si="9"/>
        <v>0</v>
      </c>
      <c r="N84" s="578"/>
      <c r="O84" s="577"/>
      <c r="P84" s="325"/>
      <c r="W84" s="3" t="b">
        <f t="shared" si="10"/>
        <v>1</v>
      </c>
      <c r="X84" s="566"/>
      <c r="Y84" s="566"/>
    </row>
    <row r="85" spans="1:26" ht="123" customHeight="1" x14ac:dyDescent="0.3">
      <c r="A85" s="581">
        <f>'Unit Data from Audit Worksheet'!A94</f>
        <v>149</v>
      </c>
      <c r="B85" s="117" t="str">
        <f>'Unit Data from Audit Worksheet'!C94</f>
        <v>General Fund-Rev, Exp. Change in Fund Balance or General Fund Budget Actual</v>
      </c>
      <c r="C85" s="571" t="str">
        <f>'Unit Data from Audit Worksheet'!D94</f>
        <v>Local Current Expense Revenue from the County (Enter as a positive) 
Exclude: supplemental taxes
Include: Timber Receipts, amounts spent on 
                  resource officers and nurses, etc.  
                  Amount must agree with the amount
                  reported in the County Audit Report</v>
      </c>
      <c r="D85" s="357"/>
      <c r="E85" s="155">
        <f>'Unit Data from Audit Worksheet'!F94</f>
        <v>0</v>
      </c>
      <c r="F85" s="350"/>
      <c r="G85" s="358"/>
      <c r="H85" s="350"/>
      <c r="I85" s="38"/>
      <c r="J85" s="359">
        <v>149</v>
      </c>
      <c r="K85" s="254" t="s">
        <v>302</v>
      </c>
      <c r="L85" s="569">
        <f t="shared" si="9"/>
        <v>0</v>
      </c>
      <c r="N85" s="578"/>
      <c r="O85" s="577"/>
      <c r="P85" s="325"/>
      <c r="W85" s="3" t="b">
        <f t="shared" si="10"/>
        <v>1</v>
      </c>
      <c r="X85" s="566"/>
      <c r="Y85" s="566"/>
      <c r="Z85" s="3" t="s">
        <v>1067</v>
      </c>
    </row>
    <row r="86" spans="1:26" ht="123" customHeight="1" x14ac:dyDescent="0.3">
      <c r="A86" s="581">
        <f>'Unit Data from Audit Worksheet'!A95</f>
        <v>150</v>
      </c>
      <c r="B86" s="117" t="str">
        <f>'Unit Data from Audit Worksheet'!C95</f>
        <v>General Fund-Rev, Exp. Change in Fund Balance or General Fund Budget Actual</v>
      </c>
      <c r="C86" s="571" t="str">
        <f>'Unit Data from Audit Worksheet'!D95</f>
        <v xml:space="preserve">Capital Outlay revenue from the County and budgeted by the County as Capital Outlay reported in the School Capital Outlay fund or the local current expense fund.  (capitalization policies might be different between the Schools and County)
</v>
      </c>
      <c r="D86" s="357"/>
      <c r="E86" s="155">
        <f>'Unit Data from Audit Worksheet'!F95</f>
        <v>0</v>
      </c>
      <c r="F86" s="350"/>
      <c r="G86" s="358"/>
      <c r="H86" s="350"/>
      <c r="I86" s="38"/>
      <c r="J86" s="359">
        <v>150</v>
      </c>
      <c r="K86" s="254" t="s">
        <v>563</v>
      </c>
      <c r="L86" s="569">
        <f t="shared" si="9"/>
        <v>0</v>
      </c>
      <c r="N86" s="578"/>
      <c r="O86" s="577"/>
      <c r="P86" s="325"/>
      <c r="W86" s="3" t="b">
        <f t="shared" si="10"/>
        <v>1</v>
      </c>
      <c r="X86" s="566"/>
      <c r="Y86" s="566"/>
      <c r="Z86" s="3" t="s">
        <v>1067</v>
      </c>
    </row>
    <row r="87" spans="1:26" ht="123" customHeight="1" x14ac:dyDescent="0.3">
      <c r="A87" s="581">
        <f>'Unit Data from Audit Worksheet'!A96</f>
        <v>587</v>
      </c>
      <c r="B87" s="117" t="str">
        <f>'Unit Data from Audit Worksheet'!C96</f>
        <v xml:space="preserve">Fund 8 Rev, Exp. Change in Fund Balance Rpt. </v>
      </c>
      <c r="C87" s="571" t="str">
        <f>'Unit Data from Audit Worksheet'!D96</f>
        <v>Amount of Local Current Expense Funds received from the County transferred to Fund 8 this year.</v>
      </c>
      <c r="D87" s="357"/>
      <c r="E87" s="155">
        <f>'Unit Data from Audit Worksheet'!F96</f>
        <v>0</v>
      </c>
      <c r="F87" s="350"/>
      <c r="G87" s="358"/>
      <c r="H87" s="350"/>
      <c r="I87" s="38"/>
      <c r="J87" s="359">
        <v>587</v>
      </c>
      <c r="K87" s="254" t="s">
        <v>393</v>
      </c>
      <c r="L87" s="569">
        <f t="shared" si="9"/>
        <v>0</v>
      </c>
      <c r="N87" s="578"/>
      <c r="O87" s="577"/>
      <c r="P87" s="325"/>
      <c r="W87" s="3" t="b">
        <f t="shared" si="10"/>
        <v>1</v>
      </c>
      <c r="X87" s="566"/>
      <c r="Y87" s="566"/>
      <c r="Z87" s="3" t="s">
        <v>1067</v>
      </c>
    </row>
    <row r="88" spans="1:26" ht="123" customHeight="1" x14ac:dyDescent="0.3">
      <c r="A88" s="581">
        <f>'Unit Data from Audit Worksheet'!A97</f>
        <v>588</v>
      </c>
      <c r="B88" s="117" t="str">
        <f>'Unit Data from Audit Worksheet'!C97</f>
        <v xml:space="preserve">Fund 8 Rev, Exp. Change in Fund Balance Rpt. </v>
      </c>
      <c r="C88" s="571" t="str">
        <f>'Unit Data from Audit Worksheet'!D97</f>
        <v>Amount of Capital Outlay Funds received from the County transferred to Fund 8 this year.</v>
      </c>
      <c r="D88" s="357"/>
      <c r="E88" s="155">
        <f>'Unit Data from Audit Worksheet'!F97</f>
        <v>0</v>
      </c>
      <c r="F88" s="350"/>
      <c r="G88" s="358"/>
      <c r="H88" s="350"/>
      <c r="I88" s="38"/>
      <c r="J88" s="359">
        <v>588</v>
      </c>
      <c r="K88" s="254" t="s">
        <v>394</v>
      </c>
      <c r="L88" s="569">
        <f t="shared" si="9"/>
        <v>0</v>
      </c>
      <c r="N88" s="578"/>
      <c r="O88" s="577"/>
      <c r="P88" s="325"/>
      <c r="W88" s="3" t="b">
        <f t="shared" si="10"/>
        <v>1</v>
      </c>
      <c r="X88" s="566"/>
      <c r="Y88" s="566"/>
      <c r="Z88" s="3" t="s">
        <v>1067</v>
      </c>
    </row>
    <row r="89" spans="1:26" s="18" customFormat="1" ht="40.5" customHeight="1" x14ac:dyDescent="0.3">
      <c r="A89" s="306">
        <f>'Unit Data from Audit Worksheet'!A98</f>
        <v>647</v>
      </c>
      <c r="B89" s="361" t="str">
        <f>'Unit Data from Audit Worksheet'!C98</f>
        <v>Debt Service Fund</v>
      </c>
      <c r="C89" s="306" t="str">
        <f>'Unit Data from Audit Worksheet'!D98</f>
        <v>Please enter the Total Fund Balance for any Debt Service Funds</v>
      </c>
      <c r="D89" s="116"/>
      <c r="E89" s="360">
        <f>'Unit Data from Audit Worksheet'!F98</f>
        <v>0</v>
      </c>
      <c r="F89" s="342"/>
      <c r="G89" s="337"/>
      <c r="H89" s="342">
        <f>'Unit Data from Audit Worksheet'!I98</f>
        <v>0</v>
      </c>
      <c r="I89" s="582"/>
      <c r="J89" s="341">
        <v>647</v>
      </c>
      <c r="K89" s="309" t="s">
        <v>1280</v>
      </c>
      <c r="L89" s="583">
        <f>IF(D89="",E89,D89)</f>
        <v>0</v>
      </c>
      <c r="M89" s="573"/>
      <c r="N89" s="573"/>
      <c r="O89" s="589"/>
      <c r="P89" s="318"/>
      <c r="Q89" s="574"/>
      <c r="R89" s="3"/>
      <c r="S89" s="573"/>
      <c r="T89" s="573"/>
      <c r="U89" s="573"/>
      <c r="V89" s="573"/>
      <c r="W89" s="18" t="b">
        <f t="shared" si="10"/>
        <v>1</v>
      </c>
      <c r="X89" s="575">
        <f t="shared" si="1"/>
        <v>0</v>
      </c>
      <c r="Y89" s="575">
        <f t="shared" si="2"/>
        <v>0</v>
      </c>
    </row>
    <row r="90" spans="1:26" s="18" customFormat="1" ht="66" customHeight="1" x14ac:dyDescent="0.3">
      <c r="A90" s="306">
        <f>'Unit Data from Audit Worksheet'!A100</f>
        <v>148</v>
      </c>
      <c r="B90" s="361" t="str">
        <f>'Unit Data from Audit Worksheet'!C100</f>
        <v>All Gov. Funds Rev, Exp. Change in Fund Balance</v>
      </c>
      <c r="C90" s="340" t="str">
        <f>'Unit Data from Audit Worksheet'!D100</f>
        <v>Capital Outlay contributions to the BOEs (include amounts from general fund, capital project funds and any other fund sent to the BOE as part of capital outlay)</v>
      </c>
      <c r="D90" s="357"/>
      <c r="E90" s="360">
        <f>'Unit Data from Audit Worksheet'!F100</f>
        <v>0</v>
      </c>
      <c r="F90" s="350"/>
      <c r="G90" s="358"/>
      <c r="H90" s="350"/>
      <c r="I90" s="38"/>
      <c r="J90" s="359">
        <v>148</v>
      </c>
      <c r="K90" s="351" t="s">
        <v>301</v>
      </c>
      <c r="L90" s="569">
        <f t="shared" si="9"/>
        <v>0</v>
      </c>
      <c r="M90" s="590"/>
      <c r="N90" s="590"/>
      <c r="O90" s="591"/>
      <c r="P90" s="325"/>
      <c r="Q90" s="592"/>
      <c r="R90" s="3"/>
      <c r="S90" s="590"/>
      <c r="T90" s="590"/>
      <c r="U90" s="590"/>
      <c r="V90" s="590"/>
      <c r="W90" s="590" t="b">
        <f t="shared" si="10"/>
        <v>1</v>
      </c>
      <c r="X90" s="575"/>
      <c r="Y90" s="575"/>
    </row>
    <row r="91" spans="1:26" ht="60" customHeight="1" x14ac:dyDescent="0.3">
      <c r="A91" s="567">
        <f>'Unit Data from Audit Worksheet'!A101</f>
        <v>171</v>
      </c>
      <c r="B91" s="54" t="str">
        <f>'Unit Data from Audit Worksheet'!C101</f>
        <v>Fund Statements - all Governmental Funds</v>
      </c>
      <c r="C91" s="568" t="str">
        <f>'Unit Data from Audit Worksheet'!D101</f>
        <v>Debt service expenditures from all governmental funds.  Include principal, interest paid, and debt issuance costs on long-term debt.</v>
      </c>
      <c r="D91" s="353"/>
      <c r="E91" s="152">
        <f>'Unit Data from Audit Worksheet'!F101</f>
        <v>0</v>
      </c>
      <c r="F91" s="47">
        <f>IF(L91&lt;0,"Error: Enter as a positive.",)</f>
        <v>0</v>
      </c>
      <c r="G91" s="72"/>
      <c r="H91" s="346">
        <f>'Unit Data from Audit Worksheet'!I101</f>
        <v>0</v>
      </c>
      <c r="I91" s="38"/>
      <c r="J91" s="42">
        <v>171</v>
      </c>
      <c r="K91" s="51" t="s">
        <v>216</v>
      </c>
      <c r="L91" s="569">
        <f t="shared" si="9"/>
        <v>0</v>
      </c>
      <c r="P91" s="315"/>
      <c r="W91" s="3" t="b">
        <f t="shared" si="10"/>
        <v>1</v>
      </c>
      <c r="X91" s="566">
        <f t="shared" si="1"/>
        <v>0</v>
      </c>
      <c r="Y91" s="566">
        <f t="shared" si="2"/>
        <v>0</v>
      </c>
    </row>
    <row r="92" spans="1:26" s="709" customFormat="1" ht="60" customHeight="1" x14ac:dyDescent="0.3">
      <c r="A92" s="567">
        <f>'Unit Data from Audit Worksheet'!A103</f>
        <v>36</v>
      </c>
      <c r="B92" s="54" t="str">
        <f>'Unit Data from Audit Worksheet'!C103</f>
        <v>Net Position</v>
      </c>
      <c r="C92" s="568" t="str">
        <f>'Unit Data from Audit Worksheet'!D103</f>
        <v>Total Gross Capital Assets - without accumulated depreciation</v>
      </c>
      <c r="D92" s="353"/>
      <c r="E92" s="152">
        <f>'Unit Data from Audit Worksheet'!F103</f>
        <v>0</v>
      </c>
      <c r="F92" s="47"/>
      <c r="G92" s="72"/>
      <c r="H92" s="346"/>
      <c r="I92" s="711"/>
      <c r="J92" s="42">
        <v>36</v>
      </c>
      <c r="K92" s="51" t="s">
        <v>1124</v>
      </c>
      <c r="L92" s="569">
        <f t="shared" si="9"/>
        <v>0</v>
      </c>
      <c r="P92" s="315"/>
      <c r="Q92" s="559"/>
      <c r="W92" s="590" t="b">
        <f t="shared" si="10"/>
        <v>1</v>
      </c>
      <c r="X92" s="566"/>
      <c r="Y92" s="566"/>
    </row>
    <row r="93" spans="1:26" s="709" customFormat="1" ht="60" customHeight="1" x14ac:dyDescent="0.3">
      <c r="A93" s="567">
        <f>'Unit Data from Audit Worksheet'!A104</f>
        <v>534</v>
      </c>
      <c r="B93" s="54" t="str">
        <f>'Unit Data from Audit Worksheet'!C104</f>
        <v>Net Position</v>
      </c>
      <c r="C93" s="568" t="str">
        <f>'Unit Data from Audit Worksheet'!D104</f>
        <v>Combined Totals of all Proprietary Funds - Amount of Inventories and Prepaids in current assets</v>
      </c>
      <c r="D93" s="353"/>
      <c r="E93" s="152">
        <f>'Unit Data from Audit Worksheet'!F104</f>
        <v>0</v>
      </c>
      <c r="F93" s="47"/>
      <c r="G93" s="72"/>
      <c r="H93" s="346"/>
      <c r="I93" s="711"/>
      <c r="J93" s="42">
        <v>534</v>
      </c>
      <c r="K93" s="51" t="s">
        <v>270</v>
      </c>
      <c r="L93" s="569">
        <f t="shared" si="9"/>
        <v>0</v>
      </c>
      <c r="P93" s="315"/>
      <c r="Q93" s="559"/>
      <c r="W93" s="590" t="b">
        <f t="shared" si="10"/>
        <v>1</v>
      </c>
      <c r="X93" s="566"/>
      <c r="Y93" s="566"/>
    </row>
    <row r="94" spans="1:26" ht="60" customHeight="1" x14ac:dyDescent="0.3">
      <c r="A94" s="567">
        <f>'Unit Data from Audit Worksheet'!A105</f>
        <v>13</v>
      </c>
      <c r="B94" s="54" t="str">
        <f>'Unit Data from Audit Worksheet'!C105</f>
        <v>Combined Proprietary Funds - Net Position</v>
      </c>
      <c r="C94" s="568" t="str">
        <f>'Unit Data from Audit Worksheet'!D105</f>
        <v>Comb-Proprietary Funds-Current Assets 
Exclude: any restricted assets
                  deferred outflows</v>
      </c>
      <c r="D94" s="353"/>
      <c r="E94" s="152">
        <f>'Unit Data from Audit Worksheet'!F105</f>
        <v>0</v>
      </c>
      <c r="F94" s="47"/>
      <c r="G94" s="72"/>
      <c r="H94" s="346"/>
      <c r="I94" s="38"/>
      <c r="J94" s="42">
        <v>13</v>
      </c>
      <c r="K94" s="51" t="s">
        <v>1057</v>
      </c>
      <c r="L94" s="569">
        <f t="shared" si="9"/>
        <v>0</v>
      </c>
      <c r="P94" s="315"/>
      <c r="X94" s="566"/>
      <c r="Y94" s="566"/>
    </row>
    <row r="95" spans="1:26" ht="60" customHeight="1" x14ac:dyDescent="0.3">
      <c r="A95" s="567">
        <f>'Unit Data from Audit Worksheet'!A106</f>
        <v>14</v>
      </c>
      <c r="B95" s="54" t="str">
        <f>'Unit Data from Audit Worksheet'!C106</f>
        <v>Combined Proprietary Funds - Net Position</v>
      </c>
      <c r="C95" s="568" t="str">
        <f>'Unit Data from Audit Worksheet'!D106</f>
        <v>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v>
      </c>
      <c r="D95" s="353"/>
      <c r="E95" s="152">
        <f>'Unit Data from Audit Worksheet'!F106</f>
        <v>0</v>
      </c>
      <c r="F95" s="47"/>
      <c r="G95" s="72"/>
      <c r="H95" s="346"/>
      <c r="I95" s="38"/>
      <c r="J95" s="42">
        <v>14</v>
      </c>
      <c r="K95" s="51" t="s">
        <v>1058</v>
      </c>
      <c r="L95" s="569">
        <f t="shared" si="9"/>
        <v>0</v>
      </c>
      <c r="P95" s="315"/>
      <c r="X95" s="566"/>
      <c r="Y95" s="566"/>
    </row>
    <row r="96" spans="1:26" s="709" customFormat="1" ht="60" customHeight="1" x14ac:dyDescent="0.3">
      <c r="A96" s="567">
        <f>'Unit Data from Audit Worksheet'!A107</f>
        <v>571</v>
      </c>
      <c r="B96" s="54" t="str">
        <f>'Unit Data from Audit Worksheet'!C107</f>
        <v>Statement of Net Position - combined totals from all Proprietary Funds</v>
      </c>
      <c r="C96" s="568" t="str">
        <f>'Unit Data from Audit Worksheet'!D107</f>
        <v>Mental Health Net Position - Net Investment in Capital Assets</v>
      </c>
      <c r="D96" s="353"/>
      <c r="E96" s="152">
        <f>'Unit Data from Audit Worksheet'!F107</f>
        <v>0</v>
      </c>
      <c r="F96" s="47"/>
      <c r="G96" s="72"/>
      <c r="H96" s="346"/>
      <c r="I96" s="711"/>
      <c r="J96" s="42">
        <v>571</v>
      </c>
      <c r="K96" s="51" t="s">
        <v>1095</v>
      </c>
      <c r="L96" s="569">
        <f t="shared" si="9"/>
        <v>0</v>
      </c>
      <c r="P96" s="315"/>
      <c r="Q96" s="559"/>
      <c r="X96" s="566"/>
      <c r="Y96" s="566"/>
    </row>
    <row r="97" spans="1:26" s="709" customFormat="1" ht="60" customHeight="1" x14ac:dyDescent="0.3">
      <c r="A97" s="567">
        <f>'Unit Data from Audit Worksheet'!A108</f>
        <v>572</v>
      </c>
      <c r="B97" s="54" t="str">
        <f>'Unit Data from Audit Worksheet'!C108</f>
        <v>Statement of Net Position - combined totals from all Proprietary Funds</v>
      </c>
      <c r="C97" s="568" t="str">
        <f>'Unit Data from Audit Worksheet'!D108</f>
        <v>Mental Health Net Position - Restricted Net Position</v>
      </c>
      <c r="D97" s="353"/>
      <c r="E97" s="152">
        <f>'Unit Data from Audit Worksheet'!F108</f>
        <v>0</v>
      </c>
      <c r="F97" s="47"/>
      <c r="G97" s="72"/>
      <c r="H97" s="346"/>
      <c r="I97" s="711"/>
      <c r="J97" s="42">
        <v>572</v>
      </c>
      <c r="K97" s="51" t="s">
        <v>1096</v>
      </c>
      <c r="L97" s="569">
        <f t="shared" si="9"/>
        <v>0</v>
      </c>
      <c r="P97" s="315"/>
      <c r="Q97" s="559"/>
      <c r="X97" s="566"/>
      <c r="Y97" s="566"/>
    </row>
    <row r="98" spans="1:26" s="709" customFormat="1" ht="60" customHeight="1" x14ac:dyDescent="0.3">
      <c r="A98" s="567">
        <f>'Unit Data from Audit Worksheet'!A109</f>
        <v>573</v>
      </c>
      <c r="B98" s="54" t="str">
        <f>'Unit Data from Audit Worksheet'!C109</f>
        <v>Statement of Net Position - combined totals from all Proprietary Funds</v>
      </c>
      <c r="C98" s="568" t="str">
        <f>'Unit Data from Audit Worksheet'!D109</f>
        <v>Mental Health Net Position - Unrestricted Net Position</v>
      </c>
      <c r="D98" s="353"/>
      <c r="E98" s="152">
        <f>'Unit Data from Audit Worksheet'!F109</f>
        <v>0</v>
      </c>
      <c r="F98" s="47"/>
      <c r="G98" s="72"/>
      <c r="H98" s="346"/>
      <c r="I98" s="711"/>
      <c r="J98" s="42">
        <v>573</v>
      </c>
      <c r="K98" s="51" t="s">
        <v>1254</v>
      </c>
      <c r="L98" s="569">
        <f t="shared" si="9"/>
        <v>0</v>
      </c>
      <c r="P98" s="315"/>
      <c r="Q98" s="559"/>
      <c r="X98" s="566"/>
      <c r="Y98" s="566"/>
    </row>
    <row r="99" spans="1:26" ht="60" customHeight="1" x14ac:dyDescent="0.3">
      <c r="A99" s="567">
        <f>'Unit Data from Audit Worksheet'!A110</f>
        <v>34</v>
      </c>
      <c r="B99" s="54" t="str">
        <f>'Unit Data from Audit Worksheet'!C110</f>
        <v>Net Position</v>
      </c>
      <c r="C99" s="568" t="str">
        <f>'Unit Data from Audit Worksheet'!D110</f>
        <v>Hospital-EF- Unrestricted Cash &amp; Invest. [Incl.all but Held by Trustee or 3rd party restricted](BS)</v>
      </c>
      <c r="D99" s="353"/>
      <c r="E99" s="152">
        <f>'Unit Data from Audit Worksheet'!F110</f>
        <v>0</v>
      </c>
      <c r="F99" s="47"/>
      <c r="G99" s="72"/>
      <c r="H99" s="346"/>
      <c r="I99" s="38"/>
      <c r="J99" s="42">
        <v>34</v>
      </c>
      <c r="K99" s="51" t="s">
        <v>1070</v>
      </c>
      <c r="L99" s="569">
        <f t="shared" si="9"/>
        <v>0</v>
      </c>
      <c r="P99" s="315"/>
      <c r="X99" s="566"/>
      <c r="Y99" s="566"/>
      <c r="Z99" s="3" t="s">
        <v>1068</v>
      </c>
    </row>
    <row r="100" spans="1:26" ht="60" customHeight="1" x14ac:dyDescent="0.3">
      <c r="A100" s="567">
        <f>'Unit Data from Audit Worksheet'!A111</f>
        <v>35</v>
      </c>
      <c r="B100" s="54" t="str">
        <f>'Unit Data from Audit Worksheet'!C111</f>
        <v>Net Position</v>
      </c>
      <c r="C100" s="568" t="str">
        <f>'Unit Data from Audit Worksheet'!D111</f>
        <v>Mental Health or Hospital-EF- Patient Accounts Receivable, Net of Allowance for Bad Debt</v>
      </c>
      <c r="D100" s="353"/>
      <c r="E100" s="152">
        <f>'Unit Data from Audit Worksheet'!F111</f>
        <v>0</v>
      </c>
      <c r="F100" s="47"/>
      <c r="G100" s="72"/>
      <c r="H100" s="346"/>
      <c r="I100" s="38"/>
      <c r="J100" s="42">
        <v>35</v>
      </c>
      <c r="K100" s="51" t="s">
        <v>1071</v>
      </c>
      <c r="L100" s="569">
        <f t="shared" si="9"/>
        <v>0</v>
      </c>
      <c r="P100" s="315"/>
      <c r="X100" s="566"/>
      <c r="Y100" s="566"/>
      <c r="Z100" s="3" t="s">
        <v>1068</v>
      </c>
    </row>
    <row r="101" spans="1:26" ht="60" customHeight="1" x14ac:dyDescent="0.3">
      <c r="A101" s="567">
        <f>'Unit Data from Audit Worksheet'!A112</f>
        <v>37</v>
      </c>
      <c r="B101" s="54" t="str">
        <f>'Unit Data from Audit Worksheet'!C112</f>
        <v>Net Position</v>
      </c>
      <c r="C101" s="568" t="str">
        <f>'Unit Data from Audit Worksheet'!D112</f>
        <v>Total Long-term debt (non current portion only) - enter as a positive</v>
      </c>
      <c r="D101" s="353"/>
      <c r="E101" s="152">
        <f>'Unit Data from Audit Worksheet'!F112</f>
        <v>0</v>
      </c>
      <c r="F101" s="47"/>
      <c r="G101" s="72"/>
      <c r="H101" s="346"/>
      <c r="I101" s="38"/>
      <c r="J101" s="42">
        <v>37</v>
      </c>
      <c r="K101" s="51" t="s">
        <v>1081</v>
      </c>
      <c r="L101" s="569">
        <f t="shared" si="9"/>
        <v>0</v>
      </c>
      <c r="P101" s="315"/>
      <c r="X101" s="566"/>
      <c r="Y101" s="566"/>
      <c r="Z101" s="3" t="s">
        <v>1068</v>
      </c>
    </row>
    <row r="102" spans="1:26" ht="60" customHeight="1" x14ac:dyDescent="0.3">
      <c r="A102" s="567">
        <f>'Unit Data from Audit Worksheet'!A113</f>
        <v>38</v>
      </c>
      <c r="B102" s="54" t="str">
        <f>'Unit Data from Audit Worksheet'!C113</f>
        <v>Net Position</v>
      </c>
      <c r="C102" s="568" t="str">
        <f>'Unit Data from Audit Worksheet'!D113</f>
        <v>Unrestricted fund equity or net position</v>
      </c>
      <c r="D102" s="353"/>
      <c r="E102" s="152">
        <f>'Unit Data from Audit Worksheet'!F113</f>
        <v>0</v>
      </c>
      <c r="F102" s="47"/>
      <c r="G102" s="72"/>
      <c r="H102" s="346"/>
      <c r="I102" s="38"/>
      <c r="J102" s="42">
        <v>38</v>
      </c>
      <c r="K102" s="51" t="s">
        <v>1072</v>
      </c>
      <c r="L102" s="569">
        <f t="shared" si="9"/>
        <v>0</v>
      </c>
      <c r="P102" s="315"/>
      <c r="X102" s="566"/>
      <c r="Y102" s="566"/>
      <c r="Z102" s="3" t="s">
        <v>1068</v>
      </c>
    </row>
    <row r="103" spans="1:26" ht="60" customHeight="1" x14ac:dyDescent="0.3">
      <c r="A103" s="567">
        <f>'Unit Data from Audit Worksheet'!A114</f>
        <v>32</v>
      </c>
      <c r="B103" s="54" t="str">
        <f>'Unit Data from Audit Worksheet'!C114</f>
        <v>Combined Totals of all Proprietary Funds - Revenue, Expenses, Changes in Net Position</v>
      </c>
      <c r="C103" s="568" t="str">
        <f>'Unit Data from Audit Worksheet'!D114</f>
        <v>Combined Totals of all proprietary Funds - Depreciation &amp; Amortization Expense</v>
      </c>
      <c r="D103" s="353"/>
      <c r="E103" s="152">
        <f>'Unit Data from Audit Worksheet'!F114</f>
        <v>0</v>
      </c>
      <c r="F103" s="47"/>
      <c r="G103" s="72"/>
      <c r="H103" s="346"/>
      <c r="I103" s="38"/>
      <c r="J103" s="42">
        <v>32</v>
      </c>
      <c r="K103" s="51" t="s">
        <v>1060</v>
      </c>
      <c r="L103" s="569">
        <f t="shared" si="9"/>
        <v>0</v>
      </c>
      <c r="P103" s="315"/>
      <c r="X103" s="566"/>
      <c r="Y103" s="566"/>
      <c r="Z103" s="3" t="s">
        <v>1068</v>
      </c>
    </row>
    <row r="104" spans="1:26" ht="60" customHeight="1" x14ac:dyDescent="0.3">
      <c r="A104" s="567">
        <f>'Unit Data from Audit Worksheet'!A115</f>
        <v>40</v>
      </c>
      <c r="B104" s="54" t="str">
        <f>'Unit Data from Audit Worksheet'!C115</f>
        <v>Revenue, Expenses, Changes in Net Position</v>
      </c>
      <c r="C104" s="568" t="str">
        <f>'Unit Data from Audit Worksheet'!D115</f>
        <v>Net Patient Revenues</v>
      </c>
      <c r="D104" s="353"/>
      <c r="E104" s="152">
        <f>'Unit Data from Audit Worksheet'!F115</f>
        <v>0</v>
      </c>
      <c r="F104" s="47"/>
      <c r="G104" s="72"/>
      <c r="H104" s="346"/>
      <c r="I104" s="38"/>
      <c r="J104" s="42">
        <v>40</v>
      </c>
      <c r="K104" s="51" t="s">
        <v>1074</v>
      </c>
      <c r="L104" s="569">
        <f t="shared" si="9"/>
        <v>0</v>
      </c>
      <c r="P104" s="315"/>
      <c r="X104" s="566"/>
      <c r="Y104" s="566"/>
      <c r="Z104" s="3" t="s">
        <v>1068</v>
      </c>
    </row>
    <row r="105" spans="1:26" ht="60" customHeight="1" x14ac:dyDescent="0.3">
      <c r="A105" s="567">
        <f>'Unit Data from Audit Worksheet'!A116</f>
        <v>107</v>
      </c>
      <c r="B105" s="54" t="str">
        <f>'Unit Data from Audit Worksheet'!C116</f>
        <v>Revenue, Expenses, Changes in Net Position</v>
      </c>
      <c r="C105" s="568" t="str">
        <f>'Unit Data from Audit Worksheet'!D116</f>
        <v>Total Operating Revenues</v>
      </c>
      <c r="D105" s="353"/>
      <c r="E105" s="152">
        <f>'Unit Data from Audit Worksheet'!F116</f>
        <v>0</v>
      </c>
      <c r="F105" s="47"/>
      <c r="G105" s="72"/>
      <c r="H105" s="346"/>
      <c r="I105" s="38"/>
      <c r="J105" s="42">
        <v>107</v>
      </c>
      <c r="K105" s="51" t="s">
        <v>1075</v>
      </c>
      <c r="L105" s="569">
        <f t="shared" si="9"/>
        <v>0</v>
      </c>
      <c r="P105" s="315"/>
      <c r="X105" s="566"/>
      <c r="Y105" s="566"/>
      <c r="Z105" s="3" t="s">
        <v>1068</v>
      </c>
    </row>
    <row r="106" spans="1:26" ht="60" customHeight="1" x14ac:dyDescent="0.3">
      <c r="A106" s="567">
        <f>'Unit Data from Audit Worksheet'!A117</f>
        <v>108</v>
      </c>
      <c r="B106" s="54" t="str">
        <f>'Unit Data from Audit Worksheet'!C117</f>
        <v>Revenue, Expenses, Changes in Net Position</v>
      </c>
      <c r="C106" s="568" t="str">
        <f>'Unit Data from Audit Worksheet'!D117</f>
        <v>Total Operating Expenses. May include Interest Expense - Enter as a positive</v>
      </c>
      <c r="D106" s="353"/>
      <c r="E106" s="152">
        <f>'Unit Data from Audit Worksheet'!F117</f>
        <v>0</v>
      </c>
      <c r="F106" s="47"/>
      <c r="G106" s="72"/>
      <c r="H106" s="346"/>
      <c r="I106" s="38"/>
      <c r="J106" s="42">
        <v>108</v>
      </c>
      <c r="K106" s="51" t="s">
        <v>1082</v>
      </c>
      <c r="L106" s="569">
        <f t="shared" si="9"/>
        <v>0</v>
      </c>
      <c r="P106" s="315"/>
      <c r="X106" s="566"/>
      <c r="Y106" s="566"/>
      <c r="Z106" s="3" t="s">
        <v>1068</v>
      </c>
    </row>
    <row r="107" spans="1:26" ht="60" customHeight="1" x14ac:dyDescent="0.3">
      <c r="A107" s="567">
        <f>'Unit Data from Audit Worksheet'!A118</f>
        <v>41</v>
      </c>
      <c r="B107" s="54" t="str">
        <f>'Unit Data from Audit Worksheet'!C118</f>
        <v>Revenue, Expenses, Changes in Net Position</v>
      </c>
      <c r="C107" s="568" t="str">
        <f>'Unit Data from Audit Worksheet'!D118</f>
        <v xml:space="preserve">Interest Expense - Enter as a positive </v>
      </c>
      <c r="D107" s="353"/>
      <c r="E107" s="152">
        <f>'Unit Data from Audit Worksheet'!F118</f>
        <v>0</v>
      </c>
      <c r="F107" s="47"/>
      <c r="G107" s="72"/>
      <c r="H107" s="346"/>
      <c r="I107" s="38"/>
      <c r="J107" s="42">
        <v>41</v>
      </c>
      <c r="K107" s="51" t="s">
        <v>1083</v>
      </c>
      <c r="L107" s="569">
        <f t="shared" si="9"/>
        <v>0</v>
      </c>
      <c r="P107" s="315"/>
      <c r="X107" s="566"/>
      <c r="Y107" s="566"/>
      <c r="Z107" s="3" t="s">
        <v>1068</v>
      </c>
    </row>
    <row r="108" spans="1:26" ht="60" customHeight="1" x14ac:dyDescent="0.3">
      <c r="A108" s="567">
        <f>'Unit Data from Audit Worksheet'!A119</f>
        <v>194</v>
      </c>
      <c r="B108" s="54" t="str">
        <f>'Unit Data from Audit Worksheet'!C119</f>
        <v>Revenue, Expenses, Changes in Net Position</v>
      </c>
      <c r="C108" s="568" t="str">
        <f>'Unit Data from Audit Worksheet'!D119</f>
        <v xml:space="preserve">Capital Contributions </v>
      </c>
      <c r="D108" s="353"/>
      <c r="E108" s="152">
        <f>'Unit Data from Audit Worksheet'!F119</f>
        <v>0</v>
      </c>
      <c r="F108" s="47"/>
      <c r="G108" s="72"/>
      <c r="H108" s="346"/>
      <c r="I108" s="38"/>
      <c r="J108" s="42">
        <v>194</v>
      </c>
      <c r="K108" s="51" t="s">
        <v>1076</v>
      </c>
      <c r="L108" s="569">
        <f t="shared" si="9"/>
        <v>0</v>
      </c>
      <c r="P108" s="315"/>
      <c r="X108" s="566"/>
      <c r="Y108" s="566"/>
      <c r="Z108" s="3" t="s">
        <v>1068</v>
      </c>
    </row>
    <row r="109" spans="1:26" ht="60" customHeight="1" x14ac:dyDescent="0.3">
      <c r="A109" s="567">
        <f>'Unit Data from Audit Worksheet'!A120</f>
        <v>294</v>
      </c>
      <c r="B109" s="54" t="str">
        <f>'Unit Data from Audit Worksheet'!C120</f>
        <v>Revenue, Expenses, Changes in Net Position</v>
      </c>
      <c r="C109" s="568" t="str">
        <f>'Unit Data from Audit Worksheet'!D120</f>
        <v>Change in Net Position</v>
      </c>
      <c r="D109" s="353"/>
      <c r="E109" s="152">
        <f>'Unit Data from Audit Worksheet'!F120</f>
        <v>0</v>
      </c>
      <c r="F109" s="47"/>
      <c r="G109" s="72"/>
      <c r="H109" s="346"/>
      <c r="I109" s="38"/>
      <c r="J109" s="42">
        <v>294</v>
      </c>
      <c r="K109" s="51" t="s">
        <v>1077</v>
      </c>
      <c r="L109" s="569">
        <f t="shared" si="9"/>
        <v>0</v>
      </c>
      <c r="P109" s="315"/>
      <c r="X109" s="566"/>
      <c r="Y109" s="566"/>
      <c r="Z109" s="3" t="s">
        <v>1068</v>
      </c>
    </row>
    <row r="110" spans="1:26" ht="60" customHeight="1" x14ac:dyDescent="0.3">
      <c r="A110" s="567">
        <f>'Unit Data from Audit Worksheet'!A123</f>
        <v>31</v>
      </c>
      <c r="B110" s="54" t="str">
        <f>'Unit Data from Audit Worksheet'!C123</f>
        <v>Combined Totals of all Proprietary Funds - Revenue, Expenses, Changes in Net Position</v>
      </c>
      <c r="C110" s="568" t="str">
        <f>'Unit Data from Audit Worksheet'!D123</f>
        <v>Combined Totals of all Proprietary Funds - Change in net position - (increase in net position is recorded as a positive and a decrease in net position is recorded as a negative)</v>
      </c>
      <c r="D110" s="353"/>
      <c r="E110" s="152">
        <f>'Unit Data from Audit Worksheet'!F121</f>
        <v>0</v>
      </c>
      <c r="F110" s="47"/>
      <c r="G110" s="72"/>
      <c r="H110" s="346"/>
      <c r="I110" s="38"/>
      <c r="J110" s="42">
        <v>31</v>
      </c>
      <c r="K110" s="51" t="s">
        <v>1061</v>
      </c>
      <c r="L110" s="569">
        <f t="shared" si="9"/>
        <v>0</v>
      </c>
      <c r="P110" s="315"/>
      <c r="X110" s="566"/>
      <c r="Y110" s="566"/>
    </row>
    <row r="111" spans="1:26" ht="60" customHeight="1" x14ac:dyDescent="0.3">
      <c r="A111" s="567">
        <f>'Unit Data from Audit Worksheet'!A124</f>
        <v>193</v>
      </c>
      <c r="B111" s="54" t="str">
        <f>'Unit Data from Audit Worksheet'!C124</f>
        <v>Combined Proprietary Funds - Change in Cash Flow Statement</v>
      </c>
      <c r="C111" s="568" t="str">
        <f>'Unit Data from Audit Worksheet'!D124</f>
        <v>Combined Totals of all Proprietary Funds - Capital Contributions</v>
      </c>
      <c r="D111" s="353"/>
      <c r="E111" s="152">
        <f>'Unit Data from Audit Worksheet'!F124</f>
        <v>0</v>
      </c>
      <c r="F111" s="47"/>
      <c r="G111" s="72"/>
      <c r="H111" s="346"/>
      <c r="I111" s="38"/>
      <c r="J111" s="42">
        <v>193</v>
      </c>
      <c r="K111" s="51" t="s">
        <v>304</v>
      </c>
      <c r="L111" s="569">
        <f t="shared" si="9"/>
        <v>0</v>
      </c>
      <c r="P111" s="315"/>
      <c r="X111" s="566"/>
      <c r="Y111" s="566"/>
    </row>
    <row r="112" spans="1:26" ht="60" customHeight="1" x14ac:dyDescent="0.3">
      <c r="A112" s="567">
        <f>'Unit Data from Audit Worksheet'!A125</f>
        <v>33</v>
      </c>
      <c r="B112" s="54" t="str">
        <f>'Unit Data from Audit Worksheet'!C125</f>
        <v>Combined Proprietary Funds - Change in Cash Flow Statement</v>
      </c>
      <c r="C112" s="568" t="str">
        <f>'Unit Data from Audit Worksheet'!D125</f>
        <v>Combined Totals of all Proprietary Funds - Cash Flow from Operating</v>
      </c>
      <c r="D112" s="353"/>
      <c r="E112" s="152">
        <f>'Unit Data from Audit Worksheet'!F125</f>
        <v>0</v>
      </c>
      <c r="F112" s="47"/>
      <c r="G112" s="72"/>
      <c r="H112" s="346"/>
      <c r="I112" s="38"/>
      <c r="J112" s="42">
        <v>33</v>
      </c>
      <c r="K112" s="51" t="s">
        <v>293</v>
      </c>
      <c r="L112" s="569">
        <f t="shared" si="9"/>
        <v>0</v>
      </c>
      <c r="P112" s="315"/>
      <c r="X112" s="566"/>
      <c r="Y112" s="566"/>
    </row>
    <row r="113" spans="1:26" ht="60" customHeight="1" x14ac:dyDescent="0.3">
      <c r="A113" s="567">
        <f>'Unit Data from Audit Worksheet'!A126</f>
        <v>104</v>
      </c>
      <c r="B113" s="54" t="str">
        <f>'Unit Data from Audit Worksheet'!C126</f>
        <v>Cash Flows</v>
      </c>
      <c r="C113" s="568" t="str">
        <f>'Unit Data from Audit Worksheet'!D126</f>
        <v>Capital Outlays</v>
      </c>
      <c r="D113" s="144"/>
      <c r="E113" s="152">
        <f>'Unit Data from Audit Worksheet'!F126</f>
        <v>0</v>
      </c>
      <c r="F113" s="47"/>
      <c r="G113" s="72"/>
      <c r="H113" s="346"/>
      <c r="I113" s="38"/>
      <c r="J113" s="42">
        <v>104</v>
      </c>
      <c r="K113" s="51" t="s">
        <v>1079</v>
      </c>
      <c r="L113" s="569">
        <f t="shared" si="9"/>
        <v>0</v>
      </c>
      <c r="P113" s="315"/>
      <c r="X113" s="566"/>
      <c r="Y113" s="566"/>
      <c r="Z113" s="3" t="s">
        <v>1068</v>
      </c>
    </row>
    <row r="114" spans="1:26" ht="60" customHeight="1" x14ac:dyDescent="0.3">
      <c r="A114" s="567">
        <f>'Unit Data from Audit Worksheet'!A127</f>
        <v>39</v>
      </c>
      <c r="B114" s="54" t="str">
        <f>'Unit Data from Audit Worksheet'!C127</f>
        <v>Cash Flows</v>
      </c>
      <c r="C114" s="568" t="str">
        <f>'Unit Data from Audit Worksheet'!D127</f>
        <v>Principal Paid - Long-term Debt</v>
      </c>
      <c r="D114" s="144"/>
      <c r="E114" s="152">
        <f>'Unit Data from Audit Worksheet'!F127</f>
        <v>0</v>
      </c>
      <c r="F114" s="47"/>
      <c r="G114" s="72"/>
      <c r="H114" s="346"/>
      <c r="I114" s="38"/>
      <c r="J114" s="42">
        <v>39</v>
      </c>
      <c r="K114" s="51" t="s">
        <v>1080</v>
      </c>
      <c r="L114" s="569">
        <f t="shared" si="9"/>
        <v>0</v>
      </c>
      <c r="P114" s="315"/>
      <c r="X114" s="566"/>
      <c r="Y114" s="566"/>
      <c r="Z114" s="3" t="s">
        <v>1068</v>
      </c>
    </row>
    <row r="115" spans="1:26" ht="60" customHeight="1" x14ac:dyDescent="0.3">
      <c r="A115" s="334">
        <f>'Unit Data from Audit Worksheet'!A131</f>
        <v>596</v>
      </c>
      <c r="B115" s="348"/>
      <c r="C115" s="333" t="str">
        <f>'Unit Data from Audit Worksheet'!D131</f>
        <v>Indicate if your water/sewer system:
50 - Became Operational
51 - Ceased Operations
52 - No Change</v>
      </c>
      <c r="D115" s="144"/>
      <c r="E115" s="354">
        <f>'Unit Data from Audit Worksheet'!F131</f>
        <v>0</v>
      </c>
      <c r="F115" s="347"/>
      <c r="G115" s="347"/>
      <c r="H115" s="346">
        <f>'Unit Data from Audit Worksheet'!I131</f>
        <v>0</v>
      </c>
      <c r="I115" s="38"/>
      <c r="J115" s="345">
        <v>596</v>
      </c>
      <c r="K115" s="344" t="s">
        <v>372</v>
      </c>
      <c r="L115" s="569">
        <f t="shared" si="9"/>
        <v>0</v>
      </c>
      <c r="P115" s="316"/>
      <c r="W115" s="3" t="b">
        <f t="shared" si="10"/>
        <v>1</v>
      </c>
      <c r="X115" s="566">
        <f t="shared" si="1"/>
        <v>0</v>
      </c>
      <c r="Y115" s="566">
        <f t="shared" si="2"/>
        <v>0</v>
      </c>
    </row>
    <row r="116" spans="1:26" ht="43.2" x14ac:dyDescent="0.3">
      <c r="A116" s="334">
        <f>'Unit Data from Audit Worksheet'!A132</f>
        <v>80</v>
      </c>
      <c r="B116" s="348" t="str">
        <f>'Unit Data from Audit Worksheet'!C132</f>
        <v>Water Sewer Net Position Statement</v>
      </c>
      <c r="C116" s="333" t="str">
        <f>'Unit Data from Audit Worksheet'!D132</f>
        <v>Unrestricted Cash and investments 
Exclude restricted cash and/or restricted investments.</v>
      </c>
      <c r="D116" s="144"/>
      <c r="E116" s="354">
        <f>'Unit Data from Audit Worksheet'!F132</f>
        <v>0</v>
      </c>
      <c r="F116" s="347">
        <f>IF(L116&lt;0,"Error: Number is normally positive.",)</f>
        <v>0</v>
      </c>
      <c r="G116" s="347" t="e">
        <f>'Unit Data from Audit Worksheet'!G132</f>
        <v>#N/A</v>
      </c>
      <c r="H116" s="346">
        <f>'Unit Data from Audit Worksheet'!I132</f>
        <v>0</v>
      </c>
      <c r="I116" s="38"/>
      <c r="J116" s="345">
        <v>80</v>
      </c>
      <c r="K116" s="344" t="s">
        <v>217</v>
      </c>
      <c r="L116" s="569">
        <f t="shared" si="9"/>
        <v>0</v>
      </c>
      <c r="P116" s="316"/>
      <c r="W116" s="3" t="b">
        <f t="shared" si="10"/>
        <v>1</v>
      </c>
      <c r="X116" s="566">
        <f t="shared" si="1"/>
        <v>0</v>
      </c>
      <c r="Y116" s="566">
        <f t="shared" si="2"/>
        <v>0</v>
      </c>
    </row>
    <row r="117" spans="1:26" ht="43.2" x14ac:dyDescent="0.3">
      <c r="A117" s="334">
        <f>'Unit Data from Audit Worksheet'!A133</f>
        <v>81</v>
      </c>
      <c r="B117" s="348" t="str">
        <f>'Unit Data from Audit Worksheet'!C133</f>
        <v>Water Sewer Net Position Statement</v>
      </c>
      <c r="C117" s="333" t="str">
        <f>'Unit Data from Audit Worksheet'!D133</f>
        <v>Customer accounts receivable (net of allowance accounts). 
Include both billed and unbilled amounts.</v>
      </c>
      <c r="D117" s="144"/>
      <c r="E117" s="354">
        <f>'Unit Data from Audit Worksheet'!F133</f>
        <v>0</v>
      </c>
      <c r="F117" s="347">
        <f>IF(L117&lt;0,"Error: Number is normally positive.",)</f>
        <v>0</v>
      </c>
      <c r="G117" s="349"/>
      <c r="H117" s="346">
        <f>'Unit Data from Audit Worksheet'!I133</f>
        <v>0</v>
      </c>
      <c r="I117" s="38"/>
      <c r="J117" s="345">
        <v>81</v>
      </c>
      <c r="K117" s="344" t="s">
        <v>218</v>
      </c>
      <c r="L117" s="569">
        <f t="shared" si="9"/>
        <v>0</v>
      </c>
      <c r="P117" s="316"/>
      <c r="W117" s="3" t="b">
        <f t="shared" si="10"/>
        <v>1</v>
      </c>
      <c r="X117" s="566">
        <f t="shared" ref="X117:X181" si="12">E117-L117</f>
        <v>0</v>
      </c>
      <c r="Y117" s="566">
        <f t="shared" ref="Y117:Y181" si="13">D117-L117</f>
        <v>0</v>
      </c>
    </row>
    <row r="118" spans="1:26" ht="68.25" customHeight="1" x14ac:dyDescent="0.3">
      <c r="A118" s="334">
        <f>'Unit Data from Audit Worksheet'!A134</f>
        <v>579</v>
      </c>
      <c r="B118" s="348" t="str">
        <f>'Unit Data from Audit Worksheet'!C134</f>
        <v>Water Sewer Net Position Statement</v>
      </c>
      <c r="C118" s="333" t="str">
        <f>'Unit Data from Audit Worksheet'!D134</f>
        <v>Water Sewer - Advance To:
Interfund loan receivable-portion of repayment plan longer than 12 months</v>
      </c>
      <c r="D118" s="144"/>
      <c r="E118" s="354">
        <f>'Unit Data from Audit Worksheet'!F134</f>
        <v>0</v>
      </c>
      <c r="F118" s="347"/>
      <c r="G118" s="349"/>
      <c r="H118" s="346"/>
      <c r="I118" s="38"/>
      <c r="J118" s="345">
        <v>579</v>
      </c>
      <c r="K118" s="344" t="s">
        <v>349</v>
      </c>
      <c r="L118" s="569">
        <f t="shared" si="9"/>
        <v>0</v>
      </c>
      <c r="N118" s="593"/>
      <c r="P118" s="316"/>
      <c r="W118" s="3" t="b">
        <f t="shared" si="10"/>
        <v>1</v>
      </c>
      <c r="X118" s="566">
        <f t="shared" si="12"/>
        <v>0</v>
      </c>
      <c r="Y118" s="566">
        <f t="shared" si="13"/>
        <v>0</v>
      </c>
    </row>
    <row r="119" spans="1:26" ht="47.25" customHeight="1" x14ac:dyDescent="0.3">
      <c r="A119" s="334">
        <f>'Unit Data from Audit Worksheet'!A135</f>
        <v>510</v>
      </c>
      <c r="B119" s="348" t="str">
        <f>'Unit Data from Audit Worksheet'!C135</f>
        <v>Water Sewer Net Position Statement</v>
      </c>
      <c r="C119" s="333" t="str">
        <f>'Unit Data from Audit Worksheet'!D135</f>
        <v>Amount of Inventories and Prepaid expenses in current assets</v>
      </c>
      <c r="D119" s="144"/>
      <c r="E119" s="354">
        <f>'Unit Data from Audit Worksheet'!F135</f>
        <v>0</v>
      </c>
      <c r="F119" s="347"/>
      <c r="G119" s="349"/>
      <c r="H119" s="346">
        <f>'Unit Data from Audit Worksheet'!I135</f>
        <v>0</v>
      </c>
      <c r="I119" s="38"/>
      <c r="J119" s="345">
        <v>510</v>
      </c>
      <c r="K119" s="344" t="s">
        <v>219</v>
      </c>
      <c r="L119" s="569">
        <f t="shared" si="9"/>
        <v>0</v>
      </c>
      <c r="P119" s="316"/>
      <c r="W119" s="3" t="b">
        <f t="shared" si="10"/>
        <v>1</v>
      </c>
      <c r="X119" s="566">
        <f t="shared" si="12"/>
        <v>0</v>
      </c>
      <c r="Y119" s="566">
        <f t="shared" si="13"/>
        <v>0</v>
      </c>
    </row>
    <row r="120" spans="1:26" ht="43.2" x14ac:dyDescent="0.3">
      <c r="A120" s="334">
        <f>'Unit Data from Audit Worksheet'!A136</f>
        <v>654</v>
      </c>
      <c r="B120" s="348" t="str">
        <f>'Unit Data from Audit Worksheet'!C136</f>
        <v>Water Sewer Net Position Statement</v>
      </c>
      <c r="C120" s="333" t="str">
        <f>'Unit Data from Audit Worksheet'!D136</f>
        <v xml:space="preserve">Total Current assets as listed on the WS Net Position Statement.  
</v>
      </c>
      <c r="D120" s="144"/>
      <c r="E120" s="354">
        <f>'Unit Data from Audit Worksheet'!F136</f>
        <v>0</v>
      </c>
      <c r="F120" s="347">
        <f>IF((+L116+L117+L119)&gt;L120,"Please review components of current assets above Acct. (80+81+510&gt;654",)</f>
        <v>0</v>
      </c>
      <c r="G120" s="349" t="str">
        <f>IF(Q120=1," Included in error count"," ")</f>
        <v xml:space="preserve"> </v>
      </c>
      <c r="H120" s="346">
        <f>'Unit Data from Audit Worksheet'!I136</f>
        <v>0</v>
      </c>
      <c r="I120" s="38"/>
      <c r="J120" s="345">
        <v>654</v>
      </c>
      <c r="K120" s="351" t="s">
        <v>526</v>
      </c>
      <c r="L120" s="569">
        <f t="shared" si="9"/>
        <v>0</v>
      </c>
      <c r="P120" s="316"/>
      <c r="Q120" s="559">
        <f>IF((+L116+L117+L119)&gt;L120,1,0)</f>
        <v>0</v>
      </c>
      <c r="W120" s="3" t="b">
        <f t="shared" si="10"/>
        <v>1</v>
      </c>
      <c r="X120" s="566">
        <f t="shared" si="12"/>
        <v>0</v>
      </c>
      <c r="Y120" s="566">
        <f t="shared" si="13"/>
        <v>0</v>
      </c>
    </row>
    <row r="121" spans="1:26" ht="43.2" x14ac:dyDescent="0.3">
      <c r="A121" s="334">
        <f>'Unit Data from Audit Worksheet'!A137</f>
        <v>655</v>
      </c>
      <c r="B121" s="348" t="str">
        <f>'Unit Data from Audit Worksheet'!C137</f>
        <v>Water Sewer Net Position Statement</v>
      </c>
      <c r="C121" s="333" t="str">
        <f>'Unit Data from Audit Worksheet'!D137</f>
        <v>WS-Any current assets that are restricted (Cash, Accounts Rec., etc..) and included in account 654 above</v>
      </c>
      <c r="D121" s="144"/>
      <c r="E121" s="354">
        <f>'Unit Data from Audit Worksheet'!F137</f>
        <v>0</v>
      </c>
      <c r="F121" s="347"/>
      <c r="G121" s="349"/>
      <c r="H121" s="346"/>
      <c r="I121" s="38"/>
      <c r="J121" s="345">
        <v>655</v>
      </c>
      <c r="K121" s="351" t="s">
        <v>570</v>
      </c>
      <c r="L121" s="569">
        <f t="shared" si="9"/>
        <v>0</v>
      </c>
      <c r="P121" s="316"/>
      <c r="W121" s="3" t="b">
        <f t="shared" si="10"/>
        <v>1</v>
      </c>
      <c r="X121" s="566">
        <f t="shared" si="12"/>
        <v>0</v>
      </c>
      <c r="Y121" s="566">
        <f t="shared" si="13"/>
        <v>0</v>
      </c>
    </row>
    <row r="122" spans="1:26" ht="42.75" customHeight="1" x14ac:dyDescent="0.3">
      <c r="A122" s="334">
        <f>'Unit Data from Audit Worksheet'!A138</f>
        <v>381</v>
      </c>
      <c r="B122" s="348" t="str">
        <f>'Unit Data from Audit Worksheet'!C138</f>
        <v>Water Sewer Net Position Statement</v>
      </c>
      <c r="C122" s="333" t="str">
        <f>'Unit Data from Audit Worksheet'!D138</f>
        <v>Total Assets and deferred outflows</v>
      </c>
      <c r="D122" s="144"/>
      <c r="E122" s="354">
        <f>'Unit Data from Audit Worksheet'!F138</f>
        <v>0</v>
      </c>
      <c r="F122" s="347" t="str">
        <f>IF(L122&lt;L120,"Please review components of current assets above acct. 381&lt;654"," ")</f>
        <v xml:space="preserve"> </v>
      </c>
      <c r="G122" s="349" t="str">
        <f>IF(Q122=1," Included in error count"," ")</f>
        <v xml:space="preserve"> </v>
      </c>
      <c r="H122" s="346">
        <f>'Unit Data from Audit Worksheet'!I138</f>
        <v>0</v>
      </c>
      <c r="I122" s="38"/>
      <c r="J122" s="345">
        <v>381</v>
      </c>
      <c r="K122" s="344" t="s">
        <v>113</v>
      </c>
      <c r="L122" s="569">
        <f t="shared" si="9"/>
        <v>0</v>
      </c>
      <c r="P122" s="316"/>
      <c r="Q122" s="559">
        <f>IF(L122&lt;L120,1,0)</f>
        <v>0</v>
      </c>
      <c r="W122" s="3" t="b">
        <f t="shared" si="10"/>
        <v>1</v>
      </c>
      <c r="X122" s="566">
        <f t="shared" si="12"/>
        <v>0</v>
      </c>
      <c r="Y122" s="566">
        <f t="shared" si="13"/>
        <v>0</v>
      </c>
    </row>
    <row r="123" spans="1:26" ht="60.75" customHeight="1" x14ac:dyDescent="0.3">
      <c r="A123" s="581">
        <f>'Unit Data from Audit Worksheet'!A139</f>
        <v>578</v>
      </c>
      <c r="B123" s="117" t="str">
        <f>'Unit Data from Audit Worksheet'!C139</f>
        <v>Water Sewer Net Position Statement</v>
      </c>
      <c r="C123" s="571" t="str">
        <f>'Unit Data from Audit Worksheet'!D139</f>
        <v>Water Sewer - Advance From: 
Interfund loan Payable-portion of repayment plan longer than 12 months</v>
      </c>
      <c r="D123" s="110"/>
      <c r="E123" s="155">
        <f>'Unit Data from Audit Worksheet'!F139</f>
        <v>0</v>
      </c>
      <c r="F123" s="111"/>
      <c r="G123" s="112"/>
      <c r="H123" s="113"/>
      <c r="I123" s="38"/>
      <c r="J123" s="105">
        <v>578</v>
      </c>
      <c r="K123" s="44" t="s">
        <v>350</v>
      </c>
      <c r="L123" s="569">
        <f t="shared" si="9"/>
        <v>0</v>
      </c>
      <c r="P123" s="317"/>
      <c r="Q123" s="350"/>
      <c r="W123" s="3" t="b">
        <f t="shared" si="10"/>
        <v>1</v>
      </c>
      <c r="X123" s="566">
        <f t="shared" si="12"/>
        <v>0</v>
      </c>
      <c r="Y123" s="566">
        <f t="shared" si="13"/>
        <v>0</v>
      </c>
    </row>
    <row r="124" spans="1:26" s="18" customFormat="1" ht="104.25" customHeight="1" x14ac:dyDescent="0.3">
      <c r="A124" s="306">
        <v>633</v>
      </c>
      <c r="B124" s="361" t="str">
        <f>'Unit Data from Audit Worksheet'!C140</f>
        <v>Water Sewer Net Position Statement</v>
      </c>
      <c r="C124" s="306" t="str">
        <f>'Unit Data from Audit Worksheet'!D140</f>
        <v>Current liabilities (as reported on the Statement of Fund Net Position)
Include:   Current liabilities including current portion of long-term debt.  Deferred inflows should not be included in Current Liabilities  
Enter as positive</v>
      </c>
      <c r="D124" s="110"/>
      <c r="E124" s="360">
        <f>'Unit Data from Audit Worksheet'!F140</f>
        <v>0</v>
      </c>
      <c r="F124" s="342" t="str">
        <f>IF(L124&gt;=(L125+L126+L127+L128+L129+L130),"","Account 633 is less than the total sum of accounts 634 through 638 + 383")</f>
        <v/>
      </c>
      <c r="G124" s="327">
        <f>L124-(L125+L126+L127+L128+L129+L130)</f>
        <v>0</v>
      </c>
      <c r="H124" s="342"/>
      <c r="I124" s="582"/>
      <c r="J124" s="341">
        <v>633</v>
      </c>
      <c r="K124" s="309" t="s">
        <v>459</v>
      </c>
      <c r="L124" s="583">
        <f>IF(D124="",E124,D124)</f>
        <v>0</v>
      </c>
      <c r="M124" s="573"/>
      <c r="N124" s="573"/>
      <c r="O124" s="573"/>
      <c r="P124" s="318"/>
      <c r="Q124" s="574"/>
      <c r="R124" s="3"/>
      <c r="S124" s="573"/>
      <c r="T124" s="573"/>
      <c r="U124" s="573"/>
      <c r="V124" s="573"/>
      <c r="W124" s="18" t="b">
        <f t="shared" si="10"/>
        <v>1</v>
      </c>
      <c r="X124" s="575">
        <f t="shared" si="12"/>
        <v>0</v>
      </c>
      <c r="Y124" s="575">
        <f t="shared" si="13"/>
        <v>0</v>
      </c>
    </row>
    <row r="125" spans="1:26" s="18" customFormat="1" ht="130.5" customHeight="1" x14ac:dyDescent="0.3">
      <c r="A125" s="306">
        <v>634</v>
      </c>
      <c r="B125" s="361" t="str">
        <f>'Unit Data from Audit Worksheet'!C141</f>
        <v>Water Sewer Net Position Statement</v>
      </c>
      <c r="C125" s="306" t="str">
        <f>'Unit Data from Audit Worksheet'!D141</f>
        <v>Please enter any bond anticipation notes that are classified as current liabilities and included in account 633 above (amounts entered should agree to the current amount included in the changes to long-term debt note)
Enter as positive</v>
      </c>
      <c r="D125" s="110"/>
      <c r="E125" s="360">
        <f>'Unit Data from Audit Worksheet'!F141</f>
        <v>0</v>
      </c>
      <c r="F125" s="342"/>
      <c r="G125" s="327"/>
      <c r="H125" s="342"/>
      <c r="I125" s="582"/>
      <c r="J125" s="341">
        <v>634</v>
      </c>
      <c r="K125" s="309" t="s">
        <v>460</v>
      </c>
      <c r="L125" s="583">
        <f>IF(D125="",E125,D125)</f>
        <v>0</v>
      </c>
      <c r="M125" s="573"/>
      <c r="N125" s="573"/>
      <c r="O125" s="573"/>
      <c r="P125" s="318"/>
      <c r="Q125" s="574"/>
      <c r="R125" s="3"/>
      <c r="S125" s="573"/>
      <c r="T125" s="573"/>
      <c r="U125" s="573"/>
      <c r="V125" s="573"/>
      <c r="W125" s="18" t="b">
        <f t="shared" si="10"/>
        <v>1</v>
      </c>
      <c r="X125" s="575">
        <f t="shared" si="12"/>
        <v>0</v>
      </c>
      <c r="Y125" s="575">
        <f t="shared" si="13"/>
        <v>0</v>
      </c>
    </row>
    <row r="126" spans="1:26" s="18" customFormat="1" ht="105.75" customHeight="1" x14ac:dyDescent="0.3">
      <c r="A126" s="306">
        <v>635</v>
      </c>
      <c r="B126" s="361" t="str">
        <f>'Unit Data from Audit Worksheet'!C142</f>
        <v>Water Sewer Net Position Statement</v>
      </c>
      <c r="C126" s="306" t="str">
        <f>'Unit Data from Audit Worksheet'!D142</f>
        <v>Please enter any compensated absences that are classified as current liabilities and included in account 633 above (amounts entered should agree to the current amount included in the changes to long-term debt note)
Enter as positive</v>
      </c>
      <c r="D126" s="110"/>
      <c r="E126" s="360">
        <f>'Unit Data from Audit Worksheet'!F142</f>
        <v>0</v>
      </c>
      <c r="F126" s="342"/>
      <c r="G126" s="327"/>
      <c r="H126" s="342"/>
      <c r="I126" s="582"/>
      <c r="J126" s="341">
        <v>635</v>
      </c>
      <c r="K126" s="309" t="s">
        <v>461</v>
      </c>
      <c r="L126" s="583">
        <f>IF(D126="",E126,D126)</f>
        <v>0</v>
      </c>
      <c r="M126" s="573"/>
      <c r="N126" s="573"/>
      <c r="O126" s="573"/>
      <c r="P126" s="318"/>
      <c r="Q126" s="574"/>
      <c r="R126" s="3"/>
      <c r="S126" s="573"/>
      <c r="T126" s="573"/>
      <c r="U126" s="573"/>
      <c r="V126" s="573"/>
      <c r="W126" s="18" t="b">
        <f t="shared" si="10"/>
        <v>1</v>
      </c>
      <c r="X126" s="575">
        <f t="shared" si="12"/>
        <v>0</v>
      </c>
      <c r="Y126" s="575">
        <f t="shared" si="13"/>
        <v>0</v>
      </c>
    </row>
    <row r="127" spans="1:26" s="18" customFormat="1" ht="105.75" customHeight="1" x14ac:dyDescent="0.3">
      <c r="A127" s="306">
        <v>636</v>
      </c>
      <c r="B127" s="361" t="str">
        <f>'Unit Data from Audit Worksheet'!C143</f>
        <v>Water Sewer Net Position Statement</v>
      </c>
      <c r="C127" s="306" t="str">
        <f>'Unit Data from Audit Worksheet'!D143</f>
        <v>Please enter any pension liabilities that are classified as current liabilities and included in account 633 above (amounts entered should agree to the current amount included in the changes to long-term debt note)
Enter as positive</v>
      </c>
      <c r="D127" s="110"/>
      <c r="E127" s="360">
        <f>'Unit Data from Audit Worksheet'!F143</f>
        <v>0</v>
      </c>
      <c r="F127" s="342"/>
      <c r="G127" s="327"/>
      <c r="H127" s="342"/>
      <c r="I127" s="582"/>
      <c r="J127" s="341">
        <v>636</v>
      </c>
      <c r="K127" s="309" t="s">
        <v>456</v>
      </c>
      <c r="L127" s="583">
        <f t="shared" ref="L127:L137" si="14">IF(D127="",E127,D127)</f>
        <v>0</v>
      </c>
      <c r="M127" s="573"/>
      <c r="N127" s="573"/>
      <c r="O127" s="573"/>
      <c r="P127" s="318"/>
      <c r="Q127" s="574"/>
      <c r="R127" s="3"/>
      <c r="S127" s="573"/>
      <c r="T127" s="573"/>
      <c r="U127" s="573"/>
      <c r="V127" s="573"/>
      <c r="W127" s="18" t="b">
        <f t="shared" si="10"/>
        <v>1</v>
      </c>
      <c r="X127" s="575">
        <f t="shared" si="12"/>
        <v>0</v>
      </c>
      <c r="Y127" s="575">
        <f t="shared" si="13"/>
        <v>0</v>
      </c>
    </row>
    <row r="128" spans="1:26" s="18" customFormat="1" ht="59.25" customHeight="1" x14ac:dyDescent="0.3">
      <c r="A128" s="306">
        <v>637</v>
      </c>
      <c r="B128" s="361" t="str">
        <f>'Unit Data from Audit Worksheet'!C144</f>
        <v>Water Sewer Net Position Statement</v>
      </c>
      <c r="C128" s="306" t="str">
        <f>'Unit Data from Audit Worksheet'!D144</f>
        <v>Please enter any current liabilities that are payable from restricted assets and included in account 633 above.
Enter as positive</v>
      </c>
      <c r="D128" s="110"/>
      <c r="E128" s="360">
        <f>'Unit Data from Audit Worksheet'!F144</f>
        <v>0</v>
      </c>
      <c r="F128" s="342"/>
      <c r="G128" s="327"/>
      <c r="H128" s="342"/>
      <c r="I128" s="582"/>
      <c r="J128" s="341">
        <v>637</v>
      </c>
      <c r="K128" s="309" t="s">
        <v>457</v>
      </c>
      <c r="L128" s="583">
        <f t="shared" si="14"/>
        <v>0</v>
      </c>
      <c r="M128" s="573"/>
      <c r="N128" s="573"/>
      <c r="O128" s="573"/>
      <c r="P128" s="318"/>
      <c r="Q128" s="574"/>
      <c r="R128" s="3"/>
      <c r="S128" s="573"/>
      <c r="T128" s="573"/>
      <c r="U128" s="573"/>
      <c r="V128" s="573"/>
      <c r="W128" s="18" t="b">
        <f t="shared" si="10"/>
        <v>1</v>
      </c>
      <c r="X128" s="575">
        <f t="shared" si="12"/>
        <v>0</v>
      </c>
      <c r="Y128" s="575">
        <f t="shared" si="13"/>
        <v>0</v>
      </c>
    </row>
    <row r="129" spans="1:25" s="18" customFormat="1" ht="103.5" customHeight="1" x14ac:dyDescent="0.3">
      <c r="A129" s="306">
        <v>638</v>
      </c>
      <c r="B129" s="361" t="str">
        <f>'Unit Data from Audit Worksheet'!C145</f>
        <v>Water Sewer Net Position Statement</v>
      </c>
      <c r="C129" s="306" t="str">
        <f>'Unit Data from Audit Worksheet'!D145</f>
        <v>Please enter any OPEB liabilities that are classified as current liabilities and included in account 633 above (amounts entered should agree to the current amount included in the changes to long-term debt note)
Enter as positive</v>
      </c>
      <c r="D129" s="110"/>
      <c r="E129" s="360">
        <f>'Unit Data from Audit Worksheet'!F145</f>
        <v>0</v>
      </c>
      <c r="F129" s="342"/>
      <c r="G129" s="327"/>
      <c r="H129" s="342"/>
      <c r="I129" s="582"/>
      <c r="J129" s="341">
        <v>638</v>
      </c>
      <c r="K129" s="309" t="s">
        <v>462</v>
      </c>
      <c r="L129" s="583">
        <f t="shared" si="14"/>
        <v>0</v>
      </c>
      <c r="M129" s="573"/>
      <c r="N129" s="573"/>
      <c r="O129" s="573"/>
      <c r="P129" s="318"/>
      <c r="Q129" s="574"/>
      <c r="R129" s="3"/>
      <c r="S129" s="573"/>
      <c r="T129" s="573"/>
      <c r="U129" s="573"/>
      <c r="V129" s="573"/>
      <c r="W129" s="18" t="b">
        <f t="shared" si="10"/>
        <v>1</v>
      </c>
      <c r="X129" s="575">
        <f t="shared" si="12"/>
        <v>0</v>
      </c>
      <c r="Y129" s="575">
        <f t="shared" si="13"/>
        <v>0</v>
      </c>
    </row>
    <row r="130" spans="1:25" ht="76.5" customHeight="1" x14ac:dyDescent="0.3">
      <c r="A130" s="567">
        <f>'Unit Data from Audit Worksheet'!A146</f>
        <v>383</v>
      </c>
      <c r="B130" s="54" t="str">
        <f>'Unit Data from Audit Worksheet'!C146</f>
        <v>Water Sewer Net Position Statement</v>
      </c>
      <c r="C130" s="568" t="str">
        <f>'Unit Data from Audit Worksheet'!D146</f>
        <v>Unearned revenue (arising from cash receipts) that were included in Current Liabilities in the question in account 633 above.
Enter as positive</v>
      </c>
      <c r="D130" s="144"/>
      <c r="E130" s="152">
        <f>'Unit Data from Audit Worksheet'!F146</f>
        <v>0</v>
      </c>
      <c r="F130" s="47">
        <f>IF(L130&lt;0,"Error: Enter as a positive.",)</f>
        <v>0</v>
      </c>
      <c r="G130" s="72"/>
      <c r="H130" s="346">
        <f>'Unit Data from Audit Worksheet'!I146</f>
        <v>0</v>
      </c>
      <c r="I130" s="38"/>
      <c r="J130" s="42">
        <v>383</v>
      </c>
      <c r="K130" s="51" t="s">
        <v>220</v>
      </c>
      <c r="L130" s="569">
        <f t="shared" si="14"/>
        <v>0</v>
      </c>
      <c r="P130" s="315"/>
      <c r="W130" s="3" t="b">
        <f t="shared" si="10"/>
        <v>1</v>
      </c>
      <c r="X130" s="566">
        <f t="shared" si="12"/>
        <v>0</v>
      </c>
      <c r="Y130" s="566">
        <f t="shared" si="13"/>
        <v>0</v>
      </c>
    </row>
    <row r="131" spans="1:25" ht="54" customHeight="1" x14ac:dyDescent="0.3">
      <c r="A131" s="334">
        <f>'Unit Data from Audit Worksheet'!A147</f>
        <v>349</v>
      </c>
      <c r="B131" s="348" t="str">
        <f>'Unit Data from Audit Worksheet'!C147</f>
        <v>Water Sewer Net Position Statement</v>
      </c>
      <c r="C131" s="333" t="str">
        <f>'Unit Data from Audit Worksheet'!D147</f>
        <v>Total Liabilities and deferred inflows</v>
      </c>
      <c r="D131" s="144"/>
      <c r="E131" s="354">
        <f>'Unit Data from Audit Worksheet'!F147</f>
        <v>0</v>
      </c>
      <c r="F131" s="347">
        <f>IF(L124&gt;L131,"Error: Please review accts 633&gt;349",)</f>
        <v>0</v>
      </c>
      <c r="G131" s="349" t="str">
        <f>IF(Q131=1," Included in error count"," ")</f>
        <v xml:space="preserve"> </v>
      </c>
      <c r="H131" s="346">
        <f>'Unit Data from Audit Worksheet'!I147</f>
        <v>0</v>
      </c>
      <c r="I131" s="38"/>
      <c r="J131" s="345">
        <v>349</v>
      </c>
      <c r="K131" s="344" t="s">
        <v>122</v>
      </c>
      <c r="L131" s="569">
        <f t="shared" si="14"/>
        <v>0</v>
      </c>
      <c r="P131" s="316"/>
      <c r="Q131" s="559">
        <f>IF(L124&gt;L131,1,0)</f>
        <v>0</v>
      </c>
      <c r="W131" s="3" t="b">
        <f t="shared" si="10"/>
        <v>1</v>
      </c>
      <c r="X131" s="566">
        <f t="shared" si="12"/>
        <v>0</v>
      </c>
      <c r="Y131" s="566">
        <f t="shared" si="13"/>
        <v>0</v>
      </c>
    </row>
    <row r="132" spans="1:25" ht="56.25" customHeight="1" x14ac:dyDescent="0.3">
      <c r="A132" s="334">
        <f>'Unit Data from Audit Worksheet'!A148</f>
        <v>375</v>
      </c>
      <c r="B132" s="348" t="str">
        <f>'Unit Data from Audit Worksheet'!C148</f>
        <v>Water Sewer Net Position Statement</v>
      </c>
      <c r="C132" s="333" t="str">
        <f>'Unit Data from Audit Worksheet'!D148</f>
        <v>Total Net position, Unrestricted - enter negative unrestricted net position as a negative</v>
      </c>
      <c r="D132" s="144"/>
      <c r="E132" s="354">
        <f>'Unit Data from Audit Worksheet'!F148</f>
        <v>0</v>
      </c>
      <c r="F132" s="347"/>
      <c r="G132" s="349"/>
      <c r="H132" s="346">
        <f>'Unit Data from Audit Worksheet'!I148</f>
        <v>0</v>
      </c>
      <c r="I132" s="38"/>
      <c r="J132" s="345">
        <v>375</v>
      </c>
      <c r="K132" s="344" t="s">
        <v>221</v>
      </c>
      <c r="L132" s="569">
        <f t="shared" si="14"/>
        <v>0</v>
      </c>
      <c r="P132" s="316"/>
      <c r="W132" s="3" t="b">
        <f t="shared" si="10"/>
        <v>1</v>
      </c>
      <c r="X132" s="566">
        <f t="shared" si="12"/>
        <v>0</v>
      </c>
      <c r="Y132" s="566">
        <f t="shared" si="13"/>
        <v>0</v>
      </c>
    </row>
    <row r="133" spans="1:25" ht="56.25" customHeight="1" x14ac:dyDescent="0.3">
      <c r="A133" s="334">
        <f>'Unit Data from Audit Worksheet'!A149</f>
        <v>83</v>
      </c>
      <c r="B133" s="348" t="str">
        <f>'Unit Data from Audit Worksheet'!C149</f>
        <v>Water Sewer Net Position Statement</v>
      </c>
      <c r="C133" s="333" t="str">
        <f>'Unit Data from Audit Worksheet'!D149</f>
        <v>Total Net position</v>
      </c>
      <c r="D133" s="144"/>
      <c r="E133" s="354">
        <f>'Unit Data from Audit Worksheet'!F149</f>
        <v>0</v>
      </c>
      <c r="F133" s="347">
        <f>IF(+L122-L131-L133=0,,"Error: Total assets less total liabilities do not equal net position acct 381-349-83=0")</f>
        <v>0</v>
      </c>
      <c r="G133" s="91">
        <f>L122-L131-L133</f>
        <v>0</v>
      </c>
      <c r="H133" s="346">
        <f>'Unit Data from Audit Worksheet'!I149</f>
        <v>0</v>
      </c>
      <c r="I133" s="38"/>
      <c r="J133" s="345">
        <v>83</v>
      </c>
      <c r="K133" s="344" t="s">
        <v>102</v>
      </c>
      <c r="L133" s="569">
        <f t="shared" si="14"/>
        <v>0</v>
      </c>
      <c r="O133" s="577" t="e">
        <f>'Unit Data from Audit Worksheet'!E149</f>
        <v>#N/A</v>
      </c>
      <c r="P133" s="316"/>
      <c r="Q133" s="559">
        <f>IF(G133&lt;&gt;0,1,0)</f>
        <v>0</v>
      </c>
      <c r="W133" s="3" t="b">
        <f t="shared" ref="W133:W164" si="15">EXACT(A133,J133)</f>
        <v>1</v>
      </c>
      <c r="X133" s="566">
        <f t="shared" si="12"/>
        <v>0</v>
      </c>
      <c r="Y133" s="566">
        <f t="shared" si="13"/>
        <v>0</v>
      </c>
    </row>
    <row r="134" spans="1:25" ht="56.25" customHeight="1" x14ac:dyDescent="0.3">
      <c r="A134" s="334">
        <f>'Unit Data from Audit Worksheet'!A151</f>
        <v>90</v>
      </c>
      <c r="B134" s="348" t="str">
        <f>'Unit Data from Audit Worksheet'!C151</f>
        <v>Electric Fund Net Position Statement</v>
      </c>
      <c r="C134" s="333" t="str">
        <f>'Unit Data from Audit Worksheet'!D151</f>
        <v>All Unrestricted Cash and Investments.  
Exclude any restricted cash and investments.</v>
      </c>
      <c r="D134" s="144"/>
      <c r="E134" s="354">
        <f>'Unit Data from Audit Worksheet'!F151</f>
        <v>0</v>
      </c>
      <c r="F134" s="347">
        <f>IF(L134&lt;0,"Error: Number is normally positive.",)</f>
        <v>0</v>
      </c>
      <c r="G134" s="349"/>
      <c r="H134" s="346">
        <f>'Unit Data from Audit Worksheet'!I151</f>
        <v>0</v>
      </c>
      <c r="I134" s="38"/>
      <c r="J134" s="345">
        <v>90</v>
      </c>
      <c r="K134" s="344" t="s">
        <v>222</v>
      </c>
      <c r="L134" s="569">
        <f t="shared" si="14"/>
        <v>0</v>
      </c>
      <c r="P134" s="316"/>
      <c r="W134" s="3" t="b">
        <f t="shared" si="15"/>
        <v>1</v>
      </c>
      <c r="X134" s="566">
        <f t="shared" si="12"/>
        <v>0</v>
      </c>
      <c r="Y134" s="566">
        <f t="shared" si="13"/>
        <v>0</v>
      </c>
    </row>
    <row r="135" spans="1:25" ht="56.25" customHeight="1" x14ac:dyDescent="0.3">
      <c r="A135" s="334">
        <f>'Unit Data from Audit Worksheet'!A152</f>
        <v>91</v>
      </c>
      <c r="B135" s="348" t="str">
        <f>'Unit Data from Audit Worksheet'!C152</f>
        <v>Electric Fund Net Position Statement</v>
      </c>
      <c r="C135" s="333" t="str">
        <f>'Unit Data from Audit Worksheet'!D152</f>
        <v xml:space="preserve">Customer accounts receivable (net of allowance accounts)
Include billed and unbilled amounts </v>
      </c>
      <c r="D135" s="144"/>
      <c r="E135" s="354">
        <f>'Unit Data from Audit Worksheet'!F152</f>
        <v>0</v>
      </c>
      <c r="F135" s="347">
        <f>IF(L135&lt;0,"Error: Number is normally positive.",)</f>
        <v>0</v>
      </c>
      <c r="G135" s="349"/>
      <c r="H135" s="346">
        <f>'Unit Data from Audit Worksheet'!I152</f>
        <v>0</v>
      </c>
      <c r="I135" s="38"/>
      <c r="J135" s="345">
        <v>91</v>
      </c>
      <c r="K135" s="344" t="s">
        <v>223</v>
      </c>
      <c r="L135" s="569">
        <f t="shared" si="14"/>
        <v>0</v>
      </c>
      <c r="P135" s="316"/>
      <c r="W135" s="3" t="b">
        <f t="shared" si="15"/>
        <v>1</v>
      </c>
      <c r="X135" s="566">
        <f t="shared" si="12"/>
        <v>0</v>
      </c>
      <c r="Y135" s="566">
        <f t="shared" si="13"/>
        <v>0</v>
      </c>
    </row>
    <row r="136" spans="1:25" ht="56.25" customHeight="1" x14ac:dyDescent="0.3">
      <c r="A136" s="334">
        <f>'Unit Data from Audit Worksheet'!A153</f>
        <v>581</v>
      </c>
      <c r="B136" s="348" t="str">
        <f>'Unit Data from Audit Worksheet'!C153</f>
        <v>Electric Fund Net Position Statement</v>
      </c>
      <c r="C136" s="333" t="str">
        <f>'Unit Data from Audit Worksheet'!D153</f>
        <v>Electric Fund - Advance To:
Interfund loan receivable-portion of repayment plan longer than 12 months</v>
      </c>
      <c r="D136" s="144"/>
      <c r="E136" s="354">
        <f>'Unit Data from Audit Worksheet'!F153</f>
        <v>0</v>
      </c>
      <c r="F136" s="347"/>
      <c r="G136" s="349"/>
      <c r="H136" s="346"/>
      <c r="I136" s="38"/>
      <c r="J136" s="345">
        <v>581</v>
      </c>
      <c r="K136" s="344" t="s">
        <v>351</v>
      </c>
      <c r="L136" s="569">
        <f t="shared" si="14"/>
        <v>0</v>
      </c>
      <c r="P136" s="316"/>
      <c r="W136" s="3" t="b">
        <f t="shared" si="15"/>
        <v>1</v>
      </c>
      <c r="X136" s="566">
        <f t="shared" si="12"/>
        <v>0</v>
      </c>
      <c r="Y136" s="566">
        <f t="shared" si="13"/>
        <v>0</v>
      </c>
    </row>
    <row r="137" spans="1:25" ht="56.25" customHeight="1" x14ac:dyDescent="0.3">
      <c r="A137" s="334">
        <f>'Unit Data from Audit Worksheet'!A154</f>
        <v>511</v>
      </c>
      <c r="B137" s="348" t="str">
        <f>'Unit Data from Audit Worksheet'!C154</f>
        <v>Electric Fund Net Position Statement</v>
      </c>
      <c r="C137" s="333" t="str">
        <f>'Unit Data from Audit Worksheet'!D154</f>
        <v>Amount of inventories and prepaids</v>
      </c>
      <c r="D137" s="144"/>
      <c r="E137" s="354">
        <f>'Unit Data from Audit Worksheet'!F154</f>
        <v>0</v>
      </c>
      <c r="F137" s="347">
        <f t="shared" ref="F137:F142" si="16">IF(L137&lt;0,"Error: Number is normally positive.",)</f>
        <v>0</v>
      </c>
      <c r="G137" s="349"/>
      <c r="H137" s="346">
        <f>'Unit Data from Audit Worksheet'!I154</f>
        <v>0</v>
      </c>
      <c r="I137" s="38"/>
      <c r="J137" s="345">
        <v>511</v>
      </c>
      <c r="K137" s="344" t="s">
        <v>224</v>
      </c>
      <c r="L137" s="569">
        <f t="shared" si="14"/>
        <v>0</v>
      </c>
      <c r="P137" s="316"/>
      <c r="W137" s="3" t="b">
        <f t="shared" si="15"/>
        <v>1</v>
      </c>
      <c r="X137" s="566">
        <f t="shared" si="12"/>
        <v>0</v>
      </c>
      <c r="Y137" s="566">
        <f t="shared" si="13"/>
        <v>0</v>
      </c>
    </row>
    <row r="138" spans="1:25" ht="62.25" customHeight="1" x14ac:dyDescent="0.3">
      <c r="A138" s="334">
        <f>'Unit Data from Audit Worksheet'!A155</f>
        <v>657</v>
      </c>
      <c r="B138" s="348" t="str">
        <f>'Unit Data from Audit Worksheet'!C155</f>
        <v>Electric Fund Net Position Statement</v>
      </c>
      <c r="C138" s="333" t="str">
        <f>'Unit Data from Audit Worksheet'!D155</f>
        <v xml:space="preserve">Total Current assets as listed on the Electric Net Position Statement.  
</v>
      </c>
      <c r="D138" s="144"/>
      <c r="E138" s="354">
        <f>'Unit Data from Audit Worksheet'!F155</f>
        <v>0</v>
      </c>
      <c r="F138" s="347">
        <f t="shared" si="16"/>
        <v>0</v>
      </c>
      <c r="G138" s="349"/>
      <c r="H138" s="346">
        <f>'Unit Data from Audit Worksheet'!I155</f>
        <v>0</v>
      </c>
      <c r="I138" s="38"/>
      <c r="J138" s="345">
        <v>657</v>
      </c>
      <c r="K138" s="344" t="s">
        <v>531</v>
      </c>
      <c r="L138" s="583">
        <f>IF(D138="",E138,D138)</f>
        <v>0</v>
      </c>
      <c r="P138" s="316"/>
      <c r="Q138" s="559">
        <f>IF((L134+L135+L137)&gt;L140,1,0)</f>
        <v>0</v>
      </c>
      <c r="W138" s="3" t="b">
        <f t="shared" si="15"/>
        <v>1</v>
      </c>
      <c r="X138" s="566">
        <f t="shared" si="12"/>
        <v>0</v>
      </c>
      <c r="Y138" s="566">
        <f t="shared" si="13"/>
        <v>0</v>
      </c>
    </row>
    <row r="139" spans="1:25" ht="62.25" customHeight="1" x14ac:dyDescent="0.3">
      <c r="A139" s="334">
        <f>'Unit Data from Audit Worksheet'!A156</f>
        <v>658</v>
      </c>
      <c r="B139" s="348" t="str">
        <f>'Unit Data from Audit Worksheet'!C156</f>
        <v>Electric Fund Net Position Statement</v>
      </c>
      <c r="C139" s="333" t="str">
        <f>'Unit Data from Audit Worksheet'!D156</f>
        <v>Electric-Any current assets that are restricted (Cash, Accounts Rec., etc..) and included in account 657 above</v>
      </c>
      <c r="D139" s="144"/>
      <c r="E139" s="354">
        <f>'Unit Data from Audit Worksheet'!F156</f>
        <v>0</v>
      </c>
      <c r="F139" s="347">
        <f t="shared" si="16"/>
        <v>0</v>
      </c>
      <c r="G139" s="349"/>
      <c r="H139" s="346"/>
      <c r="I139" s="38"/>
      <c r="J139" s="345">
        <v>658</v>
      </c>
      <c r="K139" s="344" t="s">
        <v>569</v>
      </c>
      <c r="L139" s="583">
        <f>IF(D139="",E139,D139)</f>
        <v>0</v>
      </c>
      <c r="P139" s="316"/>
      <c r="W139" s="3" t="b">
        <f t="shared" si="15"/>
        <v>1</v>
      </c>
      <c r="X139" s="566">
        <f t="shared" si="12"/>
        <v>0</v>
      </c>
      <c r="Y139" s="566">
        <f t="shared" si="13"/>
        <v>0</v>
      </c>
    </row>
    <row r="140" spans="1:25" ht="39.75" customHeight="1" x14ac:dyDescent="0.3">
      <c r="A140" s="334">
        <f>'Unit Data from Audit Worksheet'!A157</f>
        <v>382</v>
      </c>
      <c r="B140" s="348" t="str">
        <f>'Unit Data from Audit Worksheet'!C157</f>
        <v>Electric Fund Net Position Statement</v>
      </c>
      <c r="C140" s="333" t="str">
        <f>'Unit Data from Audit Worksheet'!D157</f>
        <v>Total Assets and deferred outflows</v>
      </c>
      <c r="D140" s="144"/>
      <c r="E140" s="354">
        <f>'Unit Data from Audit Worksheet'!F157</f>
        <v>0</v>
      </c>
      <c r="F140" s="347">
        <f t="shared" si="16"/>
        <v>0</v>
      </c>
      <c r="G140" s="349"/>
      <c r="H140" s="346">
        <f>'Unit Data from Audit Worksheet'!I157</f>
        <v>0</v>
      </c>
      <c r="I140" s="38"/>
      <c r="J140" s="345">
        <v>382</v>
      </c>
      <c r="K140" s="344" t="s">
        <v>114</v>
      </c>
      <c r="L140" s="569">
        <f>IF(D140="",E140,D140)</f>
        <v>0</v>
      </c>
      <c r="P140" s="316"/>
      <c r="W140" s="3" t="b">
        <f t="shared" si="15"/>
        <v>1</v>
      </c>
      <c r="X140" s="566">
        <f t="shared" si="12"/>
        <v>0</v>
      </c>
      <c r="Y140" s="566">
        <f t="shared" si="13"/>
        <v>0</v>
      </c>
    </row>
    <row r="141" spans="1:25" ht="39.75" customHeight="1" x14ac:dyDescent="0.3">
      <c r="A141" s="334">
        <f>'Unit Data from Audit Worksheet'!A158</f>
        <v>360</v>
      </c>
      <c r="B141" s="348" t="str">
        <f>'Unit Data from Audit Worksheet'!C158</f>
        <v>Electric Fund Net Position Statement</v>
      </c>
      <c r="C141" s="333" t="str">
        <f>'Unit Data from Audit Worksheet'!D158</f>
        <v>Total liabilities and total deferred inflows</v>
      </c>
      <c r="D141" s="144"/>
      <c r="E141" s="354">
        <f>'Unit Data from Audit Worksheet'!F158</f>
        <v>0</v>
      </c>
      <c r="F141" s="347">
        <f t="shared" si="16"/>
        <v>0</v>
      </c>
      <c r="G141" s="349"/>
      <c r="H141" s="346">
        <f>'Unit Data from Audit Worksheet'!I158</f>
        <v>0</v>
      </c>
      <c r="I141" s="38"/>
      <c r="J141" s="345">
        <v>360</v>
      </c>
      <c r="K141" s="109" t="s">
        <v>125</v>
      </c>
      <c r="L141" s="569">
        <f>IF(D141="",E141,D141)</f>
        <v>0</v>
      </c>
      <c r="P141" s="316"/>
      <c r="W141" s="3" t="b">
        <f t="shared" si="15"/>
        <v>1</v>
      </c>
      <c r="X141" s="566">
        <f t="shared" si="12"/>
        <v>0</v>
      </c>
      <c r="Y141" s="566">
        <f t="shared" si="13"/>
        <v>0</v>
      </c>
    </row>
    <row r="142" spans="1:25" ht="58.5" customHeight="1" x14ac:dyDescent="0.3">
      <c r="A142" s="334">
        <f>'Unit Data from Audit Worksheet'!A159</f>
        <v>580</v>
      </c>
      <c r="B142" s="348" t="str">
        <f>'Unit Data from Audit Worksheet'!C159</f>
        <v>Electric Fund Net Position Statement</v>
      </c>
      <c r="C142" s="333" t="str">
        <f>'Unit Data from Audit Worksheet'!D159</f>
        <v>Electric Fund - Advance From:
Interfund loans payable-portion of repayment plan longer than 12 months</v>
      </c>
      <c r="D142" s="144"/>
      <c r="E142" s="354">
        <f>'Unit Data from Audit Worksheet'!F159</f>
        <v>0</v>
      </c>
      <c r="F142" s="347">
        <f t="shared" si="16"/>
        <v>0</v>
      </c>
      <c r="G142" s="349"/>
      <c r="H142" s="346">
        <f>'Unit Data from Audit Worksheet'!I159</f>
        <v>0</v>
      </c>
      <c r="I142" s="38"/>
      <c r="J142" s="345">
        <v>580</v>
      </c>
      <c r="K142" s="109" t="s">
        <v>352</v>
      </c>
      <c r="L142" s="569">
        <f>IF(D142="",E142,D142)</f>
        <v>0</v>
      </c>
      <c r="N142" s="578"/>
      <c r="P142" s="316"/>
      <c r="W142" s="3" t="b">
        <f t="shared" si="15"/>
        <v>1</v>
      </c>
      <c r="X142" s="566">
        <f t="shared" si="12"/>
        <v>0</v>
      </c>
      <c r="Y142" s="566">
        <f t="shared" si="13"/>
        <v>0</v>
      </c>
    </row>
    <row r="143" spans="1:25" s="18" customFormat="1" ht="104.25" customHeight="1" x14ac:dyDescent="0.3">
      <c r="A143" s="334">
        <f>'Unit Data from Audit Worksheet'!A160</f>
        <v>639</v>
      </c>
      <c r="B143" s="348" t="str">
        <f>'Unit Data from Audit Worksheet'!C160</f>
        <v>Electric Fund Net Position Statement</v>
      </c>
      <c r="C143" s="333" t="str">
        <f>'Unit Data from Audit Worksheet'!D160</f>
        <v>Current liabilities (as reported on the Statement of Fund Net Position)
Include:   Current liabilities including current portion of long-term debt.  Deferred inflows should not be included in Current Liabilities   
Enter as a positive</v>
      </c>
      <c r="D143" s="144"/>
      <c r="E143" s="354">
        <f>'Unit Data from Audit Worksheet'!F160</f>
        <v>0</v>
      </c>
      <c r="F143" s="347" t="str">
        <f>IF(L143&gt;=(L144+L145+L146+L147+L148+L149),"","Account 639 is less than the total sum of accounts 640 through 644 + 384")</f>
        <v/>
      </c>
      <c r="G143" s="349">
        <f>L143-(L144+L145+L146+L147+L148+L149)</f>
        <v>0</v>
      </c>
      <c r="H143" s="346">
        <f>'Unit Data from Audit Worksheet'!I160</f>
        <v>0</v>
      </c>
      <c r="I143" s="38"/>
      <c r="J143" s="345">
        <v>639</v>
      </c>
      <c r="K143" s="344" t="s">
        <v>463</v>
      </c>
      <c r="L143" s="583">
        <f t="shared" ref="L143:L164" si="17">IF(D143="",E143,D143)</f>
        <v>0</v>
      </c>
      <c r="P143" s="316"/>
      <c r="Q143" s="559"/>
      <c r="R143" s="3"/>
      <c r="W143" s="18" t="b">
        <f t="shared" si="15"/>
        <v>1</v>
      </c>
      <c r="X143" s="575">
        <f t="shared" si="12"/>
        <v>0</v>
      </c>
      <c r="Y143" s="575">
        <f t="shared" si="13"/>
        <v>0</v>
      </c>
    </row>
    <row r="144" spans="1:25" s="18" customFormat="1" ht="104.25" customHeight="1" x14ac:dyDescent="0.3">
      <c r="A144" s="334">
        <f>'Unit Data from Audit Worksheet'!A161</f>
        <v>640</v>
      </c>
      <c r="B144" s="348" t="str">
        <f>'Unit Data from Audit Worksheet'!C161</f>
        <v>Electric Fund Net Position Statement</v>
      </c>
      <c r="C144" s="333" t="str">
        <f>'Unit Data from Audit Worksheet'!D161</f>
        <v>Please enter any bond anticipation notes that are classified as current liabilities and included in account 639 above (amounts entered should agree to the current amount included in the changes to long-term debt note)
Enter as a positive</v>
      </c>
      <c r="D144" s="144"/>
      <c r="E144" s="354">
        <f>'Unit Data from Audit Worksheet'!F161</f>
        <v>0</v>
      </c>
      <c r="F144" s="347">
        <f t="shared" ref="F144:F149" si="18">IF(L144&lt;0,"Error: Number is normally positive.",)</f>
        <v>0</v>
      </c>
      <c r="G144" s="349"/>
      <c r="H144" s="346">
        <f>'Unit Data from Audit Worksheet'!I161</f>
        <v>0</v>
      </c>
      <c r="I144" s="38"/>
      <c r="J144" s="345">
        <v>640</v>
      </c>
      <c r="K144" s="344" t="s">
        <v>464</v>
      </c>
      <c r="L144" s="583">
        <f t="shared" si="17"/>
        <v>0</v>
      </c>
      <c r="P144" s="316"/>
      <c r="Q144" s="559"/>
      <c r="R144" s="3"/>
      <c r="W144" s="18" t="b">
        <f t="shared" si="15"/>
        <v>1</v>
      </c>
      <c r="X144" s="575">
        <f t="shared" si="12"/>
        <v>0</v>
      </c>
      <c r="Y144" s="575">
        <f t="shared" si="13"/>
        <v>0</v>
      </c>
    </row>
    <row r="145" spans="1:25" s="18" customFormat="1" ht="104.25" customHeight="1" x14ac:dyDescent="0.3">
      <c r="A145" s="334">
        <f>'Unit Data from Audit Worksheet'!A162</f>
        <v>641</v>
      </c>
      <c r="B145" s="348" t="str">
        <f>'Unit Data from Audit Worksheet'!C162</f>
        <v>Electric Fund Net Position Statement</v>
      </c>
      <c r="C145" s="333" t="str">
        <f>'Unit Data from Audit Worksheet'!D162</f>
        <v>Please enter any compensated absences that are classified as current liabilities and included in account 639 above (amounts entered should agree to the current amount included in the changes to long-term debt note)
Enter as a positive</v>
      </c>
      <c r="D145" s="144"/>
      <c r="E145" s="354">
        <f>'Unit Data from Audit Worksheet'!F162</f>
        <v>0</v>
      </c>
      <c r="F145" s="347">
        <f t="shared" si="18"/>
        <v>0</v>
      </c>
      <c r="G145" s="349"/>
      <c r="H145" s="346">
        <f>'Unit Data from Audit Worksheet'!I162</f>
        <v>0</v>
      </c>
      <c r="I145" s="38"/>
      <c r="J145" s="345">
        <v>641</v>
      </c>
      <c r="K145" s="344" t="s">
        <v>465</v>
      </c>
      <c r="L145" s="583">
        <f t="shared" si="17"/>
        <v>0</v>
      </c>
      <c r="P145" s="316"/>
      <c r="Q145" s="559"/>
      <c r="R145" s="3"/>
      <c r="W145" s="18" t="b">
        <f t="shared" si="15"/>
        <v>1</v>
      </c>
      <c r="X145" s="575">
        <f t="shared" si="12"/>
        <v>0</v>
      </c>
      <c r="Y145" s="575">
        <f t="shared" si="13"/>
        <v>0</v>
      </c>
    </row>
    <row r="146" spans="1:25" s="18" customFormat="1" ht="104.25" customHeight="1" x14ac:dyDescent="0.3">
      <c r="A146" s="334">
        <f>'Unit Data from Audit Worksheet'!A163</f>
        <v>642</v>
      </c>
      <c r="B146" s="348" t="str">
        <f>'Unit Data from Audit Worksheet'!C163</f>
        <v>Electric Fund Net Position Statement</v>
      </c>
      <c r="C146" s="333" t="str">
        <f>'Unit Data from Audit Worksheet'!D163</f>
        <v>Please enter any pension liabilities that are classified as current liabilities and included account in 639 above (amounts entered should agree to the current amount included in the changes to long-term debt note)
Enter as a positive</v>
      </c>
      <c r="D146" s="144"/>
      <c r="E146" s="354">
        <f>'Unit Data from Audit Worksheet'!F163</f>
        <v>0</v>
      </c>
      <c r="F146" s="347">
        <f t="shared" si="18"/>
        <v>0</v>
      </c>
      <c r="G146" s="349"/>
      <c r="H146" s="346">
        <f>'Unit Data from Audit Worksheet'!I163</f>
        <v>0</v>
      </c>
      <c r="I146" s="38"/>
      <c r="J146" s="345">
        <v>642</v>
      </c>
      <c r="K146" s="344" t="s">
        <v>466</v>
      </c>
      <c r="L146" s="583">
        <f t="shared" si="17"/>
        <v>0</v>
      </c>
      <c r="P146" s="316"/>
      <c r="Q146" s="559"/>
      <c r="R146" s="3"/>
      <c r="W146" s="18" t="b">
        <f t="shared" si="15"/>
        <v>1</v>
      </c>
      <c r="X146" s="575">
        <f t="shared" si="12"/>
        <v>0</v>
      </c>
      <c r="Y146" s="575">
        <f t="shared" si="13"/>
        <v>0</v>
      </c>
    </row>
    <row r="147" spans="1:25" s="18" customFormat="1" ht="60.75" customHeight="1" x14ac:dyDescent="0.3">
      <c r="A147" s="334">
        <f>'Unit Data from Audit Worksheet'!A164</f>
        <v>643</v>
      </c>
      <c r="B147" s="348" t="str">
        <f>'Unit Data from Audit Worksheet'!C164</f>
        <v>Electric Fund Net Position Statement</v>
      </c>
      <c r="C147" s="333" t="str">
        <f>'Unit Data from Audit Worksheet'!D164</f>
        <v>Please enter any current liabilities that are payable from restricted assets and included in account 639 above. 
Enter as a positive</v>
      </c>
      <c r="D147" s="144"/>
      <c r="E147" s="354">
        <f>'Unit Data from Audit Worksheet'!F164</f>
        <v>0</v>
      </c>
      <c r="F147" s="347">
        <f t="shared" si="18"/>
        <v>0</v>
      </c>
      <c r="G147" s="349"/>
      <c r="H147" s="346">
        <f>'Unit Data from Audit Worksheet'!I164</f>
        <v>0</v>
      </c>
      <c r="I147" s="38"/>
      <c r="J147" s="345">
        <v>643</v>
      </c>
      <c r="K147" s="344" t="s">
        <v>467</v>
      </c>
      <c r="L147" s="583">
        <f t="shared" si="17"/>
        <v>0</v>
      </c>
      <c r="P147" s="316"/>
      <c r="Q147" s="559"/>
      <c r="R147" s="3"/>
      <c r="W147" s="18" t="b">
        <f t="shared" si="15"/>
        <v>1</v>
      </c>
      <c r="X147" s="575">
        <f t="shared" si="12"/>
        <v>0</v>
      </c>
      <c r="Y147" s="575">
        <f t="shared" si="13"/>
        <v>0</v>
      </c>
    </row>
    <row r="148" spans="1:25" s="18" customFormat="1" ht="102" customHeight="1" x14ac:dyDescent="0.3">
      <c r="A148" s="334">
        <f>'Unit Data from Audit Worksheet'!A165</f>
        <v>644</v>
      </c>
      <c r="B148" s="348" t="str">
        <f>'Unit Data from Audit Worksheet'!C165</f>
        <v>Electric Fund Net Position Statement</v>
      </c>
      <c r="C148" s="333" t="str">
        <f>'Unit Data from Audit Worksheet'!D165</f>
        <v>Please enter any OPEB liabilities that are classified as current liabilities and included in account 639 above (amounts entered should agree to the current amount included in the changes to long-term debt note)
Enter as a positive</v>
      </c>
      <c r="D148" s="144"/>
      <c r="E148" s="354">
        <f>'Unit Data from Audit Worksheet'!F165</f>
        <v>0</v>
      </c>
      <c r="F148" s="347">
        <f t="shared" si="18"/>
        <v>0</v>
      </c>
      <c r="G148" s="349"/>
      <c r="H148" s="346">
        <f>'Unit Data from Audit Worksheet'!I165</f>
        <v>0</v>
      </c>
      <c r="I148" s="38"/>
      <c r="J148" s="277">
        <v>644</v>
      </c>
      <c r="K148" s="344" t="s">
        <v>468</v>
      </c>
      <c r="L148" s="583">
        <f t="shared" si="17"/>
        <v>0</v>
      </c>
      <c r="P148" s="319"/>
      <c r="Q148" s="559"/>
      <c r="R148" s="3"/>
      <c r="W148" s="18" t="b">
        <f t="shared" si="15"/>
        <v>1</v>
      </c>
      <c r="X148" s="575">
        <f t="shared" si="12"/>
        <v>0</v>
      </c>
      <c r="Y148" s="575">
        <f t="shared" si="13"/>
        <v>0</v>
      </c>
    </row>
    <row r="149" spans="1:25" ht="63.75" customHeight="1" x14ac:dyDescent="0.3">
      <c r="A149" s="334">
        <f>+'Unit Data from Audit Worksheet'!A166</f>
        <v>384</v>
      </c>
      <c r="B149" s="334" t="str">
        <f>+'Unit Data from Audit Worksheet'!C166</f>
        <v>Electric Fund Net Position Statement</v>
      </c>
      <c r="C149" s="334" t="str">
        <f>+'Unit Data from Audit Worksheet'!D166</f>
        <v>Unearned revenue (arising from cash receipts) that were included in Current Liabilities in account 639 above.
Enter as a positive</v>
      </c>
      <c r="D149" s="144"/>
      <c r="E149" s="354">
        <f>+'Unit Data from Audit Worksheet'!F166</f>
        <v>0</v>
      </c>
      <c r="F149" s="347">
        <f t="shared" si="18"/>
        <v>0</v>
      </c>
      <c r="G149" s="349"/>
      <c r="H149" s="346">
        <f>'Unit Data from Audit Worksheet'!I166</f>
        <v>0</v>
      </c>
      <c r="I149" s="38"/>
      <c r="J149" s="345">
        <v>384</v>
      </c>
      <c r="K149" s="58" t="s">
        <v>124</v>
      </c>
      <c r="L149" s="569">
        <f t="shared" si="17"/>
        <v>0</v>
      </c>
      <c r="P149" s="316"/>
      <c r="W149" s="3" t="b">
        <f t="shared" si="15"/>
        <v>1</v>
      </c>
      <c r="X149" s="566">
        <f t="shared" si="12"/>
        <v>0</v>
      </c>
      <c r="Y149" s="566">
        <f t="shared" si="13"/>
        <v>0</v>
      </c>
    </row>
    <row r="150" spans="1:25" ht="86.4" x14ac:dyDescent="0.3">
      <c r="A150" s="334">
        <f>+'Unit Data from Audit Worksheet'!A167</f>
        <v>361</v>
      </c>
      <c r="B150" s="334" t="str">
        <f>+'Unit Data from Audit Worksheet'!C167</f>
        <v>Electric Fund Net Position Statement</v>
      </c>
      <c r="C150" s="334" t="str">
        <f>+'Unit Data from Audit Worksheet'!D167</f>
        <v>Total net position, unrestricted - Amount of negative unrestricted net position should be entered as a negative amount and the amount of positive unrestricted net position should be entered as a positive amount.</v>
      </c>
      <c r="D150" s="144"/>
      <c r="E150" s="354">
        <f>+'Unit Data from Audit Worksheet'!F167</f>
        <v>0</v>
      </c>
      <c r="F150" s="347"/>
      <c r="G150" s="349"/>
      <c r="H150" s="346">
        <f>'Unit Data from Audit Worksheet'!I167</f>
        <v>0</v>
      </c>
      <c r="I150" s="38"/>
      <c r="J150" s="345">
        <v>361</v>
      </c>
      <c r="K150" s="344" t="s">
        <v>106</v>
      </c>
      <c r="L150" s="569">
        <f t="shared" si="17"/>
        <v>0</v>
      </c>
      <c r="P150" s="316"/>
      <c r="W150" s="3" t="b">
        <f t="shared" si="15"/>
        <v>1</v>
      </c>
      <c r="X150" s="566">
        <f t="shared" si="12"/>
        <v>0</v>
      </c>
      <c r="Y150" s="566">
        <f t="shared" si="13"/>
        <v>0</v>
      </c>
    </row>
    <row r="151" spans="1:25" ht="46.5" customHeight="1" x14ac:dyDescent="0.3">
      <c r="A151" s="334">
        <f>'Unit Data from Audit Worksheet'!A168</f>
        <v>362</v>
      </c>
      <c r="B151" s="348" t="str">
        <f>'Unit Data from Audit Worksheet'!C168</f>
        <v>Electric Fund Net Position Statement</v>
      </c>
      <c r="C151" s="333" t="str">
        <f>'Unit Data from Audit Worksheet'!D168</f>
        <v>Total net position</v>
      </c>
      <c r="D151" s="144"/>
      <c r="E151" s="354">
        <f>'Unit Data from Audit Worksheet'!F168</f>
        <v>0</v>
      </c>
      <c r="F151" s="347">
        <f>IF(L140-L141-L151=0,,"Error: Total assets less total liabilities do not equal net position acct 382-360-362=0")</f>
        <v>0</v>
      </c>
      <c r="G151" s="91">
        <f>+L140-L141-L151</f>
        <v>0</v>
      </c>
      <c r="H151" s="346">
        <f>'Unit Data from Audit Worksheet'!I168</f>
        <v>0</v>
      </c>
      <c r="I151" s="38"/>
      <c r="J151" s="345">
        <v>362</v>
      </c>
      <c r="K151" s="344" t="s">
        <v>107</v>
      </c>
      <c r="L151" s="569">
        <f t="shared" si="17"/>
        <v>0</v>
      </c>
      <c r="O151" s="577" t="e">
        <f>'Unit Data from Audit Worksheet'!E168</f>
        <v>#N/A</v>
      </c>
      <c r="P151" s="316"/>
      <c r="Q151" s="559">
        <f>IF(+L140-L141-L151=0,0,1)</f>
        <v>0</v>
      </c>
      <c r="W151" s="3" t="b">
        <f t="shared" si="15"/>
        <v>1</v>
      </c>
      <c r="X151" s="566">
        <f t="shared" si="12"/>
        <v>0</v>
      </c>
      <c r="Y151" s="566">
        <f t="shared" si="13"/>
        <v>0</v>
      </c>
    </row>
    <row r="152" spans="1:25" ht="61.5" customHeight="1" x14ac:dyDescent="0.3">
      <c r="A152" s="334">
        <f>'Unit Data from Audit Worksheet'!A171</f>
        <v>88</v>
      </c>
      <c r="B152" s="348" t="str">
        <f>'Unit Data from Audit Worksheet'!C171</f>
        <v>Water Sewer Revenue, Expenses &amp; Changes in Fund Net Position</v>
      </c>
      <c r="C152" s="333" t="str">
        <f>'Unit Data from Audit Worksheet'!D171</f>
        <v>Charges for services. 
Exclude tap, capacity fees and other misc. income .</v>
      </c>
      <c r="D152" s="144"/>
      <c r="E152" s="354">
        <f>'Unit Data from Audit Worksheet'!F171</f>
        <v>0</v>
      </c>
      <c r="F152" s="347"/>
      <c r="G152" s="349"/>
      <c r="H152" s="346">
        <f>'Unit Data from Audit Worksheet'!I171</f>
        <v>0</v>
      </c>
      <c r="I152" s="38"/>
      <c r="J152" s="345">
        <v>88</v>
      </c>
      <c r="K152" s="344" t="s">
        <v>225</v>
      </c>
      <c r="L152" s="569">
        <f t="shared" si="17"/>
        <v>0</v>
      </c>
      <c r="P152" s="316"/>
      <c r="Q152" s="350"/>
      <c r="W152" s="3" t="b">
        <f t="shared" si="15"/>
        <v>1</v>
      </c>
      <c r="X152" s="566">
        <f t="shared" si="12"/>
        <v>0</v>
      </c>
      <c r="Y152" s="566">
        <f t="shared" si="13"/>
        <v>0</v>
      </c>
    </row>
    <row r="153" spans="1:25" ht="72" customHeight="1" x14ac:dyDescent="0.3">
      <c r="A153" s="334">
        <f>'Unit Data from Audit Worksheet'!A172</f>
        <v>84</v>
      </c>
      <c r="B153" s="348" t="str">
        <f>'Unit Data from Audit Worksheet'!C172</f>
        <v>Water Sewer Revenue, Expenses &amp; Changes in Fund Net Position</v>
      </c>
      <c r="C153" s="333" t="str">
        <f>'Unit Data from Audit Worksheet'!D172</f>
        <v>Total Operating revenues</v>
      </c>
      <c r="D153" s="144"/>
      <c r="E153" s="354">
        <f>'Unit Data from Audit Worksheet'!F172</f>
        <v>0</v>
      </c>
      <c r="F153" s="347" t="str">
        <f>IF(L152&gt;L153,"Error: Charges for services exceed total operating revenues. Acct # 88&gt;84"," ")</f>
        <v xml:space="preserve"> </v>
      </c>
      <c r="G153" s="349" t="str">
        <f>IF(Q153=1," Included in error count"," ")</f>
        <v xml:space="preserve"> </v>
      </c>
      <c r="H153" s="346">
        <f>'Unit Data from Audit Worksheet'!I172</f>
        <v>0</v>
      </c>
      <c r="I153" s="38"/>
      <c r="J153" s="345">
        <v>84</v>
      </c>
      <c r="K153" s="344" t="s">
        <v>226</v>
      </c>
      <c r="L153" s="569">
        <f t="shared" si="17"/>
        <v>0</v>
      </c>
      <c r="P153" s="316"/>
      <c r="Q153" s="559">
        <f>IF(L152&gt;L153,1,0)</f>
        <v>0</v>
      </c>
      <c r="W153" s="3" t="b">
        <f t="shared" si="15"/>
        <v>1</v>
      </c>
      <c r="X153" s="566">
        <f t="shared" si="12"/>
        <v>0</v>
      </c>
      <c r="Y153" s="566">
        <f t="shared" si="13"/>
        <v>0</v>
      </c>
    </row>
    <row r="154" spans="1:25" ht="72" customHeight="1" x14ac:dyDescent="0.3">
      <c r="A154" s="334">
        <f>'Unit Data from Audit Worksheet'!A173</f>
        <v>49</v>
      </c>
      <c r="B154" s="348" t="str">
        <f>'Unit Data from Audit Worksheet'!C173</f>
        <v>Water Sewer Revenue, Expenses &amp; Changes in Fund Net Position</v>
      </c>
      <c r="C154" s="333" t="str">
        <f>'Unit Data from Audit Worksheet'!D173</f>
        <v>Depreciation and amortization expense</v>
      </c>
      <c r="D154" s="144"/>
      <c r="E154" s="354">
        <f>'Unit Data from Audit Worksheet'!F173</f>
        <v>0</v>
      </c>
      <c r="F154" s="347">
        <f>IF(L154&lt;0,"Error: Number is normally positive.",)</f>
        <v>0</v>
      </c>
      <c r="G154" s="349"/>
      <c r="H154" s="346">
        <f>'Unit Data from Audit Worksheet'!I173</f>
        <v>0</v>
      </c>
      <c r="I154" s="38"/>
      <c r="J154" s="345">
        <v>49</v>
      </c>
      <c r="K154" s="344" t="s">
        <v>227</v>
      </c>
      <c r="L154" s="569">
        <f t="shared" si="17"/>
        <v>0</v>
      </c>
      <c r="O154" s="577"/>
      <c r="P154" s="316"/>
      <c r="W154" s="3" t="b">
        <f t="shared" si="15"/>
        <v>1</v>
      </c>
      <c r="X154" s="566">
        <f t="shared" si="12"/>
        <v>0</v>
      </c>
      <c r="Y154" s="566">
        <f t="shared" si="13"/>
        <v>0</v>
      </c>
    </row>
    <row r="155" spans="1:25" ht="48" customHeight="1" x14ac:dyDescent="0.3">
      <c r="A155" s="334">
        <f>'Unit Data from Audit Worksheet'!A174</f>
        <v>85</v>
      </c>
      <c r="B155" s="348" t="str">
        <f>'Unit Data from Audit Worksheet'!C174</f>
        <v>Water Sewer Revenue, Expenses &amp; Changes in Fund Net Position</v>
      </c>
      <c r="C155" s="333" t="str">
        <f>'Unit Data from Audit Worksheet'!D174</f>
        <v>Total Operating expenses</v>
      </c>
      <c r="D155" s="144"/>
      <c r="E155" s="354">
        <f>'Unit Data from Audit Worksheet'!F174</f>
        <v>0</v>
      </c>
      <c r="F155" s="347"/>
      <c r="G155" s="349"/>
      <c r="H155" s="346">
        <f>'Unit Data from Audit Worksheet'!I174</f>
        <v>0</v>
      </c>
      <c r="I155" s="38"/>
      <c r="J155" s="345">
        <v>85</v>
      </c>
      <c r="K155" s="344" t="s">
        <v>228</v>
      </c>
      <c r="L155" s="569">
        <f t="shared" si="17"/>
        <v>0</v>
      </c>
      <c r="P155" s="316"/>
      <c r="W155" s="3" t="b">
        <f t="shared" si="15"/>
        <v>1</v>
      </c>
      <c r="X155" s="566">
        <f t="shared" si="12"/>
        <v>0</v>
      </c>
      <c r="Y155" s="566">
        <f t="shared" si="13"/>
        <v>0</v>
      </c>
    </row>
    <row r="156" spans="1:25" ht="48" customHeight="1" x14ac:dyDescent="0.3">
      <c r="A156" s="334">
        <f>'Unit Data from Audit Worksheet'!A175</f>
        <v>89</v>
      </c>
      <c r="B156" s="348" t="str">
        <f>'Unit Data from Audit Worksheet'!C175</f>
        <v>Water Sewer Revenue, Expenses &amp; Changes in Fund Net Position</v>
      </c>
      <c r="C156" s="333" t="str">
        <f>'Unit Data from Audit Worksheet'!D175</f>
        <v>Interest expense</v>
      </c>
      <c r="D156" s="144"/>
      <c r="E156" s="354">
        <f>'Unit Data from Audit Worksheet'!F175</f>
        <v>0</v>
      </c>
      <c r="F156" s="347"/>
      <c r="G156" s="349"/>
      <c r="H156" s="346">
        <f>'Unit Data from Audit Worksheet'!I175</f>
        <v>0</v>
      </c>
      <c r="I156" s="38"/>
      <c r="J156" s="345">
        <v>89</v>
      </c>
      <c r="K156" s="344" t="s">
        <v>229</v>
      </c>
      <c r="L156" s="569">
        <f t="shared" si="17"/>
        <v>0</v>
      </c>
      <c r="P156" s="316"/>
      <c r="W156" s="3" t="b">
        <f t="shared" si="15"/>
        <v>1</v>
      </c>
      <c r="X156" s="566">
        <f t="shared" si="12"/>
        <v>0</v>
      </c>
      <c r="Y156" s="566">
        <f t="shared" si="13"/>
        <v>0</v>
      </c>
    </row>
    <row r="157" spans="1:25" ht="48" customHeight="1" x14ac:dyDescent="0.3">
      <c r="A157" s="334">
        <f>'Unit Data from Audit Worksheet'!A176</f>
        <v>350</v>
      </c>
      <c r="B157" s="348" t="str">
        <f>'Unit Data from Audit Worksheet'!C176</f>
        <v>Water Sewer Revenue, Expenses &amp; Changes in Fund Net Position</v>
      </c>
      <c r="C157" s="333" t="str">
        <f>'Unit Data from Audit Worksheet'!D176</f>
        <v>Total all non-operating revenues  
Exclude Capital contributions.</v>
      </c>
      <c r="D157" s="144"/>
      <c r="E157" s="354">
        <f>'Unit Data from Audit Worksheet'!F176</f>
        <v>0</v>
      </c>
      <c r="F157" s="347"/>
      <c r="G157" s="349"/>
      <c r="H157" s="346">
        <f>'Unit Data from Audit Worksheet'!I176</f>
        <v>0</v>
      </c>
      <c r="I157" s="38"/>
      <c r="J157" s="345">
        <v>350</v>
      </c>
      <c r="K157" s="344" t="s">
        <v>230</v>
      </c>
      <c r="L157" s="569">
        <f t="shared" si="17"/>
        <v>0</v>
      </c>
      <c r="P157" s="316"/>
      <c r="W157" s="3" t="b">
        <f t="shared" si="15"/>
        <v>1</v>
      </c>
      <c r="X157" s="566">
        <f t="shared" si="12"/>
        <v>0</v>
      </c>
      <c r="Y157" s="566">
        <f t="shared" si="13"/>
        <v>0</v>
      </c>
    </row>
    <row r="158" spans="1:25" ht="48" customHeight="1" x14ac:dyDescent="0.3">
      <c r="A158" s="334">
        <f>'Unit Data from Audit Worksheet'!A177</f>
        <v>351</v>
      </c>
      <c r="B158" s="348" t="str">
        <f>'Unit Data from Audit Worksheet'!C177</f>
        <v>Water Sewer Revenue, Expenses &amp; Changes in Fund Net Position</v>
      </c>
      <c r="C158" s="333" t="str">
        <f>'Unit Data from Audit Worksheet'!D177</f>
        <v>Total all non-operating expenses.  
Include any negative special, extraordinary, or capital contribution.</v>
      </c>
      <c r="D158" s="144"/>
      <c r="E158" s="354">
        <f>'Unit Data from Audit Worksheet'!F177</f>
        <v>0</v>
      </c>
      <c r="F158" s="347"/>
      <c r="G158" s="349"/>
      <c r="H158" s="346">
        <f>'Unit Data from Audit Worksheet'!I177</f>
        <v>0</v>
      </c>
      <c r="I158" s="38"/>
      <c r="J158" s="345">
        <v>351</v>
      </c>
      <c r="K158" s="344" t="s">
        <v>231</v>
      </c>
      <c r="L158" s="569">
        <f t="shared" si="17"/>
        <v>0</v>
      </c>
      <c r="P158" s="316"/>
      <c r="W158" s="3" t="b">
        <f t="shared" si="15"/>
        <v>1</v>
      </c>
      <c r="X158" s="566">
        <f t="shared" si="12"/>
        <v>0</v>
      </c>
      <c r="Y158" s="566">
        <f t="shared" si="13"/>
        <v>0</v>
      </c>
    </row>
    <row r="159" spans="1:25" ht="57.6" x14ac:dyDescent="0.3">
      <c r="A159" s="334">
        <f>'Unit Data from Audit Worksheet'!A178</f>
        <v>191</v>
      </c>
      <c r="B159" s="348" t="str">
        <f>'Unit Data from Audit Worksheet'!C178</f>
        <v>Water Sewer Revenue, Expenses &amp; Changes in Fund Net Position</v>
      </c>
      <c r="C159" s="333" t="str">
        <f>'Unit Data from Audit Worksheet'!D178</f>
        <v>Capital contributions. Only include positive capital contributions.  Negative capital contributions should be included with 'Total all non-operating expenses.'</v>
      </c>
      <c r="D159" s="144"/>
      <c r="E159" s="354">
        <f>'Unit Data from Audit Worksheet'!F178</f>
        <v>0</v>
      </c>
      <c r="F159" s="347">
        <f>IF(L159&lt;0,"Error: Enter as a positive.",)</f>
        <v>0</v>
      </c>
      <c r="G159" s="349"/>
      <c r="H159" s="346">
        <f>'Unit Data from Audit Worksheet'!I178</f>
        <v>0</v>
      </c>
      <c r="I159" s="38"/>
      <c r="J159" s="345">
        <v>191</v>
      </c>
      <c r="K159" s="344" t="s">
        <v>232</v>
      </c>
      <c r="L159" s="569">
        <f t="shared" si="17"/>
        <v>0</v>
      </c>
      <c r="P159" s="316"/>
      <c r="W159" s="3" t="b">
        <f t="shared" si="15"/>
        <v>1</v>
      </c>
      <c r="X159" s="566">
        <f t="shared" si="12"/>
        <v>0</v>
      </c>
      <c r="Y159" s="566">
        <f t="shared" si="13"/>
        <v>0</v>
      </c>
    </row>
    <row r="160" spans="1:25" ht="47.25" customHeight="1" x14ac:dyDescent="0.3">
      <c r="A160" s="334">
        <f>'Unit Data from Audit Worksheet'!A179</f>
        <v>352</v>
      </c>
      <c r="B160" s="348" t="str">
        <f>'Unit Data from Audit Worksheet'!C179</f>
        <v>Water Sewer Revenue, Expenses &amp; Changes in Fund Net Position</v>
      </c>
      <c r="C160" s="333" t="str">
        <f>'Unit Data from Audit Worksheet'!D179</f>
        <v>Total Transfers in - all funds (operating and capital)</v>
      </c>
      <c r="D160" s="144"/>
      <c r="E160" s="354">
        <f>'Unit Data from Audit Worksheet'!F179</f>
        <v>0</v>
      </c>
      <c r="F160" s="347"/>
      <c r="G160" s="349"/>
      <c r="H160" s="346">
        <f>'Unit Data from Audit Worksheet'!I179</f>
        <v>0</v>
      </c>
      <c r="I160" s="38"/>
      <c r="J160" s="345">
        <v>352</v>
      </c>
      <c r="K160" s="344" t="s">
        <v>233</v>
      </c>
      <c r="L160" s="569">
        <f t="shared" si="17"/>
        <v>0</v>
      </c>
      <c r="P160" s="316"/>
      <c r="W160" s="3" t="b">
        <f t="shared" si="15"/>
        <v>1</v>
      </c>
      <c r="X160" s="566">
        <f t="shared" si="12"/>
        <v>0</v>
      </c>
      <c r="Y160" s="566">
        <f t="shared" si="13"/>
        <v>0</v>
      </c>
    </row>
    <row r="161" spans="1:25" ht="70.5" customHeight="1" x14ac:dyDescent="0.3">
      <c r="A161" s="585">
        <f>'Unit Data from Audit Worksheet'!A180</f>
        <v>986</v>
      </c>
      <c r="B161" s="352" t="str">
        <f>'Unit Data from Audit Worksheet'!C180</f>
        <v>Water Sewer Revenue, Expenses &amp; Changes in Fund Net Position</v>
      </c>
      <c r="C161" s="586" t="str">
        <f>'Unit Data from Audit Worksheet'!D180</f>
        <v>Of the transfers-in above in acct # 352, list amount of transfers-in that were used to support Water Sewer operations  (exclude capital transfers)</v>
      </c>
      <c r="D161" s="144"/>
      <c r="E161" s="354">
        <f>'Unit Data from Audit Worksheet'!F180</f>
        <v>0</v>
      </c>
      <c r="F161" s="347"/>
      <c r="G161" s="349"/>
      <c r="H161" s="346"/>
      <c r="I161" s="38"/>
      <c r="J161" s="363">
        <v>986</v>
      </c>
      <c r="K161" s="586" t="s">
        <v>791</v>
      </c>
      <c r="L161" s="587">
        <f t="shared" si="17"/>
        <v>0</v>
      </c>
      <c r="P161" s="316"/>
      <c r="W161" s="3" t="b">
        <f t="shared" si="15"/>
        <v>1</v>
      </c>
      <c r="X161" s="566"/>
      <c r="Y161" s="566"/>
    </row>
    <row r="162" spans="1:25" ht="47.25" customHeight="1" x14ac:dyDescent="0.3">
      <c r="A162" s="334">
        <f>'Unit Data from Audit Worksheet'!A181</f>
        <v>353</v>
      </c>
      <c r="B162" s="348" t="str">
        <f>'Unit Data from Audit Worksheet'!C181</f>
        <v>Water Sewer Revenue, Expenses &amp; Changes in Fund Net Position</v>
      </c>
      <c r="C162" s="333" t="str">
        <f>'Unit Data from Audit Worksheet'!D181</f>
        <v>Total Transfers out</v>
      </c>
      <c r="D162" s="144"/>
      <c r="E162" s="354">
        <f>'Unit Data from Audit Worksheet'!F181</f>
        <v>0</v>
      </c>
      <c r="F162" s="347">
        <f>IF(L162&lt;0,"Error: Enter as a positive.",)</f>
        <v>0</v>
      </c>
      <c r="G162" s="349"/>
      <c r="H162" s="346">
        <f>'Unit Data from Audit Worksheet'!I181</f>
        <v>0</v>
      </c>
      <c r="I162" s="38"/>
      <c r="J162" s="40">
        <v>353</v>
      </c>
      <c r="K162" s="344" t="s">
        <v>234</v>
      </c>
      <c r="L162" s="569">
        <f t="shared" si="17"/>
        <v>0</v>
      </c>
      <c r="P162" s="320"/>
      <c r="W162" s="3" t="b">
        <f t="shared" si="15"/>
        <v>1</v>
      </c>
      <c r="X162" s="566">
        <f t="shared" si="12"/>
        <v>0</v>
      </c>
      <c r="Y162" s="566">
        <f t="shared" si="13"/>
        <v>0</v>
      </c>
    </row>
    <row r="163" spans="1:25" ht="72.75" customHeight="1" x14ac:dyDescent="0.3">
      <c r="A163" s="334">
        <f>'Unit Data from Audit Worksheet'!A182</f>
        <v>50</v>
      </c>
      <c r="B163" s="348" t="str">
        <f>'Unit Data from Audit Worksheet'!C182</f>
        <v>Water Sewer Revenue, Expenses &amp; Changes in Fund Net Position</v>
      </c>
      <c r="C163" s="333" t="str">
        <f>'Unit Data from Audit Worksheet'!D182</f>
        <v>Change in net position - Increase in net position is recorded as a positive and a (Decrease) in net position is recorded as a negative.</v>
      </c>
      <c r="D163" s="144"/>
      <c r="E163" s="149">
        <f>'Unit Data from Audit Worksheet'!F182</f>
        <v>0</v>
      </c>
      <c r="F163" s="347">
        <f>IF(L153-L155+L157-L158+L160+L159-L162-L163=0,,"Error:Total revenues less total expenses do not equal total change in net position. Acct # 84-85+350-351+191+352-353-50")</f>
        <v>0</v>
      </c>
      <c r="G163" s="91">
        <f>+L153-L155+L157-L158+L160+L159-L162-L163</f>
        <v>0</v>
      </c>
      <c r="H163" s="346">
        <f>'Unit Data from Audit Worksheet'!I182</f>
        <v>0</v>
      </c>
      <c r="I163" s="38"/>
      <c r="J163" s="345">
        <v>50</v>
      </c>
      <c r="K163" s="344" t="s">
        <v>100</v>
      </c>
      <c r="L163" s="569">
        <f t="shared" si="17"/>
        <v>0</v>
      </c>
      <c r="P163" s="316"/>
      <c r="Q163" s="559">
        <f>IF(G163&lt;&gt;0,1,0)</f>
        <v>0</v>
      </c>
      <c r="W163" s="3" t="b">
        <f t="shared" si="15"/>
        <v>1</v>
      </c>
      <c r="X163" s="566">
        <f t="shared" si="12"/>
        <v>0</v>
      </c>
      <c r="Y163" s="566">
        <f t="shared" si="13"/>
        <v>0</v>
      </c>
    </row>
    <row r="164" spans="1:25" ht="144" customHeight="1" x14ac:dyDescent="0.3">
      <c r="A164" s="334">
        <f>'Unit Data from Audit Worksheet'!A183</f>
        <v>377</v>
      </c>
      <c r="B164" s="348" t="str">
        <f>'Unit Data from Audit Worksheet'!C183</f>
        <v>Water Sewer Revenue, Expenses &amp; Changes in Fund Net Position</v>
      </c>
      <c r="C164" s="333" t="str">
        <f>'Unit Data from Audit Worksheet'!D183</f>
        <v>Increases or (decreases) to beginning water sewer net position due to rounding, prior period adjustments and restatements.  Increase amounts to beginning net position should be entered as a positive amount and (decreases) should be entered as a negative amount.</v>
      </c>
      <c r="D164" s="144"/>
      <c r="E164" s="149">
        <f>'Unit Data from Audit Worksheet'!F183</f>
        <v>0</v>
      </c>
      <c r="F164" s="87" t="e">
        <f>IF(L133-L163-L164=O133,,"Error:Beginning Balance does not agree with out records.Acct # 83-50-377 = PY83")</f>
        <v>#N/A</v>
      </c>
      <c r="G164" s="91" t="e">
        <f>+L133-L163-L164-O133</f>
        <v>#N/A</v>
      </c>
      <c r="H164" s="346">
        <f>'Unit Data from Audit Worksheet'!I183</f>
        <v>0</v>
      </c>
      <c r="I164" s="38"/>
      <c r="J164" s="345">
        <v>377</v>
      </c>
      <c r="K164" s="344" t="s">
        <v>109</v>
      </c>
      <c r="L164" s="569">
        <f t="shared" si="17"/>
        <v>0</v>
      </c>
      <c r="P164" s="316"/>
      <c r="Q164" s="559" t="e">
        <f>IF(G164&lt;&gt;0,1,0)</f>
        <v>#N/A</v>
      </c>
      <c r="W164" s="3" t="b">
        <f t="shared" si="15"/>
        <v>1</v>
      </c>
      <c r="X164" s="566">
        <f t="shared" si="12"/>
        <v>0</v>
      </c>
      <c r="Y164" s="566">
        <f t="shared" si="13"/>
        <v>0</v>
      </c>
    </row>
    <row r="165" spans="1:25" ht="63" customHeight="1" x14ac:dyDescent="0.3">
      <c r="A165" s="594">
        <f>'Unit Data from Audit Worksheet'!A184</f>
        <v>537</v>
      </c>
      <c r="B165" s="348" t="str">
        <f>'Unit Data from Audit Worksheet'!C184</f>
        <v>Water Sewer Revenue, Expenses &amp; Changes in Fund Net Position</v>
      </c>
      <c r="C165" s="333" t="str">
        <f>'Unit Data from Audit Worksheet'!D184</f>
        <v>Did unit raise Water Sewer rates during the audited fiscal period? - answer Yes or No</v>
      </c>
      <c r="D165" s="139"/>
      <c r="E165" s="354">
        <f>'Unit Data from Audit Worksheet'!F184</f>
        <v>0</v>
      </c>
      <c r="F165" s="347" t="s">
        <v>342</v>
      </c>
      <c r="G165" s="349"/>
      <c r="H165" s="346">
        <f>'Unit Data from Audit Worksheet'!I184</f>
        <v>0</v>
      </c>
      <c r="I165" s="38"/>
      <c r="J165" s="67">
        <v>537</v>
      </c>
      <c r="K165" s="65" t="s">
        <v>290</v>
      </c>
      <c r="L165" s="595">
        <f>IF(E165="Yes",1,IF(E165="No",2,0))</f>
        <v>0</v>
      </c>
      <c r="N165" s="61" t="s">
        <v>332</v>
      </c>
      <c r="P165" s="321"/>
      <c r="W165" s="3" t="b">
        <f t="shared" ref="W165:W196" si="19">EXACT(A165,J165)</f>
        <v>1</v>
      </c>
      <c r="X165" s="566">
        <f t="shared" si="12"/>
        <v>0</v>
      </c>
      <c r="Y165" s="566">
        <f t="shared" si="13"/>
        <v>0</v>
      </c>
    </row>
    <row r="166" spans="1:25" ht="63.75" customHeight="1" x14ac:dyDescent="0.3">
      <c r="A166" s="594">
        <f>'Unit Data from Audit Worksheet'!A185</f>
        <v>538</v>
      </c>
      <c r="B166" s="348" t="str">
        <f>'Unit Data from Audit Worksheet'!C185</f>
        <v>Water Sewer Revenue, Expenses &amp; Changes in Fund Net Position</v>
      </c>
      <c r="C166" s="333" t="str">
        <f>'Unit Data from Audit Worksheet'!D185</f>
        <v>Did unit raise Water Sewer rates during the budget year following the audited fiscal year? - answer Yes or No</v>
      </c>
      <c r="D166" s="139"/>
      <c r="E166" s="354">
        <f>'Unit Data from Audit Worksheet'!F185</f>
        <v>0</v>
      </c>
      <c r="F166" s="347" t="s">
        <v>342</v>
      </c>
      <c r="G166" s="349"/>
      <c r="H166" s="346">
        <f>'Unit Data from Audit Worksheet'!I185</f>
        <v>0</v>
      </c>
      <c r="I166" s="38"/>
      <c r="J166" s="67">
        <v>538</v>
      </c>
      <c r="K166" s="65" t="s">
        <v>289</v>
      </c>
      <c r="L166" s="595">
        <f>IF(E166="Yes",1,IF(E166="No",2,0))</f>
        <v>0</v>
      </c>
      <c r="N166" s="61" t="s">
        <v>332</v>
      </c>
      <c r="P166" s="321"/>
      <c r="W166" s="3" t="b">
        <f t="shared" si="19"/>
        <v>1</v>
      </c>
      <c r="X166" s="566">
        <f t="shared" si="12"/>
        <v>0</v>
      </c>
      <c r="Y166" s="566">
        <f t="shared" si="13"/>
        <v>0</v>
      </c>
    </row>
    <row r="167" spans="1:25" ht="47.25" customHeight="1" x14ac:dyDescent="0.3">
      <c r="A167" s="334">
        <f>'Unit Data from Audit Worksheet'!A187</f>
        <v>97</v>
      </c>
      <c r="B167" s="348" t="str">
        <f>'Unit Data from Audit Worksheet'!C187</f>
        <v>Electric Fund Revenue, Expenses &amp; Changes in Fund Net Position</v>
      </c>
      <c r="C167" s="333" t="str">
        <f>'Unit Data from Audit Worksheet'!D187</f>
        <v>Charges for services</v>
      </c>
      <c r="D167" s="353"/>
      <c r="E167" s="354">
        <f>'Unit Data from Audit Worksheet'!F187</f>
        <v>0</v>
      </c>
      <c r="F167" s="347">
        <f>IF(L167&lt;0,"Error: Enter as a positive.",)</f>
        <v>0</v>
      </c>
      <c r="G167" s="349"/>
      <c r="H167" s="346">
        <f>'Unit Data from Audit Worksheet'!I187</f>
        <v>0</v>
      </c>
      <c r="I167" s="38"/>
      <c r="J167" s="345">
        <v>97</v>
      </c>
      <c r="K167" s="344" t="s">
        <v>235</v>
      </c>
      <c r="L167" s="569">
        <f t="shared" ref="L167:L234" si="20">IF(D167="",E167,D167)</f>
        <v>0</v>
      </c>
      <c r="P167" s="316"/>
      <c r="W167" s="3" t="b">
        <f t="shared" si="19"/>
        <v>1</v>
      </c>
      <c r="X167" s="566">
        <f t="shared" si="12"/>
        <v>0</v>
      </c>
      <c r="Y167" s="566">
        <f t="shared" si="13"/>
        <v>0</v>
      </c>
    </row>
    <row r="168" spans="1:25" ht="45.75" customHeight="1" x14ac:dyDescent="0.3">
      <c r="A168" s="334">
        <f>'Unit Data from Audit Worksheet'!A188</f>
        <v>93</v>
      </c>
      <c r="B168" s="348" t="str">
        <f>'Unit Data from Audit Worksheet'!C188</f>
        <v>Electric Fund Revenue, Expenses &amp; Changes in Fund Net Position</v>
      </c>
      <c r="C168" s="333" t="str">
        <f>'Unit Data from Audit Worksheet'!D188</f>
        <v>Total Operating revenues</v>
      </c>
      <c r="D168" s="353"/>
      <c r="E168" s="354">
        <f>'Unit Data from Audit Worksheet'!F188</f>
        <v>0</v>
      </c>
      <c r="F168" s="347" t="str">
        <f>IF(L167&gt;L168,"Error: Charges for services exceeds total operating revenues Acct 97&gt;=93"," ")</f>
        <v xml:space="preserve"> </v>
      </c>
      <c r="G168" s="349" t="str">
        <f>IF(Q168=1," Included in error count"," ")</f>
        <v xml:space="preserve"> </v>
      </c>
      <c r="H168" s="346">
        <f>'Unit Data from Audit Worksheet'!I188</f>
        <v>0</v>
      </c>
      <c r="I168" s="38"/>
      <c r="J168" s="345">
        <v>93</v>
      </c>
      <c r="K168" s="344" t="s">
        <v>236</v>
      </c>
      <c r="L168" s="569">
        <f t="shared" si="20"/>
        <v>0</v>
      </c>
      <c r="P168" s="316"/>
      <c r="Q168" s="559">
        <f>IF(L167&gt;L168,1,0)</f>
        <v>0</v>
      </c>
      <c r="W168" s="3" t="b">
        <f t="shared" si="19"/>
        <v>1</v>
      </c>
      <c r="X168" s="566">
        <f t="shared" si="12"/>
        <v>0</v>
      </c>
      <c r="Y168" s="566">
        <f t="shared" si="13"/>
        <v>0</v>
      </c>
    </row>
    <row r="169" spans="1:25" ht="45.75" customHeight="1" x14ac:dyDescent="0.3">
      <c r="A169" s="334">
        <f>'Unit Data from Audit Worksheet'!A189</f>
        <v>99</v>
      </c>
      <c r="B169" s="348" t="str">
        <f>'Unit Data from Audit Worksheet'!C189</f>
        <v>Electric Fund Revenue, Expenses &amp; Changes in Fund Net Position</v>
      </c>
      <c r="C169" s="333" t="str">
        <f>'Unit Data from Audit Worksheet'!D189</f>
        <v>Electrical power purchases</v>
      </c>
      <c r="D169" s="353"/>
      <c r="E169" s="354">
        <f>'Unit Data from Audit Worksheet'!F189</f>
        <v>0</v>
      </c>
      <c r="F169" s="347">
        <f>IF(L169&lt;0,"Error: Enter as a positive.",)</f>
        <v>0</v>
      </c>
      <c r="G169" s="349"/>
      <c r="H169" s="346">
        <f>'Unit Data from Audit Worksheet'!I189</f>
        <v>0</v>
      </c>
      <c r="I169" s="38"/>
      <c r="J169" s="345">
        <v>99</v>
      </c>
      <c r="K169" s="344" t="s">
        <v>237</v>
      </c>
      <c r="L169" s="569">
        <f t="shared" si="20"/>
        <v>0</v>
      </c>
      <c r="P169" s="316"/>
      <c r="W169" s="3" t="b">
        <f t="shared" si="19"/>
        <v>1</v>
      </c>
      <c r="X169" s="566">
        <f t="shared" si="12"/>
        <v>0</v>
      </c>
      <c r="Y169" s="566">
        <f t="shared" si="13"/>
        <v>0</v>
      </c>
    </row>
    <row r="170" spans="1:25" ht="45.75" customHeight="1" x14ac:dyDescent="0.3">
      <c r="A170" s="334">
        <f>'Unit Data from Audit Worksheet'!A190</f>
        <v>52</v>
      </c>
      <c r="B170" s="348" t="str">
        <f>'Unit Data from Audit Worksheet'!C190</f>
        <v>Electric Fund Revenue, Expenses &amp; Changes in Fund Net Position</v>
      </c>
      <c r="C170" s="333" t="str">
        <f>'Unit Data from Audit Worksheet'!D190</f>
        <v>Depreciation and amortization expense</v>
      </c>
      <c r="D170" s="353"/>
      <c r="E170" s="354">
        <f>'Unit Data from Audit Worksheet'!F190</f>
        <v>0</v>
      </c>
      <c r="F170" s="347">
        <f>IF(L170&lt;0,"Error: Enter as a positive.",)</f>
        <v>0</v>
      </c>
      <c r="G170" s="349"/>
      <c r="H170" s="346">
        <f>'Unit Data from Audit Worksheet'!I190</f>
        <v>0</v>
      </c>
      <c r="I170" s="38"/>
      <c r="J170" s="345">
        <v>52</v>
      </c>
      <c r="K170" s="344" t="s">
        <v>238</v>
      </c>
      <c r="L170" s="569">
        <f t="shared" si="20"/>
        <v>0</v>
      </c>
      <c r="P170" s="316"/>
      <c r="W170" s="3" t="b">
        <f t="shared" si="19"/>
        <v>1</v>
      </c>
      <c r="X170" s="566">
        <f t="shared" si="12"/>
        <v>0</v>
      </c>
      <c r="Y170" s="566">
        <f t="shared" si="13"/>
        <v>0</v>
      </c>
    </row>
    <row r="171" spans="1:25" ht="45.75" customHeight="1" x14ac:dyDescent="0.3">
      <c r="A171" s="334">
        <f>'Unit Data from Audit Worksheet'!A191</f>
        <v>94</v>
      </c>
      <c r="B171" s="348" t="str">
        <f>'Unit Data from Audit Worksheet'!C191</f>
        <v>Electric Fund Revenue, Expenses &amp; Changes in Fund Net Position</v>
      </c>
      <c r="C171" s="333" t="str">
        <f>'Unit Data from Audit Worksheet'!D191</f>
        <v>Total Operating expenses</v>
      </c>
      <c r="D171" s="353"/>
      <c r="E171" s="354">
        <f>'Unit Data from Audit Worksheet'!F191</f>
        <v>0</v>
      </c>
      <c r="F171" s="347">
        <f>IF(L171&lt;0,"Error: Enter as a positive.",)</f>
        <v>0</v>
      </c>
      <c r="G171" s="349"/>
      <c r="H171" s="346">
        <f>'Unit Data from Audit Worksheet'!I191</f>
        <v>0</v>
      </c>
      <c r="I171" s="38"/>
      <c r="J171" s="345">
        <v>94</v>
      </c>
      <c r="K171" s="344" t="s">
        <v>239</v>
      </c>
      <c r="L171" s="569">
        <f t="shared" si="20"/>
        <v>0</v>
      </c>
      <c r="P171" s="316"/>
      <c r="W171" s="3" t="b">
        <f t="shared" si="19"/>
        <v>1</v>
      </c>
      <c r="X171" s="566">
        <f t="shared" si="12"/>
        <v>0</v>
      </c>
      <c r="Y171" s="566">
        <f t="shared" si="13"/>
        <v>0</v>
      </c>
    </row>
    <row r="172" spans="1:25" ht="46.5" customHeight="1" x14ac:dyDescent="0.3">
      <c r="A172" s="334">
        <f>'Unit Data from Audit Worksheet'!A192</f>
        <v>98</v>
      </c>
      <c r="B172" s="348" t="str">
        <f>'Unit Data from Audit Worksheet'!C192</f>
        <v>Electric Fund Revenue, Expenses &amp; Changes in Fund Net Position</v>
      </c>
      <c r="C172" s="333" t="str">
        <f>'Unit Data from Audit Worksheet'!D192</f>
        <v>Interest expense</v>
      </c>
      <c r="D172" s="353"/>
      <c r="E172" s="354">
        <f>'Unit Data from Audit Worksheet'!F192</f>
        <v>0</v>
      </c>
      <c r="F172" s="347">
        <f>IF(L172&lt;0,"Error: Enter as a positive.",)</f>
        <v>0</v>
      </c>
      <c r="G172" s="349"/>
      <c r="H172" s="346">
        <f>'Unit Data from Audit Worksheet'!I192</f>
        <v>0</v>
      </c>
      <c r="I172" s="38"/>
      <c r="J172" s="345">
        <v>98</v>
      </c>
      <c r="K172" s="344" t="s">
        <v>240</v>
      </c>
      <c r="L172" s="569">
        <f t="shared" si="20"/>
        <v>0</v>
      </c>
      <c r="P172" s="316"/>
      <c r="W172" s="3" t="b">
        <f t="shared" si="19"/>
        <v>1</v>
      </c>
      <c r="X172" s="566">
        <f t="shared" si="12"/>
        <v>0</v>
      </c>
      <c r="Y172" s="566">
        <f t="shared" si="13"/>
        <v>0</v>
      </c>
    </row>
    <row r="173" spans="1:25" ht="51" customHeight="1" x14ac:dyDescent="0.3">
      <c r="A173" s="334">
        <f>'Unit Data from Audit Worksheet'!A193</f>
        <v>363</v>
      </c>
      <c r="B173" s="348" t="str">
        <f>'Unit Data from Audit Worksheet'!C193</f>
        <v>Electric Fund Revenue, Expenses &amp; Changes in Fund Net Position</v>
      </c>
      <c r="C173" s="333" t="str">
        <f>'Unit Data from Audit Worksheet'!D193</f>
        <v>Total all the non-operating revenues  
Exclude Capital Contributions.</v>
      </c>
      <c r="D173" s="353"/>
      <c r="E173" s="354">
        <f>'Unit Data from Audit Worksheet'!F193</f>
        <v>0</v>
      </c>
      <c r="F173" s="347"/>
      <c r="G173" s="349"/>
      <c r="H173" s="346">
        <f>'Unit Data from Audit Worksheet'!I193</f>
        <v>0</v>
      </c>
      <c r="I173" s="38"/>
      <c r="J173" s="345">
        <v>363</v>
      </c>
      <c r="K173" s="344" t="s">
        <v>241</v>
      </c>
      <c r="L173" s="569">
        <f t="shared" si="20"/>
        <v>0</v>
      </c>
      <c r="P173" s="316"/>
      <c r="W173" s="3" t="b">
        <f t="shared" si="19"/>
        <v>1</v>
      </c>
      <c r="X173" s="566">
        <f t="shared" si="12"/>
        <v>0</v>
      </c>
      <c r="Y173" s="566">
        <f t="shared" si="13"/>
        <v>0</v>
      </c>
    </row>
    <row r="174" spans="1:25" ht="60" customHeight="1" x14ac:dyDescent="0.3">
      <c r="A174" s="334">
        <f>'Unit Data from Audit Worksheet'!A194</f>
        <v>364</v>
      </c>
      <c r="B174" s="348" t="str">
        <f>'Unit Data from Audit Worksheet'!C194</f>
        <v>Electric Fund Revenue, Expenses &amp; Changes in Fund Net Position</v>
      </c>
      <c r="C174" s="333" t="str">
        <f>'Unit Data from Audit Worksheet'!D194</f>
        <v>Total all non-operating expenses.  
Include negative special, extraordinary, or capital contribution.</v>
      </c>
      <c r="D174" s="353"/>
      <c r="E174" s="354">
        <f>'Unit Data from Audit Worksheet'!F194</f>
        <v>0</v>
      </c>
      <c r="F174" s="347">
        <f>IF(L174&lt;0,"Error: Enter as a positive.",)</f>
        <v>0</v>
      </c>
      <c r="G174" s="349"/>
      <c r="H174" s="346">
        <f>'Unit Data from Audit Worksheet'!I194</f>
        <v>0</v>
      </c>
      <c r="I174" s="38"/>
      <c r="J174" s="345">
        <v>364</v>
      </c>
      <c r="K174" s="344" t="s">
        <v>242</v>
      </c>
      <c r="L174" s="569">
        <f t="shared" si="20"/>
        <v>0</v>
      </c>
      <c r="P174" s="316"/>
      <c r="W174" s="3" t="b">
        <f t="shared" si="19"/>
        <v>1</v>
      </c>
      <c r="X174" s="566">
        <f t="shared" si="12"/>
        <v>0</v>
      </c>
      <c r="Y174" s="566">
        <f t="shared" si="13"/>
        <v>0</v>
      </c>
    </row>
    <row r="175" spans="1:25" ht="89.25" customHeight="1" x14ac:dyDescent="0.3">
      <c r="A175" s="334">
        <f>'Unit Data from Audit Worksheet'!A195</f>
        <v>192</v>
      </c>
      <c r="B175" s="348" t="str">
        <f>'Unit Data from Audit Worksheet'!C195</f>
        <v>Electric Fund Revenue, Expenses &amp; Changes in Fund Net Position</v>
      </c>
      <c r="C175" s="333" t="str">
        <f>'Unit Data from Audit Worksheet'!D195</f>
        <v>Capital Contributions.  
Include only positive capital Contributions.  Negative capital contributions should be included with 'Total all non-operating expenses.'</v>
      </c>
      <c r="D175" s="353"/>
      <c r="E175" s="354">
        <f>'Unit Data from Audit Worksheet'!F195</f>
        <v>0</v>
      </c>
      <c r="F175" s="347">
        <f>IF(L175&lt;0,"Error: Enter as a positive.",)</f>
        <v>0</v>
      </c>
      <c r="G175" s="349"/>
      <c r="H175" s="346">
        <f>'Unit Data from Audit Worksheet'!I195</f>
        <v>0</v>
      </c>
      <c r="I175" s="38"/>
      <c r="J175" s="345">
        <v>192</v>
      </c>
      <c r="K175" s="344" t="s">
        <v>243</v>
      </c>
      <c r="L175" s="569">
        <f t="shared" si="20"/>
        <v>0</v>
      </c>
      <c r="P175" s="316"/>
      <c r="W175" s="3" t="b">
        <f t="shared" si="19"/>
        <v>1</v>
      </c>
      <c r="X175" s="566">
        <f t="shared" si="12"/>
        <v>0</v>
      </c>
      <c r="Y175" s="566">
        <f t="shared" si="13"/>
        <v>0</v>
      </c>
    </row>
    <row r="176" spans="1:25" ht="42.75" customHeight="1" x14ac:dyDescent="0.3">
      <c r="A176" s="334">
        <f>'Unit Data from Audit Worksheet'!A196</f>
        <v>365</v>
      </c>
      <c r="B176" s="348" t="str">
        <f>'Unit Data from Audit Worksheet'!C196</f>
        <v>Electric Fund Revenue, Expenses &amp; Changes in Fund Net Position</v>
      </c>
      <c r="C176" s="333" t="str">
        <f>'Unit Data from Audit Worksheet'!D196</f>
        <v>Total Transfers In (From all Funds)</v>
      </c>
      <c r="D176" s="353"/>
      <c r="E176" s="354">
        <f>'Unit Data from Audit Worksheet'!F196</f>
        <v>0</v>
      </c>
      <c r="F176" s="347"/>
      <c r="G176" s="349"/>
      <c r="H176" s="346">
        <f>'Unit Data from Audit Worksheet'!I196</f>
        <v>0</v>
      </c>
      <c r="I176" s="38"/>
      <c r="J176" s="345">
        <v>365</v>
      </c>
      <c r="K176" s="344" t="s">
        <v>244</v>
      </c>
      <c r="L176" s="569">
        <f t="shared" si="20"/>
        <v>0</v>
      </c>
      <c r="P176" s="316"/>
      <c r="W176" s="3" t="b">
        <f t="shared" si="19"/>
        <v>1</v>
      </c>
      <c r="X176" s="566">
        <f t="shared" si="12"/>
        <v>0</v>
      </c>
      <c r="Y176" s="566">
        <f t="shared" si="13"/>
        <v>0</v>
      </c>
    </row>
    <row r="177" spans="1:25" ht="42.75" customHeight="1" x14ac:dyDescent="0.3">
      <c r="A177" s="334">
        <f>'Unit Data from Audit Worksheet'!A197</f>
        <v>366</v>
      </c>
      <c r="B177" s="348" t="str">
        <f>'Unit Data from Audit Worksheet'!C197</f>
        <v>Electric Fund Revenue, Expenses &amp; Changes in Fund Net Position</v>
      </c>
      <c r="C177" s="333" t="str">
        <f>'Unit Data from Audit Worksheet'!D197</f>
        <v>Total Transfers Out (To all funds)</v>
      </c>
      <c r="D177" s="353"/>
      <c r="E177" s="354">
        <f>'Unit Data from Audit Worksheet'!F197</f>
        <v>0</v>
      </c>
      <c r="F177" s="347">
        <f>IF(L177&lt;0,"Error: Enter as a positive.",)</f>
        <v>0</v>
      </c>
      <c r="G177" s="349"/>
      <c r="H177" s="346">
        <f>'Unit Data from Audit Worksheet'!I197</f>
        <v>0</v>
      </c>
      <c r="I177" s="38"/>
      <c r="J177" s="345">
        <v>366</v>
      </c>
      <c r="K177" s="344" t="s">
        <v>324</v>
      </c>
      <c r="L177" s="569">
        <f t="shared" si="20"/>
        <v>0</v>
      </c>
      <c r="P177" s="316"/>
      <c r="W177" s="3" t="b">
        <f t="shared" si="19"/>
        <v>1</v>
      </c>
      <c r="X177" s="566">
        <f t="shared" si="12"/>
        <v>0</v>
      </c>
      <c r="Y177" s="566">
        <f t="shared" si="13"/>
        <v>0</v>
      </c>
    </row>
    <row r="178" spans="1:25" s="18" customFormat="1" ht="76.5" customHeight="1" x14ac:dyDescent="0.3">
      <c r="A178" s="334">
        <f>'Unit Data from Audit Worksheet'!A198</f>
        <v>53</v>
      </c>
      <c r="B178" s="348" t="str">
        <f>'Unit Data from Audit Worksheet'!C198</f>
        <v>Electric Fund Revenue, Expenses &amp; Changes in Fund Net Position</v>
      </c>
      <c r="C178" s="333" t="str">
        <f>'Unit Data from Audit Worksheet'!D198</f>
        <v>Change in net position - Increase in net position is recorded as a positive and a (decrease) in net position is recorded as a negative.</v>
      </c>
      <c r="D178" s="353"/>
      <c r="E178" s="354">
        <f>'Unit Data from Audit Worksheet'!F198</f>
        <v>0</v>
      </c>
      <c r="F178" s="347">
        <f>IF(L168-L171+L173-L174+L175+L176-L177-L178=0,,"Error: Total revenues less total exp. does not equal change in net position Acct 93-94+363-364+192+365-366-53=0")</f>
        <v>0</v>
      </c>
      <c r="G178" s="91">
        <f>+L168-L171+L173-L174+L175+L176-L177-L178</f>
        <v>0</v>
      </c>
      <c r="H178" s="346">
        <f>'Unit Data from Audit Worksheet'!I198</f>
        <v>0</v>
      </c>
      <c r="I178" s="38"/>
      <c r="J178" s="345">
        <v>53</v>
      </c>
      <c r="K178" s="344" t="s">
        <v>101</v>
      </c>
      <c r="L178" s="569">
        <f t="shared" si="20"/>
        <v>0</v>
      </c>
      <c r="P178" s="316"/>
      <c r="Q178" s="559">
        <f>IF(G178&lt;&gt;0,1,0)</f>
        <v>0</v>
      </c>
      <c r="R178" s="3"/>
      <c r="W178" s="3" t="b">
        <f t="shared" si="19"/>
        <v>1</v>
      </c>
      <c r="X178" s="566">
        <f t="shared" si="12"/>
        <v>0</v>
      </c>
      <c r="Y178" s="566">
        <f t="shared" si="13"/>
        <v>0</v>
      </c>
    </row>
    <row r="179" spans="1:25" ht="140.25" customHeight="1" x14ac:dyDescent="0.3">
      <c r="A179" s="334">
        <f>'Unit Data from Audit Worksheet'!A199</f>
        <v>378</v>
      </c>
      <c r="B179" s="348" t="str">
        <f>'Unit Data from Audit Worksheet'!C199</f>
        <v>Electric Fund Revenue, Expenses &amp; Changes in Fund Net Position</v>
      </c>
      <c r="C179" s="333" t="str">
        <f>'Unit Data from Audit Worksheet'!D199</f>
        <v>Increases or (decreases) to beginning electric net position due to rounding, prior period adjustments and restatements.  Increase amounts to beginning net position should be entered as a positive amount and (decreases) should be entered as a negative amount.</v>
      </c>
      <c r="D179" s="353"/>
      <c r="E179" s="354">
        <f>+'Unit Data from Audit Worksheet'!F199</f>
        <v>0</v>
      </c>
      <c r="F179" s="347" t="e">
        <f>IF(L151-L178-L179=O151,,"Error: Beg. Bal does not agree with our records Acct 362-53-378= pr yr 362")</f>
        <v>#N/A</v>
      </c>
      <c r="G179" s="91" t="e">
        <f>L151-L178-L179-O151</f>
        <v>#N/A</v>
      </c>
      <c r="H179" s="346">
        <f>'Unit Data from Audit Worksheet'!I199</f>
        <v>0</v>
      </c>
      <c r="I179" s="38"/>
      <c r="J179" s="345">
        <v>378</v>
      </c>
      <c r="K179" s="344" t="s">
        <v>110</v>
      </c>
      <c r="L179" s="569">
        <f t="shared" si="20"/>
        <v>0</v>
      </c>
      <c r="P179" s="316"/>
      <c r="Q179" s="559" t="e">
        <f>IF(G179&lt;&gt;0,1,0)</f>
        <v>#N/A</v>
      </c>
      <c r="W179" s="3" t="b">
        <f t="shared" si="19"/>
        <v>1</v>
      </c>
      <c r="X179" s="566">
        <f t="shared" si="12"/>
        <v>0</v>
      </c>
      <c r="Y179" s="566">
        <f t="shared" si="13"/>
        <v>0</v>
      </c>
    </row>
    <row r="180" spans="1:25" ht="28.8" x14ac:dyDescent="0.3">
      <c r="A180" s="334">
        <f>'Unit Data from Audit Worksheet'!A204</f>
        <v>51</v>
      </c>
      <c r="B180" s="348" t="str">
        <f>'Unit Data from Audit Worksheet'!C204</f>
        <v>Water Sewer Cash Flow Statement</v>
      </c>
      <c r="C180" s="333" t="str">
        <f>'Unit Data from Audit Worksheet'!D204</f>
        <v>Total Cash flow from operating activities  - (Enter negative cash flows as negative)</v>
      </c>
      <c r="D180" s="353"/>
      <c r="E180" s="354">
        <f>'Unit Data from Audit Worksheet'!F204</f>
        <v>0</v>
      </c>
      <c r="F180" s="347"/>
      <c r="G180" s="349"/>
      <c r="H180" s="346">
        <f>'Unit Data from Audit Worksheet'!I204</f>
        <v>0</v>
      </c>
      <c r="I180" s="38"/>
      <c r="J180" s="345">
        <v>51</v>
      </c>
      <c r="K180" s="344" t="s">
        <v>245</v>
      </c>
      <c r="L180" s="569">
        <f t="shared" si="20"/>
        <v>0</v>
      </c>
      <c r="P180" s="316"/>
      <c r="W180" s="3" t="b">
        <f t="shared" si="19"/>
        <v>1</v>
      </c>
      <c r="X180" s="566">
        <f t="shared" si="12"/>
        <v>0</v>
      </c>
      <c r="Y180" s="566">
        <f t="shared" si="13"/>
        <v>0</v>
      </c>
    </row>
    <row r="181" spans="1:25" ht="64.5" customHeight="1" x14ac:dyDescent="0.3">
      <c r="A181" s="334">
        <f>'Unit Data from Audit Worksheet'!A205</f>
        <v>332</v>
      </c>
      <c r="B181" s="348" t="str">
        <f>'Unit Data from Audit Worksheet'!C205</f>
        <v>Water Sewer Cash Flow Statement</v>
      </c>
      <c r="C181" s="333" t="str">
        <f>'Unit Data from Audit Worksheet'!D205</f>
        <v>Total Capital outlay. 
Include acquisition and construction of capital assets.</v>
      </c>
      <c r="D181" s="353"/>
      <c r="E181" s="354">
        <f>'Unit Data from Audit Worksheet'!F205</f>
        <v>0</v>
      </c>
      <c r="F181" s="347">
        <f>IF(L181&lt;0,"Error: Enter as a positive.",)</f>
        <v>0</v>
      </c>
      <c r="G181" s="349"/>
      <c r="H181" s="346">
        <f>'Unit Data from Audit Worksheet'!I205</f>
        <v>0</v>
      </c>
      <c r="I181" s="38"/>
      <c r="J181" s="345">
        <v>332</v>
      </c>
      <c r="K181" s="344" t="s">
        <v>247</v>
      </c>
      <c r="L181" s="569">
        <f t="shared" si="20"/>
        <v>0</v>
      </c>
      <c r="O181" s="577"/>
      <c r="P181" s="316"/>
      <c r="W181" s="3" t="b">
        <f t="shared" si="19"/>
        <v>1</v>
      </c>
      <c r="X181" s="566">
        <f t="shared" si="12"/>
        <v>0</v>
      </c>
      <c r="Y181" s="566">
        <f t="shared" si="13"/>
        <v>0</v>
      </c>
    </row>
    <row r="182" spans="1:25" ht="58.5" customHeight="1" x14ac:dyDescent="0.3">
      <c r="A182" s="334">
        <f>'Unit Data from Audit Worksheet'!A206</f>
        <v>331</v>
      </c>
      <c r="B182" s="348" t="str">
        <f>'Unit Data from Audit Worksheet'!C206</f>
        <v>Water Sewer Cash Flow Statement</v>
      </c>
      <c r="C182" s="333" t="str">
        <f>'Unit Data from Audit Worksheet'!D206</f>
        <v>Principal paid on long-term debt.  Amount should be reduced by principal payments for debt refunding.</v>
      </c>
      <c r="D182" s="353"/>
      <c r="E182" s="354">
        <f>'Unit Data from Audit Worksheet'!F206</f>
        <v>0</v>
      </c>
      <c r="F182" s="347">
        <f>IF(L182&lt;0,"Error: Enter as a positive.",)</f>
        <v>0</v>
      </c>
      <c r="G182" s="349"/>
      <c r="H182" s="346">
        <f>'Unit Data from Audit Worksheet'!I206</f>
        <v>0</v>
      </c>
      <c r="I182" s="38"/>
      <c r="J182" s="345">
        <v>331</v>
      </c>
      <c r="K182" s="344" t="s">
        <v>246</v>
      </c>
      <c r="L182" s="569">
        <f t="shared" si="20"/>
        <v>0</v>
      </c>
      <c r="O182" s="577"/>
      <c r="P182" s="316"/>
      <c r="W182" s="3" t="b">
        <f t="shared" si="19"/>
        <v>1</v>
      </c>
      <c r="X182" s="566">
        <f t="shared" ref="X182:X276" si="21">E182-L182</f>
        <v>0</v>
      </c>
      <c r="Y182" s="566">
        <f t="shared" ref="Y182:Y276" si="22">D182-L182</f>
        <v>0</v>
      </c>
    </row>
    <row r="183" spans="1:25" ht="51.75" customHeight="1" x14ac:dyDescent="0.3">
      <c r="A183" s="334">
        <f>'Unit Data from Audit Worksheet'!A208</f>
        <v>55</v>
      </c>
      <c r="B183" s="348" t="str">
        <f>'Unit Data from Audit Worksheet'!C208</f>
        <v>Electric Fund Cash Flow Statement</v>
      </c>
      <c r="C183" s="333" t="str">
        <f>'Unit Data from Audit Worksheet'!D208</f>
        <v>Cash flow from operating activities - (enter negative cash flows as negative)</v>
      </c>
      <c r="D183" s="353"/>
      <c r="E183" s="354">
        <f>'Unit Data from Audit Worksheet'!F208</f>
        <v>0</v>
      </c>
      <c r="F183" s="347"/>
      <c r="G183" s="349"/>
      <c r="H183" s="346">
        <f>'Unit Data from Audit Worksheet'!I208</f>
        <v>0</v>
      </c>
      <c r="I183" s="38"/>
      <c r="J183" s="345">
        <v>55</v>
      </c>
      <c r="K183" s="344" t="s">
        <v>248</v>
      </c>
      <c r="L183" s="569">
        <f t="shared" si="20"/>
        <v>0</v>
      </c>
      <c r="P183" s="316"/>
      <c r="W183" s="3" t="b">
        <f t="shared" si="19"/>
        <v>1</v>
      </c>
      <c r="X183" s="566">
        <f t="shared" si="21"/>
        <v>0</v>
      </c>
      <c r="Y183" s="566">
        <f t="shared" si="22"/>
        <v>0</v>
      </c>
    </row>
    <row r="184" spans="1:25" ht="58.5" customHeight="1" x14ac:dyDescent="0.3">
      <c r="A184" s="334">
        <f>'Unit Data from Audit Worksheet'!A209</f>
        <v>101</v>
      </c>
      <c r="B184" s="348" t="str">
        <f>'Unit Data from Audit Worksheet'!C209</f>
        <v>Electric Fund Cash Flow Statement</v>
      </c>
      <c r="C184" s="333" t="str">
        <f>'Unit Data from Audit Worksheet'!D209</f>
        <v>Total Capital outlay.  
Include acquisition and construction of capital assets.</v>
      </c>
      <c r="D184" s="353"/>
      <c r="E184" s="354">
        <f>'Unit Data from Audit Worksheet'!F209</f>
        <v>0</v>
      </c>
      <c r="F184" s="347">
        <f>IF(L184&lt;0,"Error: Enter as a positive.",)</f>
        <v>0</v>
      </c>
      <c r="G184" s="349"/>
      <c r="H184" s="346">
        <f>'Unit Data from Audit Worksheet'!I209</f>
        <v>0</v>
      </c>
      <c r="I184" s="38"/>
      <c r="J184" s="345">
        <v>101</v>
      </c>
      <c r="K184" s="344" t="s">
        <v>249</v>
      </c>
      <c r="L184" s="569">
        <f t="shared" si="20"/>
        <v>0</v>
      </c>
      <c r="P184" s="316"/>
      <c r="W184" s="3" t="b">
        <f t="shared" si="19"/>
        <v>1</v>
      </c>
      <c r="X184" s="566">
        <f t="shared" si="21"/>
        <v>0</v>
      </c>
      <c r="Y184" s="566">
        <f t="shared" si="22"/>
        <v>0</v>
      </c>
    </row>
    <row r="185" spans="1:25" ht="60.75" customHeight="1" x14ac:dyDescent="0.3">
      <c r="A185" s="334">
        <f>'Unit Data from Audit Worksheet'!A210</f>
        <v>100</v>
      </c>
      <c r="B185" s="348" t="str">
        <f>'Unit Data from Audit Worksheet'!C210</f>
        <v>Electric Fund Cash Flow Statement</v>
      </c>
      <c r="C185" s="333" t="str">
        <f>'Unit Data from Audit Worksheet'!D210</f>
        <v>Principal paid on long-term debt.  Amount should be reduced by principal payments for debt refunding.</v>
      </c>
      <c r="D185" s="353"/>
      <c r="E185" s="354">
        <f>'Unit Data from Audit Worksheet'!F210</f>
        <v>0</v>
      </c>
      <c r="F185" s="347">
        <f>IF(L185&lt;0,"Error: Enter as a positive.",)</f>
        <v>0</v>
      </c>
      <c r="G185" s="349"/>
      <c r="H185" s="346">
        <f>'Unit Data from Audit Worksheet'!I210</f>
        <v>0</v>
      </c>
      <c r="I185" s="38"/>
      <c r="J185" s="345">
        <v>100</v>
      </c>
      <c r="K185" s="344" t="s">
        <v>250</v>
      </c>
      <c r="L185" s="569">
        <f t="shared" si="20"/>
        <v>0</v>
      </c>
      <c r="P185" s="316"/>
      <c r="W185" s="3" t="b">
        <f t="shared" si="19"/>
        <v>1</v>
      </c>
      <c r="X185" s="566">
        <f t="shared" si="21"/>
        <v>0</v>
      </c>
      <c r="Y185" s="566">
        <f t="shared" si="22"/>
        <v>0</v>
      </c>
    </row>
    <row r="186" spans="1:25" ht="71.25" customHeight="1" x14ac:dyDescent="0.3">
      <c r="A186" s="334">
        <f>'Unit Data from Audit Worksheet'!A212</f>
        <v>512</v>
      </c>
      <c r="B186" s="348" t="str">
        <f>'Unit Data from Audit Worksheet'!C212</f>
        <v>Fiduciary Statements</v>
      </c>
      <c r="C186" s="333" t="str">
        <f>'Unit Data from Audit Worksheet'!D212</f>
        <v>Cash and investments.  
Include:  unrestricted and restricted.  
                   cash and investments held 
                   by a third party</v>
      </c>
      <c r="D186" s="353"/>
      <c r="E186" s="354">
        <f>'Unit Data from Audit Worksheet'!F212</f>
        <v>0</v>
      </c>
      <c r="F186" s="347">
        <f>IF(L186&lt;0,"Error: Number is normally positive.",)</f>
        <v>0</v>
      </c>
      <c r="G186" s="349"/>
      <c r="H186" s="346">
        <f>'Unit Data from Audit Worksheet'!I212</f>
        <v>0</v>
      </c>
      <c r="I186" s="38"/>
      <c r="J186" s="345">
        <v>512</v>
      </c>
      <c r="K186" s="344" t="s">
        <v>251</v>
      </c>
      <c r="L186" s="569">
        <f t="shared" si="20"/>
        <v>0</v>
      </c>
      <c r="P186" s="316"/>
      <c r="W186" s="3" t="b">
        <f t="shared" si="19"/>
        <v>1</v>
      </c>
      <c r="X186" s="566">
        <f t="shared" si="21"/>
        <v>0</v>
      </c>
      <c r="Y186" s="566">
        <f t="shared" si="22"/>
        <v>0</v>
      </c>
    </row>
    <row r="187" spans="1:25" ht="62.25" customHeight="1" x14ac:dyDescent="0.3">
      <c r="A187" s="334">
        <f>'Unit Data from Audit Worksheet'!A214</f>
        <v>656</v>
      </c>
      <c r="B187" s="348">
        <f>'Unit Data from Audit Worksheet'!C214</f>
        <v>0</v>
      </c>
      <c r="C187" s="333" t="str">
        <f>'Unit Data from Audit Worksheet'!D214</f>
        <v>Do you use prepared food/occupancy tax revenue stream to support debt?  Select "1" for Yes and "2" for No</v>
      </c>
      <c r="D187" s="139"/>
      <c r="E187" s="354">
        <f>'Unit Data from Audit Worksheet'!F214</f>
        <v>0</v>
      </c>
      <c r="F187" s="347"/>
      <c r="G187" s="349"/>
      <c r="H187" s="346"/>
      <c r="I187" s="38"/>
      <c r="J187" s="345">
        <v>656</v>
      </c>
      <c r="K187" s="351" t="s">
        <v>534</v>
      </c>
      <c r="L187" s="595">
        <f>E187</f>
        <v>0</v>
      </c>
      <c r="M187" s="18"/>
      <c r="N187" s="18"/>
      <c r="O187" s="18"/>
      <c r="P187" s="316"/>
      <c r="W187" s="3" t="b">
        <f t="shared" si="19"/>
        <v>1</v>
      </c>
      <c r="X187" s="566">
        <f t="shared" si="21"/>
        <v>0</v>
      </c>
      <c r="Y187" s="566">
        <f t="shared" si="22"/>
        <v>0</v>
      </c>
    </row>
    <row r="188" spans="1:25" s="18" customFormat="1" ht="102.75" customHeight="1" x14ac:dyDescent="0.3">
      <c r="A188" s="334">
        <f>'Unit Data from Audit Worksheet'!A216</f>
        <v>535</v>
      </c>
      <c r="B188" s="348" t="str">
        <f>'Unit Data from Audit Worksheet'!C216</f>
        <v>Cash and Investment Note</v>
      </c>
      <c r="C188" s="333" t="str">
        <f>'Unit Data from Audit Worksheet'!D216</f>
        <v>Cash and Investment - Please list the book value of any unspent debt proceeds (bonds, installment, etc.) in any funds as of June 30.  This information may be on the face of your statements or in the notes</v>
      </c>
      <c r="D188" s="353"/>
      <c r="E188" s="354">
        <f>'Unit Data from Audit Worksheet'!F216</f>
        <v>0</v>
      </c>
      <c r="F188" s="87" t="str">
        <f>IF(L188&gt;1,,"Reminder: Please make sure you have entered all cash and investments from bond proceeds, if applicable")</f>
        <v>Reminder: Please make sure you have entered all cash and investments from bond proceeds, if applicable</v>
      </c>
      <c r="G188" s="349"/>
      <c r="H188" s="346">
        <f>'Unit Data from Audit Worksheet'!I216</f>
        <v>0</v>
      </c>
      <c r="I188" s="38"/>
      <c r="J188" s="345">
        <v>535</v>
      </c>
      <c r="K188" s="62" t="s">
        <v>252</v>
      </c>
      <c r="L188" s="569">
        <f t="shared" si="20"/>
        <v>0</v>
      </c>
      <c r="P188" s="316"/>
      <c r="Q188" s="559"/>
      <c r="R188" s="3"/>
      <c r="W188" s="3" t="b">
        <f t="shared" si="19"/>
        <v>1</v>
      </c>
      <c r="X188" s="566">
        <f t="shared" si="21"/>
        <v>0</v>
      </c>
      <c r="Y188" s="566">
        <f t="shared" si="22"/>
        <v>0</v>
      </c>
    </row>
    <row r="189" spans="1:25" ht="45.75" customHeight="1" x14ac:dyDescent="0.3">
      <c r="A189" s="334">
        <f>'Unit Data from Audit Worksheet'!A220</f>
        <v>334</v>
      </c>
      <c r="B189" s="348" t="str">
        <f>'Unit Data from Audit Worksheet'!C220</f>
        <v>Gov.-Capital Assets Schedule in the Notes</v>
      </c>
      <c r="C189" s="333" t="str">
        <f>'Unit Data from Audit Worksheet'!D220</f>
        <v>Gross value.  
Exclude non-depreciable.</v>
      </c>
      <c r="D189" s="353"/>
      <c r="E189" s="354">
        <f>'Unit Data from Audit Worksheet'!F220</f>
        <v>0</v>
      </c>
      <c r="F189" s="87"/>
      <c r="G189" s="349"/>
      <c r="H189" s="346">
        <f>'Unit Data from Audit Worksheet'!I220</f>
        <v>0</v>
      </c>
      <c r="I189" s="38"/>
      <c r="J189" s="345">
        <v>334</v>
      </c>
      <c r="K189" s="62" t="s">
        <v>271</v>
      </c>
      <c r="L189" s="569">
        <f t="shared" si="20"/>
        <v>0</v>
      </c>
      <c r="P189" s="316"/>
      <c r="W189" s="3" t="b">
        <f t="shared" si="19"/>
        <v>1</v>
      </c>
      <c r="X189" s="566">
        <f t="shared" si="21"/>
        <v>0</v>
      </c>
      <c r="Y189" s="566">
        <f t="shared" si="22"/>
        <v>0</v>
      </c>
    </row>
    <row r="190" spans="1:25" ht="57" customHeight="1" x14ac:dyDescent="0.3">
      <c r="A190" s="334">
        <f>'Unit Data from Audit Worksheet'!A221</f>
        <v>373</v>
      </c>
      <c r="B190" s="348" t="str">
        <f>'Unit Data from Audit Worksheet'!C221</f>
        <v>Gov.-Capital Assets Schedule in the Notes</v>
      </c>
      <c r="C190" s="333" t="str">
        <f>'Unit Data from Audit Worksheet'!D221</f>
        <v>Accumulated depreciation</v>
      </c>
      <c r="D190" s="353"/>
      <c r="E190" s="354">
        <f>'Unit Data from Audit Worksheet'!F221</f>
        <v>0</v>
      </c>
      <c r="F190" s="87"/>
      <c r="G190" s="349"/>
      <c r="H190" s="346">
        <f>'Unit Data from Audit Worksheet'!I221</f>
        <v>0</v>
      </c>
      <c r="I190" s="38"/>
      <c r="J190" s="345">
        <v>373</v>
      </c>
      <c r="K190" s="58" t="s">
        <v>335</v>
      </c>
      <c r="L190" s="569">
        <f t="shared" si="20"/>
        <v>0</v>
      </c>
      <c r="P190" s="316"/>
      <c r="W190" s="3" t="b">
        <f t="shared" si="19"/>
        <v>1</v>
      </c>
      <c r="X190" s="566">
        <f t="shared" si="21"/>
        <v>0</v>
      </c>
      <c r="Y190" s="566">
        <f t="shared" si="22"/>
        <v>0</v>
      </c>
    </row>
    <row r="191" spans="1:25" ht="102.75" customHeight="1" x14ac:dyDescent="0.3">
      <c r="A191" s="585">
        <f>'Unit Data from Audit Worksheet'!A222</f>
        <v>987</v>
      </c>
      <c r="B191" s="352">
        <f>'Unit Data from Audit Worksheet'!C222</f>
        <v>0</v>
      </c>
      <c r="C191" s="586" t="str">
        <f>'Unit Data from Audit Worksheet'!D222</f>
        <v xml:space="preserve">Estimated cost not yet budgeted of any mandate placed on unit by DEQ, a court order or some similar requirement (that has no realistic appeal path). </v>
      </c>
      <c r="D191" s="353"/>
      <c r="E191" s="354">
        <f>'Unit Data from Audit Worksheet'!F222</f>
        <v>0</v>
      </c>
      <c r="F191" s="87"/>
      <c r="G191" s="349"/>
      <c r="H191" s="346">
        <f>'Unit Data from Audit Worksheet'!I222</f>
        <v>0</v>
      </c>
      <c r="I191" s="38"/>
      <c r="J191" s="363">
        <v>987</v>
      </c>
      <c r="K191" s="596" t="s">
        <v>1022</v>
      </c>
      <c r="L191" s="587">
        <f t="shared" si="20"/>
        <v>0</v>
      </c>
      <c r="P191" s="316"/>
      <c r="W191" s="3" t="b">
        <f t="shared" si="19"/>
        <v>1</v>
      </c>
      <c r="X191" s="566"/>
      <c r="Y191" s="566"/>
    </row>
    <row r="192" spans="1:25" ht="69" customHeight="1" x14ac:dyDescent="0.3">
      <c r="A192" s="585">
        <f>'Unit Data from Audit Worksheet'!A223</f>
        <v>988</v>
      </c>
      <c r="B192" s="352">
        <f>'Unit Data from Audit Worksheet'!C223</f>
        <v>0</v>
      </c>
      <c r="C192" s="586" t="str">
        <f>'Unit Data from Audit Worksheet'!D223</f>
        <v>Do you operate a landfill that will be closing  or have a significant portion closing within the next 5 years?  Select "1" for Yes and "2" for No</v>
      </c>
      <c r="D192" s="353"/>
      <c r="E192" s="354">
        <f>'Unit Data from Audit Worksheet'!F223</f>
        <v>0</v>
      </c>
      <c r="F192" s="87"/>
      <c r="G192" s="349"/>
      <c r="H192" s="346">
        <f>'Unit Data from Audit Worksheet'!I223</f>
        <v>0</v>
      </c>
      <c r="I192" s="38"/>
      <c r="J192" s="363">
        <v>988</v>
      </c>
      <c r="K192" s="596" t="s">
        <v>1528</v>
      </c>
      <c r="L192" s="587">
        <f t="shared" si="20"/>
        <v>0</v>
      </c>
      <c r="P192" s="316"/>
      <c r="W192" s="3" t="b">
        <f t="shared" si="19"/>
        <v>1</v>
      </c>
      <c r="X192" s="566"/>
      <c r="Y192" s="566"/>
    </row>
    <row r="193" spans="1:25" ht="95.25" customHeight="1" x14ac:dyDescent="0.3">
      <c r="A193" s="585">
        <f>'Unit Data from Audit Worksheet'!A224</f>
        <v>989</v>
      </c>
      <c r="B193" s="352">
        <f>'Unit Data from Audit Worksheet'!C224</f>
        <v>0</v>
      </c>
      <c r="C193" s="586" t="str">
        <f>'Unit Data from Audit Worksheet'!D224</f>
        <v>If you answered "yes" to question #988 above, will you have the closure/postclosure cost fully funded by the date of closure?  Select "1" for Yes,  "2" for No, or "3" for N/A.</v>
      </c>
      <c r="D193" s="353"/>
      <c r="E193" s="354">
        <f>'Unit Data from Audit Worksheet'!F224</f>
        <v>0</v>
      </c>
      <c r="F193" s="87"/>
      <c r="G193" s="349"/>
      <c r="H193" s="346">
        <f>'Unit Data from Audit Worksheet'!I224</f>
        <v>0</v>
      </c>
      <c r="I193" s="38"/>
      <c r="J193" s="363">
        <v>989</v>
      </c>
      <c r="K193" s="596" t="s">
        <v>1285</v>
      </c>
      <c r="L193" s="587">
        <f t="shared" si="20"/>
        <v>0</v>
      </c>
      <c r="P193" s="316"/>
      <c r="W193" s="3" t="b">
        <f t="shared" si="19"/>
        <v>1</v>
      </c>
      <c r="X193" s="566"/>
      <c r="Y193" s="566"/>
    </row>
    <row r="194" spans="1:25" ht="57" customHeight="1" x14ac:dyDescent="0.3">
      <c r="A194" s="334">
        <f>'Unit Data from Audit Worksheet'!A228</f>
        <v>327</v>
      </c>
      <c r="B194" s="348" t="str">
        <f>'Unit Data from Audit Worksheet'!C228</f>
        <v>WS-Capital Assets Schedule in the Notes</v>
      </c>
      <c r="C194" s="333" t="str">
        <f>'Unit Data from Audit Worksheet'!D228</f>
        <v>Land and all other non depreciable capital assets 
Exclude construction in progress</v>
      </c>
      <c r="D194" s="353"/>
      <c r="E194" s="354">
        <f>'Unit Data from Audit Worksheet'!F228</f>
        <v>0</v>
      </c>
      <c r="F194" s="87"/>
      <c r="G194" s="349"/>
      <c r="H194" s="346">
        <f>'Unit Data from Audit Worksheet'!I228</f>
        <v>0</v>
      </c>
      <c r="I194" s="38"/>
      <c r="J194" s="345">
        <v>327</v>
      </c>
      <c r="K194" s="58" t="s">
        <v>336</v>
      </c>
      <c r="L194" s="569">
        <f t="shared" si="20"/>
        <v>0</v>
      </c>
      <c r="P194" s="316"/>
      <c r="W194" s="3" t="b">
        <f t="shared" si="19"/>
        <v>1</v>
      </c>
      <c r="X194" s="566">
        <f t="shared" si="21"/>
        <v>0</v>
      </c>
      <c r="Y194" s="566">
        <f t="shared" si="22"/>
        <v>0</v>
      </c>
    </row>
    <row r="195" spans="1:25" ht="57" customHeight="1" x14ac:dyDescent="0.3">
      <c r="A195" s="334">
        <f>'Unit Data from Audit Worksheet'!A229</f>
        <v>328</v>
      </c>
      <c r="B195" s="348" t="str">
        <f>'Unit Data from Audit Worksheet'!C229</f>
        <v>WS-Capital Assets Schedule in the Notes</v>
      </c>
      <c r="C195" s="333" t="str">
        <f>'Unit Data from Audit Worksheet'!D229</f>
        <v>Construction in progress</v>
      </c>
      <c r="D195" s="353"/>
      <c r="E195" s="354">
        <f>'Unit Data from Audit Worksheet'!F229</f>
        <v>0</v>
      </c>
      <c r="F195" s="87"/>
      <c r="G195" s="349"/>
      <c r="H195" s="346">
        <f>'Unit Data from Audit Worksheet'!I229</f>
        <v>0</v>
      </c>
      <c r="I195" s="38"/>
      <c r="J195" s="345">
        <v>328</v>
      </c>
      <c r="K195" s="58" t="s">
        <v>337</v>
      </c>
      <c r="L195" s="569">
        <f t="shared" si="20"/>
        <v>0</v>
      </c>
      <c r="P195" s="316"/>
      <c r="W195" s="3" t="b">
        <f t="shared" si="19"/>
        <v>1</v>
      </c>
      <c r="X195" s="566">
        <f t="shared" si="21"/>
        <v>0</v>
      </c>
      <c r="Y195" s="566">
        <f t="shared" si="22"/>
        <v>0</v>
      </c>
    </row>
    <row r="196" spans="1:25" ht="46.5" customHeight="1" x14ac:dyDescent="0.3">
      <c r="A196" s="334">
        <f>'Unit Data from Audit Worksheet'!A233</f>
        <v>515</v>
      </c>
      <c r="B196" s="348" t="str">
        <f>'Unit Data from Audit Worksheet'!C233</f>
        <v>WS Capital Assets Schedule-Gross Value</v>
      </c>
      <c r="C196" s="333" t="str">
        <f>'Unit Data from Audit Worksheet'!D233</f>
        <v>Buildings</v>
      </c>
      <c r="D196" s="353"/>
      <c r="E196" s="354">
        <f>'Unit Data from Audit Worksheet'!F233</f>
        <v>0</v>
      </c>
      <c r="F196" s="87"/>
      <c r="G196" s="349"/>
      <c r="H196" s="346">
        <f>'Unit Data from Audit Worksheet'!I233</f>
        <v>0</v>
      </c>
      <c r="I196" s="38"/>
      <c r="J196" s="345">
        <v>515</v>
      </c>
      <c r="K196" s="58" t="s">
        <v>272</v>
      </c>
      <c r="L196" s="569">
        <f t="shared" si="20"/>
        <v>0</v>
      </c>
      <c r="P196" s="316"/>
      <c r="W196" s="3" t="b">
        <f t="shared" si="19"/>
        <v>1</v>
      </c>
      <c r="X196" s="566">
        <f t="shared" si="21"/>
        <v>0</v>
      </c>
      <c r="Y196" s="566">
        <f t="shared" si="22"/>
        <v>0</v>
      </c>
    </row>
    <row r="197" spans="1:25" ht="46.5" customHeight="1" x14ac:dyDescent="0.3">
      <c r="A197" s="334">
        <f>'Unit Data from Audit Worksheet'!A234</f>
        <v>516</v>
      </c>
      <c r="B197" s="348" t="str">
        <f>'Unit Data from Audit Worksheet'!C234</f>
        <v>WS Capital Assets Schedule-Gross Value</v>
      </c>
      <c r="C197" s="333" t="str">
        <f>'Unit Data from Audit Worksheet'!D234</f>
        <v>Plant / distributions systems / water lines</v>
      </c>
      <c r="D197" s="353"/>
      <c r="E197" s="354">
        <f>'Unit Data from Audit Worksheet'!F234</f>
        <v>0</v>
      </c>
      <c r="F197" s="87"/>
      <c r="G197" s="349"/>
      <c r="H197" s="346">
        <f>'Unit Data from Audit Worksheet'!I234</f>
        <v>0</v>
      </c>
      <c r="I197" s="38"/>
      <c r="J197" s="345">
        <v>516</v>
      </c>
      <c r="K197" s="58" t="s">
        <v>273</v>
      </c>
      <c r="L197" s="569">
        <f t="shared" si="20"/>
        <v>0</v>
      </c>
      <c r="P197" s="316"/>
      <c r="W197" s="3" t="b">
        <f t="shared" ref="W197:W228" si="23">EXACT(A197,J197)</f>
        <v>1</v>
      </c>
      <c r="X197" s="566">
        <f t="shared" si="21"/>
        <v>0</v>
      </c>
      <c r="Y197" s="566">
        <f t="shared" si="22"/>
        <v>0</v>
      </c>
    </row>
    <row r="198" spans="1:25" ht="46.5" customHeight="1" x14ac:dyDescent="0.3">
      <c r="A198" s="334">
        <f>'Unit Data from Audit Worksheet'!A235</f>
        <v>517</v>
      </c>
      <c r="B198" s="348" t="str">
        <f>'Unit Data from Audit Worksheet'!C235</f>
        <v>WS Capital Assets Schedule-Gross Value</v>
      </c>
      <c r="C198" s="333" t="str">
        <f>'Unit Data from Audit Worksheet'!D235</f>
        <v>Infrastructure(other infrastructure)</v>
      </c>
      <c r="D198" s="353"/>
      <c r="E198" s="354">
        <f>'Unit Data from Audit Worksheet'!F235</f>
        <v>0</v>
      </c>
      <c r="F198" s="87"/>
      <c r="G198" s="349"/>
      <c r="H198" s="346">
        <f>'Unit Data from Audit Worksheet'!I235</f>
        <v>0</v>
      </c>
      <c r="I198" s="38"/>
      <c r="J198" s="345">
        <v>517</v>
      </c>
      <c r="K198" s="597" t="s">
        <v>274</v>
      </c>
      <c r="L198" s="569">
        <f t="shared" si="20"/>
        <v>0</v>
      </c>
      <c r="P198" s="316"/>
      <c r="W198" s="3" t="b">
        <f t="shared" si="23"/>
        <v>1</v>
      </c>
      <c r="X198" s="566">
        <f t="shared" si="21"/>
        <v>0</v>
      </c>
      <c r="Y198" s="566">
        <f t="shared" si="22"/>
        <v>0</v>
      </c>
    </row>
    <row r="199" spans="1:25" ht="46.5" customHeight="1" x14ac:dyDescent="0.3">
      <c r="A199" s="334">
        <f>'Unit Data from Audit Worksheet'!A236</f>
        <v>518</v>
      </c>
      <c r="B199" s="348" t="str">
        <f>'Unit Data from Audit Worksheet'!C236</f>
        <v>WS Capital Assets Schedule-Gross Value</v>
      </c>
      <c r="C199" s="333" t="str">
        <f>'Unit Data from Audit Worksheet'!D236</f>
        <v>All other depreciable capital assets</v>
      </c>
      <c r="D199" s="353"/>
      <c r="E199" s="354">
        <f>'Unit Data from Audit Worksheet'!F236</f>
        <v>0</v>
      </c>
      <c r="F199" s="87"/>
      <c r="G199" s="349"/>
      <c r="H199" s="346">
        <f>'Unit Data from Audit Worksheet'!I236</f>
        <v>0</v>
      </c>
      <c r="I199" s="38"/>
      <c r="J199" s="345">
        <v>518</v>
      </c>
      <c r="K199" s="597" t="s">
        <v>275</v>
      </c>
      <c r="L199" s="569">
        <f t="shared" si="20"/>
        <v>0</v>
      </c>
      <c r="P199" s="316"/>
      <c r="W199" s="3" t="b">
        <f t="shared" si="23"/>
        <v>1</v>
      </c>
      <c r="X199" s="566">
        <f t="shared" si="21"/>
        <v>0</v>
      </c>
      <c r="Y199" s="566">
        <f t="shared" si="22"/>
        <v>0</v>
      </c>
    </row>
    <row r="200" spans="1:25" ht="52.5" customHeight="1" x14ac:dyDescent="0.3">
      <c r="A200" s="334">
        <f>'Unit Data from Audit Worksheet'!A239</f>
        <v>519</v>
      </c>
      <c r="B200" s="348" t="str">
        <f>'Unit Data from Audit Worksheet'!C239</f>
        <v>WS Capital Assets Schedule-Annual Depreciation</v>
      </c>
      <c r="C200" s="333" t="str">
        <f>'Unit Data from Audit Worksheet'!D239</f>
        <v>Buildings annual depreciation</v>
      </c>
      <c r="D200" s="353"/>
      <c r="E200" s="354">
        <f>'Unit Data from Audit Worksheet'!F239</f>
        <v>0</v>
      </c>
      <c r="F200" s="87"/>
      <c r="G200" s="349"/>
      <c r="H200" s="346">
        <f>'Unit Data from Audit Worksheet'!I239</f>
        <v>0</v>
      </c>
      <c r="I200" s="38"/>
      <c r="J200" s="345">
        <v>519</v>
      </c>
      <c r="K200" s="597" t="s">
        <v>276</v>
      </c>
      <c r="L200" s="569">
        <f t="shared" si="20"/>
        <v>0</v>
      </c>
      <c r="P200" s="316"/>
      <c r="W200" s="3" t="b">
        <f t="shared" si="23"/>
        <v>1</v>
      </c>
      <c r="X200" s="566">
        <f t="shared" si="21"/>
        <v>0</v>
      </c>
      <c r="Y200" s="566">
        <f t="shared" si="22"/>
        <v>0</v>
      </c>
    </row>
    <row r="201" spans="1:25" ht="52.5" customHeight="1" x14ac:dyDescent="0.3">
      <c r="A201" s="334">
        <f>'Unit Data from Audit Worksheet'!A240</f>
        <v>520</v>
      </c>
      <c r="B201" s="348" t="str">
        <f>'Unit Data from Audit Worksheet'!C240</f>
        <v>WS Capital Assets Schedule-Annual Depreciation</v>
      </c>
      <c r="C201" s="333" t="str">
        <f>'Unit Data from Audit Worksheet'!D240</f>
        <v>Plant / distributions systems / water lines annual depreciation</v>
      </c>
      <c r="D201" s="353"/>
      <c r="E201" s="354">
        <f>'Unit Data from Audit Worksheet'!F240</f>
        <v>0</v>
      </c>
      <c r="F201" s="87"/>
      <c r="G201" s="349"/>
      <c r="H201" s="346">
        <f>'Unit Data from Audit Worksheet'!I240</f>
        <v>0</v>
      </c>
      <c r="I201" s="38"/>
      <c r="J201" s="345">
        <v>520</v>
      </c>
      <c r="K201" s="597" t="s">
        <v>277</v>
      </c>
      <c r="L201" s="569">
        <f t="shared" si="20"/>
        <v>0</v>
      </c>
      <c r="P201" s="316"/>
      <c r="W201" s="3" t="b">
        <f t="shared" si="23"/>
        <v>1</v>
      </c>
      <c r="X201" s="566">
        <f t="shared" si="21"/>
        <v>0</v>
      </c>
      <c r="Y201" s="566">
        <f t="shared" si="22"/>
        <v>0</v>
      </c>
    </row>
    <row r="202" spans="1:25" ht="52.5" customHeight="1" x14ac:dyDescent="0.3">
      <c r="A202" s="334">
        <f>'Unit Data from Audit Worksheet'!A241</f>
        <v>521</v>
      </c>
      <c r="B202" s="348" t="str">
        <f>'Unit Data from Audit Worksheet'!C241</f>
        <v>WS Capital Assets Schedule-Annual Depreciation</v>
      </c>
      <c r="C202" s="333" t="str">
        <f>'Unit Data from Audit Worksheet'!D241</f>
        <v>Infrastructure(other infrastructure) annual depreciation</v>
      </c>
      <c r="D202" s="353"/>
      <c r="E202" s="354">
        <f>'Unit Data from Audit Worksheet'!F241</f>
        <v>0</v>
      </c>
      <c r="F202" s="87"/>
      <c r="G202" s="349"/>
      <c r="H202" s="346">
        <f>'Unit Data from Audit Worksheet'!I241</f>
        <v>0</v>
      </c>
      <c r="I202" s="38"/>
      <c r="J202" s="345">
        <v>521</v>
      </c>
      <c r="K202" s="58" t="s">
        <v>278</v>
      </c>
      <c r="L202" s="569">
        <f t="shared" si="20"/>
        <v>0</v>
      </c>
      <c r="P202" s="316"/>
      <c r="W202" s="3" t="b">
        <f t="shared" si="23"/>
        <v>1</v>
      </c>
      <c r="X202" s="566">
        <f t="shared" si="21"/>
        <v>0</v>
      </c>
      <c r="Y202" s="566">
        <f t="shared" si="22"/>
        <v>0</v>
      </c>
    </row>
    <row r="203" spans="1:25" ht="42.75" customHeight="1" x14ac:dyDescent="0.3">
      <c r="A203" s="334">
        <f>'Unit Data from Audit Worksheet'!A242</f>
        <v>522</v>
      </c>
      <c r="B203" s="348" t="str">
        <f>'Unit Data from Audit Worksheet'!C242</f>
        <v>WS Capital Assets Schedule-Annual Depreciation</v>
      </c>
      <c r="C203" s="333" t="str">
        <f>'Unit Data from Audit Worksheet'!D242</f>
        <v>All other depreciable capital assets annual depreciation</v>
      </c>
      <c r="D203" s="353"/>
      <c r="E203" s="354">
        <f>'Unit Data from Audit Worksheet'!F242</f>
        <v>0</v>
      </c>
      <c r="F203" s="87"/>
      <c r="G203" s="349"/>
      <c r="H203" s="346">
        <f>'Unit Data from Audit Worksheet'!I242</f>
        <v>0</v>
      </c>
      <c r="I203" s="38"/>
      <c r="J203" s="345">
        <v>522</v>
      </c>
      <c r="K203" s="58" t="s">
        <v>279</v>
      </c>
      <c r="L203" s="569">
        <f t="shared" si="20"/>
        <v>0</v>
      </c>
      <c r="P203" s="316"/>
      <c r="W203" s="3" t="b">
        <f t="shared" si="23"/>
        <v>1</v>
      </c>
      <c r="X203" s="566">
        <f t="shared" si="21"/>
        <v>0</v>
      </c>
      <c r="Y203" s="566">
        <f t="shared" si="22"/>
        <v>0</v>
      </c>
    </row>
    <row r="204" spans="1:25" ht="42.75" customHeight="1" x14ac:dyDescent="0.3">
      <c r="A204" s="334">
        <f>'Unit Data from Audit Worksheet'!A245</f>
        <v>523</v>
      </c>
      <c r="B204" s="348" t="str">
        <f>'Unit Data from Audit Worksheet'!C245</f>
        <v>WS Capital Assets Schedule-Accumulated Depreciation</v>
      </c>
      <c r="C204" s="333" t="str">
        <f>'Unit Data from Audit Worksheet'!D245</f>
        <v>Building accumulated depreciation</v>
      </c>
      <c r="D204" s="353"/>
      <c r="E204" s="354">
        <f>'Unit Data from Audit Worksheet'!F245</f>
        <v>0</v>
      </c>
      <c r="F204" s="87"/>
      <c r="G204" s="349"/>
      <c r="H204" s="346">
        <f>'Unit Data from Audit Worksheet'!I245</f>
        <v>0</v>
      </c>
      <c r="I204" s="38"/>
      <c r="J204" s="345">
        <v>523</v>
      </c>
      <c r="K204" s="58" t="s">
        <v>280</v>
      </c>
      <c r="L204" s="569">
        <f t="shared" si="20"/>
        <v>0</v>
      </c>
      <c r="P204" s="316"/>
      <c r="W204" s="3" t="b">
        <f t="shared" si="23"/>
        <v>1</v>
      </c>
      <c r="X204" s="566">
        <f t="shared" si="21"/>
        <v>0</v>
      </c>
      <c r="Y204" s="566">
        <f t="shared" si="22"/>
        <v>0</v>
      </c>
    </row>
    <row r="205" spans="1:25" ht="51" customHeight="1" x14ac:dyDescent="0.3">
      <c r="A205" s="334">
        <f>'Unit Data from Audit Worksheet'!A246</f>
        <v>524</v>
      </c>
      <c r="B205" s="348" t="str">
        <f>'Unit Data from Audit Worksheet'!C246</f>
        <v>WS Capital Assets Schedule-Accumulated Depreciation</v>
      </c>
      <c r="C205" s="333" t="str">
        <f>'Unit Data from Audit Worksheet'!D246</f>
        <v>Plant / distributions systems / water lines accumulated depreciation</v>
      </c>
      <c r="D205" s="353"/>
      <c r="E205" s="354">
        <f>'Unit Data from Audit Worksheet'!F246</f>
        <v>0</v>
      </c>
      <c r="F205" s="87"/>
      <c r="G205" s="349"/>
      <c r="H205" s="346">
        <f>'Unit Data from Audit Worksheet'!I246</f>
        <v>0</v>
      </c>
      <c r="I205" s="38"/>
      <c r="J205" s="345">
        <v>524</v>
      </c>
      <c r="K205" s="58" t="s">
        <v>281</v>
      </c>
      <c r="L205" s="569">
        <f t="shared" si="20"/>
        <v>0</v>
      </c>
      <c r="P205" s="316"/>
      <c r="W205" s="3" t="b">
        <f t="shared" si="23"/>
        <v>1</v>
      </c>
      <c r="X205" s="566">
        <f t="shared" si="21"/>
        <v>0</v>
      </c>
      <c r="Y205" s="566">
        <f t="shared" si="22"/>
        <v>0</v>
      </c>
    </row>
    <row r="206" spans="1:25" ht="57.75" customHeight="1" x14ac:dyDescent="0.3">
      <c r="A206" s="334">
        <f>'Unit Data from Audit Worksheet'!A247</f>
        <v>525</v>
      </c>
      <c r="B206" s="348" t="str">
        <f>'Unit Data from Audit Worksheet'!C247</f>
        <v>WS Capital Assets Schedule-Accumulated Depreciation</v>
      </c>
      <c r="C206" s="333" t="str">
        <f>'Unit Data from Audit Worksheet'!D247</f>
        <v>Infrastructure(other infrastructure) accumulated depreciation</v>
      </c>
      <c r="D206" s="353"/>
      <c r="E206" s="354">
        <f>'Unit Data from Audit Worksheet'!F247</f>
        <v>0</v>
      </c>
      <c r="F206" s="87"/>
      <c r="G206" s="349"/>
      <c r="H206" s="346">
        <f>'Unit Data from Audit Worksheet'!I247</f>
        <v>0</v>
      </c>
      <c r="I206" s="38"/>
      <c r="J206" s="345">
        <v>525</v>
      </c>
      <c r="K206" s="58" t="s">
        <v>282</v>
      </c>
      <c r="L206" s="569">
        <f t="shared" si="20"/>
        <v>0</v>
      </c>
      <c r="P206" s="316"/>
      <c r="W206" s="3" t="b">
        <f t="shared" si="23"/>
        <v>1</v>
      </c>
      <c r="X206" s="566">
        <f t="shared" si="21"/>
        <v>0</v>
      </c>
      <c r="Y206" s="566">
        <f t="shared" si="22"/>
        <v>0</v>
      </c>
    </row>
    <row r="207" spans="1:25" ht="48" customHeight="1" x14ac:dyDescent="0.3">
      <c r="A207" s="334">
        <f>'Unit Data from Audit Worksheet'!A248</f>
        <v>526</v>
      </c>
      <c r="B207" s="348" t="str">
        <f>'Unit Data from Audit Worksheet'!C248</f>
        <v>WS Capital Assets Schedule-Accumulated Depreciation</v>
      </c>
      <c r="C207" s="333" t="str">
        <f>'Unit Data from Audit Worksheet'!D248</f>
        <v>All other depreciable capital assets accumulated depreciation</v>
      </c>
      <c r="D207" s="353"/>
      <c r="E207" s="354">
        <f>'Unit Data from Audit Worksheet'!F248</f>
        <v>0</v>
      </c>
      <c r="F207" s="87"/>
      <c r="G207" s="349"/>
      <c r="H207" s="346">
        <f>'Unit Data from Audit Worksheet'!I248</f>
        <v>0</v>
      </c>
      <c r="I207" s="38"/>
      <c r="J207" s="345">
        <v>526</v>
      </c>
      <c r="K207" s="58" t="s">
        <v>283</v>
      </c>
      <c r="L207" s="569">
        <f t="shared" si="20"/>
        <v>0</v>
      </c>
      <c r="P207" s="316"/>
      <c r="W207" s="3" t="b">
        <f t="shared" si="23"/>
        <v>1</v>
      </c>
      <c r="X207" s="566">
        <f t="shared" si="21"/>
        <v>0</v>
      </c>
      <c r="Y207" s="566">
        <f t="shared" si="22"/>
        <v>0</v>
      </c>
    </row>
    <row r="208" spans="1:25" ht="50.25" customHeight="1" x14ac:dyDescent="0.3">
      <c r="A208" s="334">
        <f>'Unit Data from Audit Worksheet'!A253</f>
        <v>527</v>
      </c>
      <c r="B208" s="348" t="str">
        <f>'Unit Data from Audit Worksheet'!C253</f>
        <v>Electric Assets</v>
      </c>
      <c r="C208" s="333" t="str">
        <f>'Unit Data from Audit Worksheet'!D253</f>
        <v>Total Assets Gross value not being depreciated for Electric Fund</v>
      </c>
      <c r="D208" s="353"/>
      <c r="E208" s="354">
        <f>'Unit Data from Audit Worksheet'!F253</f>
        <v>0</v>
      </c>
      <c r="F208" s="87"/>
      <c r="G208" s="349"/>
      <c r="H208" s="346">
        <f>'Unit Data from Audit Worksheet'!I253</f>
        <v>0</v>
      </c>
      <c r="I208" s="38"/>
      <c r="J208" s="345">
        <v>527</v>
      </c>
      <c r="K208" s="58" t="s">
        <v>284</v>
      </c>
      <c r="L208" s="569">
        <f t="shared" si="20"/>
        <v>0</v>
      </c>
      <c r="P208" s="316"/>
      <c r="W208" s="3" t="b">
        <f t="shared" si="23"/>
        <v>1</v>
      </c>
      <c r="X208" s="566">
        <f t="shared" si="21"/>
        <v>0</v>
      </c>
      <c r="Y208" s="566">
        <f t="shared" si="22"/>
        <v>0</v>
      </c>
    </row>
    <row r="209" spans="1:27" ht="54.75" customHeight="1" x14ac:dyDescent="0.3">
      <c r="A209" s="334">
        <f>'Unit Data from Audit Worksheet'!A254</f>
        <v>356</v>
      </c>
      <c r="B209" s="348" t="str">
        <f>'Unit Data from Audit Worksheet'!C254</f>
        <v>Electric Assets</v>
      </c>
      <c r="C209" s="333" t="str">
        <f>'Unit Data from Audit Worksheet'!D254</f>
        <v>Total Assets Gross value of assets being depreciated for Electric Fund</v>
      </c>
      <c r="D209" s="353"/>
      <c r="E209" s="354">
        <f>'Unit Data from Audit Worksheet'!F254</f>
        <v>0</v>
      </c>
      <c r="F209" s="87"/>
      <c r="G209" s="349"/>
      <c r="H209" s="346">
        <f>'Unit Data from Audit Worksheet'!I254</f>
        <v>0</v>
      </c>
      <c r="I209" s="38"/>
      <c r="J209" s="345">
        <v>356</v>
      </c>
      <c r="K209" s="58" t="s">
        <v>338</v>
      </c>
      <c r="L209" s="569">
        <f t="shared" si="20"/>
        <v>0</v>
      </c>
      <c r="P209" s="316"/>
      <c r="W209" s="3" t="b">
        <f t="shared" si="23"/>
        <v>1</v>
      </c>
      <c r="X209" s="566">
        <f t="shared" si="21"/>
        <v>0</v>
      </c>
      <c r="Y209" s="566">
        <f t="shared" si="22"/>
        <v>0</v>
      </c>
    </row>
    <row r="210" spans="1:27" ht="54.75" customHeight="1" x14ac:dyDescent="0.3">
      <c r="A210" s="334">
        <f>'Unit Data from Audit Worksheet'!A255</f>
        <v>357</v>
      </c>
      <c r="B210" s="348" t="str">
        <f>'Unit Data from Audit Worksheet'!C255</f>
        <v>Electric Accumulated Depreciation</v>
      </c>
      <c r="C210" s="333" t="str">
        <f>'Unit Data from Audit Worksheet'!D255</f>
        <v>Total accumulated depreciation for Electric Fund assets</v>
      </c>
      <c r="D210" s="353"/>
      <c r="E210" s="354">
        <f>'Unit Data from Audit Worksheet'!F255</f>
        <v>0</v>
      </c>
      <c r="F210" s="87"/>
      <c r="G210" s="349"/>
      <c r="H210" s="346">
        <f>'Unit Data from Audit Worksheet'!I255</f>
        <v>0</v>
      </c>
      <c r="I210" s="38"/>
      <c r="J210" s="345">
        <v>357</v>
      </c>
      <c r="K210" s="58" t="s">
        <v>339</v>
      </c>
      <c r="L210" s="569">
        <f t="shared" si="20"/>
        <v>0</v>
      </c>
      <c r="P210" s="316"/>
      <c r="W210" s="3" t="b">
        <f t="shared" si="23"/>
        <v>1</v>
      </c>
      <c r="X210" s="566">
        <f t="shared" si="21"/>
        <v>0</v>
      </c>
      <c r="Y210" s="566">
        <f t="shared" si="22"/>
        <v>0</v>
      </c>
    </row>
    <row r="211" spans="1:27" ht="191.25" customHeight="1" x14ac:dyDescent="0.3">
      <c r="A211" s="334">
        <f>'Unit Data from Audit Worksheet'!A257</f>
        <v>337</v>
      </c>
      <c r="B211" s="348" t="str">
        <f>'Unit Data from Audit Worksheet'!C257</f>
        <v>Long-Term Liability Note - Governmental Activities</v>
      </c>
      <c r="C211" s="348" t="str">
        <f>'Unit Data from Audit Worksheet'!D257</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1" s="353"/>
      <c r="E211" s="354">
        <f>'Unit Data from Audit Worksheet'!F257</f>
        <v>0</v>
      </c>
      <c r="F211" s="347">
        <f>IF(L211&lt;0,"Error: Enter as a positive.",)</f>
        <v>0</v>
      </c>
      <c r="G211" s="349"/>
      <c r="H211" s="346">
        <f>'Unit Data from Audit Worksheet'!I257</f>
        <v>0</v>
      </c>
      <c r="I211" s="38"/>
      <c r="J211" s="345">
        <v>337</v>
      </c>
      <c r="K211" s="344" t="s">
        <v>253</v>
      </c>
      <c r="L211" s="569">
        <f t="shared" si="20"/>
        <v>0</v>
      </c>
      <c r="P211" s="316"/>
      <c r="W211" s="3" t="b">
        <f t="shared" si="23"/>
        <v>1</v>
      </c>
      <c r="X211" s="566">
        <f t="shared" si="21"/>
        <v>0</v>
      </c>
      <c r="Y211" s="566">
        <f t="shared" si="22"/>
        <v>0</v>
      </c>
    </row>
    <row r="212" spans="1:27" ht="76.5" customHeight="1" x14ac:dyDescent="0.3">
      <c r="A212" s="334">
        <f>'Unit Data from Audit Worksheet'!A258</f>
        <v>343</v>
      </c>
      <c r="B212" s="348" t="str">
        <f>'Unit Data from Audit Worksheet'!C258</f>
        <v>Long-Term Liability Note - Governmental Activities</v>
      </c>
      <c r="C212" s="333" t="str">
        <f>'Unit Data from Audit Worksheet'!D258</f>
        <v>Decreases made (principal paid) on Long-Term Debt in current fiscal year.  Reduce for debt refunding.</v>
      </c>
      <c r="D212" s="353"/>
      <c r="E212" s="354">
        <f>'Unit Data from Audit Worksheet'!F258</f>
        <v>0</v>
      </c>
      <c r="F212" s="347">
        <f>IF(L212&lt;0,"Error: Enter as a positive.",)</f>
        <v>0</v>
      </c>
      <c r="G212" s="349"/>
      <c r="H212" s="346">
        <f>'Unit Data from Audit Worksheet'!I258</f>
        <v>0</v>
      </c>
      <c r="I212" s="38"/>
      <c r="J212" s="345">
        <v>343</v>
      </c>
      <c r="K212" s="344" t="s">
        <v>254</v>
      </c>
      <c r="L212" s="569">
        <f t="shared" si="20"/>
        <v>0</v>
      </c>
      <c r="P212" s="316"/>
      <c r="W212" s="3" t="b">
        <f t="shared" si="23"/>
        <v>1</v>
      </c>
      <c r="X212" s="566">
        <f t="shared" si="21"/>
        <v>0</v>
      </c>
      <c r="Y212" s="566">
        <f t="shared" si="22"/>
        <v>0</v>
      </c>
    </row>
    <row r="213" spans="1:27" ht="193.5" customHeight="1" x14ac:dyDescent="0.3">
      <c r="A213" s="334">
        <f>'Unit Data from Audit Worksheet'!A259</f>
        <v>82</v>
      </c>
      <c r="B213" s="348" t="str">
        <f>'Unit Data from Audit Worksheet'!C259</f>
        <v>Long-Term Liability Note - Water Sewer Activities</v>
      </c>
      <c r="C213" s="348" t="str">
        <f>'Unit Data from Audit Worksheet'!D259</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3" s="353"/>
      <c r="E213" s="354">
        <f>'Unit Data from Audit Worksheet'!F259</f>
        <v>0</v>
      </c>
      <c r="F213" s="347">
        <f>IF(L213&lt;0,"Error: Enter as a positive.",)</f>
        <v>0</v>
      </c>
      <c r="G213" s="349"/>
      <c r="H213" s="346">
        <f>'Unit Data from Audit Worksheet'!I259</f>
        <v>0</v>
      </c>
      <c r="I213" s="38"/>
      <c r="J213" s="345">
        <v>82</v>
      </c>
      <c r="K213" s="69" t="s">
        <v>340</v>
      </c>
      <c r="L213" s="569">
        <f t="shared" si="20"/>
        <v>0</v>
      </c>
      <c r="P213" s="316"/>
      <c r="W213" s="3" t="b">
        <f t="shared" si="23"/>
        <v>1</v>
      </c>
      <c r="X213" s="566">
        <f t="shared" si="21"/>
        <v>0</v>
      </c>
      <c r="Y213" s="566">
        <f t="shared" si="22"/>
        <v>0</v>
      </c>
    </row>
    <row r="214" spans="1:27" ht="206.25" customHeight="1" x14ac:dyDescent="0.3">
      <c r="A214" s="334">
        <f>'Unit Data from Audit Worksheet'!A260</f>
        <v>359</v>
      </c>
      <c r="B214" s="348" t="str">
        <f>'Unit Data from Audit Worksheet'!C260</f>
        <v>Long-Term Liability Note - Electric Activities</v>
      </c>
      <c r="C214" s="348" t="str">
        <f>'Unit Data from Audit Worksheet'!D260</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4" s="353"/>
      <c r="E214" s="354">
        <f>'Unit Data from Audit Worksheet'!F260</f>
        <v>0</v>
      </c>
      <c r="F214" s="347">
        <f>IF(L214&lt;0,"Error: Enter as a positive.",)</f>
        <v>0</v>
      </c>
      <c r="G214" s="349"/>
      <c r="H214" s="346">
        <f>'Unit Data from Audit Worksheet'!I260</f>
        <v>0</v>
      </c>
      <c r="I214" s="38"/>
      <c r="J214" s="345">
        <v>359</v>
      </c>
      <c r="K214" s="344" t="s">
        <v>255</v>
      </c>
      <c r="L214" s="569">
        <f t="shared" si="20"/>
        <v>0</v>
      </c>
      <c r="P214" s="316"/>
      <c r="W214" s="3" t="b">
        <f t="shared" si="23"/>
        <v>1</v>
      </c>
      <c r="X214" s="566">
        <f t="shared" si="21"/>
        <v>0</v>
      </c>
      <c r="Y214" s="566">
        <f t="shared" si="22"/>
        <v>0</v>
      </c>
    </row>
    <row r="215" spans="1:27" ht="76.5" customHeight="1" x14ac:dyDescent="0.3">
      <c r="A215" s="334">
        <f>'Unit Data from Audit Worksheet'!A262</f>
        <v>622</v>
      </c>
      <c r="B215" s="348" t="str">
        <f>'Unit Data from Audit Worksheet'!C262</f>
        <v>FS., Pension note or RSI</v>
      </c>
      <c r="C215" s="348" t="str">
        <f>'Unit Data from Audit Worksheet'!D262</f>
        <v xml:space="preserve">Unit's Share of Net Pension Liability ($s)
- unit of government is a participating employer in the State's TSERS (Teachers' and State Employees' Retirement System) or the LGERS (Local Governmental Employees' Retirement System).  </v>
      </c>
      <c r="D215" s="353"/>
      <c r="E215" s="354">
        <f>'Unit Data from Audit Worksheet'!F262</f>
        <v>0</v>
      </c>
      <c r="F215" s="347"/>
      <c r="G215" s="349"/>
      <c r="H215" s="346"/>
      <c r="I215" s="38"/>
      <c r="J215" s="345">
        <v>622</v>
      </c>
      <c r="K215" s="351" t="s">
        <v>439</v>
      </c>
      <c r="L215" s="569">
        <f t="shared" si="20"/>
        <v>0</v>
      </c>
      <c r="P215" s="316"/>
      <c r="W215" s="3" t="b">
        <f t="shared" si="23"/>
        <v>1</v>
      </c>
      <c r="X215" s="566">
        <f t="shared" si="21"/>
        <v>0</v>
      </c>
      <c r="Y215" s="566">
        <f t="shared" si="22"/>
        <v>0</v>
      </c>
    </row>
    <row r="216" spans="1:27" ht="138.75" customHeight="1" x14ac:dyDescent="0.3">
      <c r="A216" s="334">
        <f>'Unit Data from Audit Worksheet'!A263</f>
        <v>577</v>
      </c>
      <c r="B216" s="348" t="str">
        <f>'Unit Data from Audit Worksheet'!C263</f>
        <v>Pension Notes</v>
      </c>
      <c r="C216" s="348" t="str">
        <f>'Unit Data from Audit Worksheet'!D263</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216" s="353"/>
      <c r="E216" s="354" t="str">
        <f>IF('Unit Data from Audit Worksheet'!F263="Yes",1,IF('Unit Data from Audit Worksheet'!F263="No",2,IF('Unit Data from Audit Worksheet'!F263&lt;1,"",IF('Unit Data from Audit Worksheet'!F263=0&gt;2,""))))</f>
        <v/>
      </c>
      <c r="F216" s="347"/>
      <c r="G216" s="349"/>
      <c r="H216" s="346"/>
      <c r="I216" s="38"/>
      <c r="J216" s="345">
        <v>577</v>
      </c>
      <c r="K216" s="351" t="s">
        <v>367</v>
      </c>
      <c r="L216" s="569" t="str">
        <f t="shared" si="20"/>
        <v/>
      </c>
      <c r="P216" s="316"/>
      <c r="W216" s="3" t="b">
        <f t="shared" si="23"/>
        <v>1</v>
      </c>
      <c r="X216" s="566" t="e">
        <f t="shared" si="21"/>
        <v>#VALUE!</v>
      </c>
      <c r="Y216" s="566" t="e">
        <f t="shared" si="22"/>
        <v>#VALUE!</v>
      </c>
    </row>
    <row r="217" spans="1:27" ht="115.5" customHeight="1" x14ac:dyDescent="0.3">
      <c r="A217" s="598">
        <f>'Unit Data from Audit Worksheet'!A265</f>
        <v>598</v>
      </c>
      <c r="B217" s="348" t="str">
        <f>'Unit Data from Audit Worksheet'!C265</f>
        <v>LEO Note</v>
      </c>
      <c r="C217" s="333" t="str">
        <f>'Unit Data from Audit Worksheet'!D265</f>
        <v>Amount the unit paid out in benefits under LEO special separation allowance to retired law enforcement officers this fiscal year if you report under GASB 68 or GASB 73.</v>
      </c>
      <c r="D217" s="353"/>
      <c r="E217" s="354">
        <f>'Unit Data from Audit Worksheet'!F265</f>
        <v>0</v>
      </c>
      <c r="F217" s="347">
        <f>IF(L217&lt;0,"Error: Enter as a positive.",)</f>
        <v>0</v>
      </c>
      <c r="G217" s="349"/>
      <c r="H217" s="346">
        <f>'Unit Data from Audit Worksheet'!I265</f>
        <v>0</v>
      </c>
      <c r="I217" s="38"/>
      <c r="J217" s="345">
        <v>598</v>
      </c>
      <c r="K217" s="94" t="s">
        <v>405</v>
      </c>
      <c r="L217" s="569">
        <f t="shared" si="20"/>
        <v>0</v>
      </c>
      <c r="P217" s="316"/>
      <c r="W217" s="3" t="b">
        <f t="shared" si="23"/>
        <v>1</v>
      </c>
      <c r="X217" s="566">
        <f t="shared" si="21"/>
        <v>0</v>
      </c>
      <c r="Y217" s="566">
        <f t="shared" si="22"/>
        <v>0</v>
      </c>
    </row>
    <row r="218" spans="1:27" ht="84" customHeight="1" x14ac:dyDescent="0.3">
      <c r="A218" s="334">
        <f>'Unit Data from Audit Worksheet'!A266</f>
        <v>599</v>
      </c>
      <c r="B218" s="348" t="str">
        <f>'Unit Data from Audit Worksheet'!C266</f>
        <v>LEO Note</v>
      </c>
      <c r="C218" s="333" t="str">
        <f>'Unit Data from Audit Worksheet'!D266</f>
        <v>The total LEO pension liability if you report under GASB 68 or GASB 73.</v>
      </c>
      <c r="D218" s="353"/>
      <c r="E218" s="354">
        <f>'Unit Data from Audit Worksheet'!F266</f>
        <v>0</v>
      </c>
      <c r="F218" s="347">
        <f>IF(L218&lt;0,"Error: Enter as a positive.",)</f>
        <v>0</v>
      </c>
      <c r="G218" s="349"/>
      <c r="H218" s="346">
        <f>'Unit Data from Audit Worksheet'!I266</f>
        <v>0</v>
      </c>
      <c r="I218" s="38"/>
      <c r="J218" s="345">
        <v>599</v>
      </c>
      <c r="K218" s="93" t="s">
        <v>404</v>
      </c>
      <c r="L218" s="569">
        <f t="shared" si="20"/>
        <v>0</v>
      </c>
      <c r="M218" s="599"/>
      <c r="P218" s="316"/>
      <c r="W218" s="3" t="b">
        <f t="shared" si="23"/>
        <v>1</v>
      </c>
      <c r="X218" s="566">
        <f t="shared" si="21"/>
        <v>0</v>
      </c>
      <c r="Y218" s="566">
        <f t="shared" si="22"/>
        <v>0</v>
      </c>
    </row>
    <row r="219" spans="1:27" ht="102.75" customHeight="1" x14ac:dyDescent="0.3">
      <c r="A219" s="334">
        <f>'Unit Data from Audit Worksheet'!A267</f>
        <v>602</v>
      </c>
      <c r="B219" s="348" t="str">
        <f>'Unit Data from Audit Worksheet'!C267</f>
        <v>LEO Note</v>
      </c>
      <c r="C219" s="333" t="str">
        <f>'Unit Data from Audit Worksheet'!D267</f>
        <v>If you have LEO pension assets and are reporting under GASB 68 please enter "Plan Fiduciary Net Position" which can be found on your RSI schedules and the Notes.</v>
      </c>
      <c r="D219" s="353"/>
      <c r="E219" s="354">
        <f>'Unit Data from Audit Worksheet'!F267</f>
        <v>0</v>
      </c>
      <c r="F219" s="347">
        <f>IF(L219&lt;0,"Error: Enter as a positive.",)</f>
        <v>0</v>
      </c>
      <c r="G219" s="349"/>
      <c r="H219" s="346">
        <f>'Unit Data from Audit Worksheet'!I267</f>
        <v>0</v>
      </c>
      <c r="I219" s="38"/>
      <c r="J219" s="345">
        <v>602</v>
      </c>
      <c r="K219" s="26" t="s">
        <v>406</v>
      </c>
      <c r="L219" s="569">
        <f t="shared" si="20"/>
        <v>0</v>
      </c>
      <c r="M219" s="599"/>
      <c r="P219" s="316"/>
      <c r="W219" s="3" t="b">
        <f t="shared" si="23"/>
        <v>1</v>
      </c>
      <c r="X219" s="566">
        <f t="shared" si="21"/>
        <v>0</v>
      </c>
      <c r="Y219" s="566">
        <f t="shared" si="22"/>
        <v>0</v>
      </c>
    </row>
    <row r="220" spans="1:27" ht="123" customHeight="1" x14ac:dyDescent="0.3">
      <c r="A220" s="334">
        <f>'Unit Data from Audit Worksheet'!A268</f>
        <v>619</v>
      </c>
      <c r="B220" s="348" t="str">
        <f>'Unit Data from Audit Worksheet'!C268</f>
        <v>LEO
RSI</v>
      </c>
      <c r="C220" s="94" t="str">
        <f>'Unit Data from Audit Worksheet'!D268</f>
        <v>LEOSSA – What is the plan’s fiduciary net position as a percentage of the total pension liability?  Please enter as percentage value; for example, 83.5% should be entered as 83.5.  If assets have not been set aside in a trust, please enter 0.0</v>
      </c>
      <c r="D220" s="95"/>
      <c r="E220" s="150">
        <f>'Unit Data from Audit Worksheet'!F268</f>
        <v>0</v>
      </c>
      <c r="F220" s="347" t="str">
        <f>IF(H220=L220,"","Column L does not equal Column H")</f>
        <v/>
      </c>
      <c r="G220" s="349"/>
      <c r="H220" s="103">
        <f>ROUND(IFERROR((L219/L218)*100,0),1)</f>
        <v>0</v>
      </c>
      <c r="I220" s="38"/>
      <c r="J220" s="336">
        <v>619</v>
      </c>
      <c r="K220" s="102" t="s">
        <v>571</v>
      </c>
      <c r="L220" s="906">
        <f t="shared" si="20"/>
        <v>0</v>
      </c>
      <c r="M220" s="599"/>
      <c r="P220" s="600"/>
      <c r="Q220" s="601">
        <f>IF(H220=L220,0,1)</f>
        <v>0</v>
      </c>
      <c r="W220" s="3" t="b">
        <f t="shared" si="23"/>
        <v>1</v>
      </c>
      <c r="X220" s="566">
        <f t="shared" si="21"/>
        <v>0</v>
      </c>
      <c r="Y220" s="566">
        <f t="shared" si="22"/>
        <v>0</v>
      </c>
    </row>
    <row r="221" spans="1:27" ht="113.25" customHeight="1" x14ac:dyDescent="0.3">
      <c r="A221" s="334">
        <v>621</v>
      </c>
      <c r="B221" s="57" t="s">
        <v>431</v>
      </c>
      <c r="C221" s="602" t="str">
        <f>'Unit Data from Audit Worksheet'!D270</f>
        <v xml:space="preserve">Unit's share of Retirement Health Benefit Fund Net OPEB Liability ($s)
- unit of government is a participating employer in the State's RHBF </v>
      </c>
      <c r="D221" s="95"/>
      <c r="E221" s="354">
        <f>'Unit Data from Audit Worksheet'!F270</f>
        <v>0</v>
      </c>
      <c r="F221" s="347">
        <f>IF(L221&lt;0,"Error: Enter as a positive.",)</f>
        <v>0</v>
      </c>
      <c r="G221" s="128"/>
      <c r="H221" s="346"/>
      <c r="I221" s="38"/>
      <c r="J221" s="603">
        <v>621</v>
      </c>
      <c r="K221" s="129" t="s">
        <v>576</v>
      </c>
      <c r="L221" s="569">
        <f t="shared" si="20"/>
        <v>0</v>
      </c>
      <c r="M221" s="599"/>
      <c r="P221" s="603"/>
      <c r="Q221" s="296"/>
      <c r="W221" s="3" t="b">
        <f t="shared" si="23"/>
        <v>1</v>
      </c>
      <c r="X221" s="566">
        <f t="shared" si="21"/>
        <v>0</v>
      </c>
      <c r="Y221" s="566">
        <f t="shared" si="22"/>
        <v>0</v>
      </c>
    </row>
    <row r="222" spans="1:27" s="18" customFormat="1" ht="127.5" customHeight="1" x14ac:dyDescent="0.3">
      <c r="A222" s="598">
        <f>'Unit Data from Audit Worksheet'!A271</f>
        <v>547</v>
      </c>
      <c r="B222" s="348" t="str">
        <f>'Unit Data from Audit Worksheet'!C271</f>
        <v>OPEB Note</v>
      </c>
      <c r="C222" s="348" t="str">
        <f>'Unit Data from Audit Worksheet'!D271</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222" s="353"/>
      <c r="E222" s="354">
        <f>'Unit Data from Audit Worksheet'!F271</f>
        <v>0</v>
      </c>
      <c r="F222" s="347" t="str">
        <f>IF(L225&lt;1,"Please answer this question","")</f>
        <v>Please answer this question</v>
      </c>
      <c r="G222" s="349"/>
      <c r="H222" s="346">
        <f>'Unit Data from Audit Worksheet'!I271</f>
        <v>0</v>
      </c>
      <c r="I222" s="38"/>
      <c r="J222" s="345">
        <v>547</v>
      </c>
      <c r="K222" s="604" t="s">
        <v>328</v>
      </c>
      <c r="L222" s="569">
        <f t="shared" si="20"/>
        <v>0</v>
      </c>
      <c r="M222" s="590"/>
      <c r="P222" s="316"/>
      <c r="Q222" s="559"/>
      <c r="R222" s="3"/>
      <c r="W222" s="3" t="b">
        <f t="shared" si="23"/>
        <v>1</v>
      </c>
      <c r="X222" s="566">
        <f t="shared" si="21"/>
        <v>0</v>
      </c>
      <c r="Y222" s="566">
        <f t="shared" si="22"/>
        <v>0</v>
      </c>
      <c r="AA222" s="3"/>
    </row>
    <row r="223" spans="1:27" s="18" customFormat="1" ht="99" customHeight="1" x14ac:dyDescent="0.3">
      <c r="A223" s="334">
        <f>'Unit Data from Audit Worksheet'!A272</f>
        <v>659</v>
      </c>
      <c r="B223" s="348" t="str">
        <f>'Unit Data from Audit Worksheet'!C272</f>
        <v>OPEB
 Note or RSI</v>
      </c>
      <c r="C223" s="333" t="str">
        <f>'Unit Data from Audit Worksheet'!D272</f>
        <v>Total OPEB benefits - total OPEB liability
If you do not provide benefit, please enter 0</v>
      </c>
      <c r="D223" s="353"/>
      <c r="E223" s="354">
        <f>'Unit Data from Audit Worksheet'!F272</f>
        <v>0</v>
      </c>
      <c r="F223" s="347">
        <f>IF(L223&lt;0,"Error: Enter as a positive.",)</f>
        <v>0</v>
      </c>
      <c r="G223" s="605" t="s">
        <v>1033</v>
      </c>
      <c r="H223" s="346">
        <f>'Unit Data from Audit Worksheet'!I272</f>
        <v>0</v>
      </c>
      <c r="I223" s="38"/>
      <c r="J223" s="336">
        <v>659</v>
      </c>
      <c r="K223" s="335" t="s">
        <v>529</v>
      </c>
      <c r="L223" s="583">
        <f t="shared" si="20"/>
        <v>0</v>
      </c>
      <c r="M223" s="590"/>
      <c r="P223" s="600"/>
      <c r="Q223" s="559"/>
      <c r="R223" s="3"/>
      <c r="W223" s="3" t="b">
        <f t="shared" si="23"/>
        <v>1</v>
      </c>
      <c r="X223" s="566">
        <f t="shared" si="21"/>
        <v>0</v>
      </c>
      <c r="Y223" s="566">
        <f t="shared" si="22"/>
        <v>0</v>
      </c>
      <c r="AA223" s="3"/>
    </row>
    <row r="224" spans="1:27" s="18" customFormat="1" ht="131.25" customHeight="1" x14ac:dyDescent="0.3">
      <c r="A224" s="334">
        <f>'Unit Data from Audit Worksheet'!A273</f>
        <v>660</v>
      </c>
      <c r="B224" s="348" t="str">
        <f>'Unit Data from Audit Worksheet'!C273</f>
        <v>OPEB
 Note or RSI</v>
      </c>
      <c r="C224" s="333" t="str">
        <f>'Unit Data from Audit Worksheet'!D273</f>
        <v>Total OPEB benefits- OPEB plan fiduciary net position
If no fiduciary net position, enter 0</v>
      </c>
      <c r="D224" s="353"/>
      <c r="E224" s="354">
        <f>'Unit Data from Audit Worksheet'!F273</f>
        <v>0</v>
      </c>
      <c r="F224" s="343">
        <f>IF(L224&lt;0,"Note: Number is normally positive.",)</f>
        <v>0</v>
      </c>
      <c r="G224" s="605" t="s">
        <v>1033</v>
      </c>
      <c r="H224" s="346">
        <f>'Unit Data from Audit Worksheet'!I273</f>
        <v>0</v>
      </c>
      <c r="I224" s="38"/>
      <c r="J224" s="336">
        <v>660</v>
      </c>
      <c r="K224" s="335" t="s">
        <v>530</v>
      </c>
      <c r="L224" s="583">
        <f t="shared" si="20"/>
        <v>0</v>
      </c>
      <c r="M224" s="590"/>
      <c r="P224" s="600"/>
      <c r="Q224" s="559"/>
      <c r="R224" s="3"/>
      <c r="W224" s="3" t="b">
        <f t="shared" si="23"/>
        <v>1</v>
      </c>
      <c r="X224" s="566">
        <f t="shared" si="21"/>
        <v>0</v>
      </c>
      <c r="Y224" s="566">
        <f t="shared" si="22"/>
        <v>0</v>
      </c>
      <c r="AA224" s="3"/>
    </row>
    <row r="225" spans="1:27" ht="134.25" customHeight="1" x14ac:dyDescent="0.3">
      <c r="A225" s="334">
        <f>'Unit Data from Audit Worksheet'!A274</f>
        <v>661</v>
      </c>
      <c r="B225" s="348" t="str">
        <f>'Unit Data from Audit Worksheet'!C274</f>
        <v>OPEB
RSI</v>
      </c>
      <c r="C225" s="333" t="str">
        <f>'Unit Data from Audit Worksheet'!D274</f>
        <v>Total OPEB benefits - What is the plan’s fiduciary net position as a percentage of the total OPEB liability?  Please enter as percentage value; for example, 83.5% should be entered as 83.5.  If assets have not been set aside in a trust, please enter 0.0</v>
      </c>
      <c r="D225" s="95"/>
      <c r="E225" s="332">
        <f>'Unit Data from Audit Worksheet'!F274</f>
        <v>0</v>
      </c>
      <c r="F225" s="347" t="str">
        <f>IF(H225=L225,"","Column L does not equal Column H")</f>
        <v/>
      </c>
      <c r="G225" s="605" t="s">
        <v>1033</v>
      </c>
      <c r="H225" s="175">
        <f>ROUND(IFERROR((L224/L223)*100,0),1)</f>
        <v>0</v>
      </c>
      <c r="I225" s="38"/>
      <c r="J225" s="336">
        <v>661</v>
      </c>
      <c r="K225" s="351" t="s">
        <v>533</v>
      </c>
      <c r="L225" s="606">
        <f>IF(D225="",E225,D225)</f>
        <v>0</v>
      </c>
      <c r="P225" s="600"/>
      <c r="Q225" s="601">
        <f>IF(H225=L225,0,1)</f>
        <v>0</v>
      </c>
      <c r="W225" s="3" t="b">
        <f t="shared" si="23"/>
        <v>1</v>
      </c>
      <c r="X225" s="566">
        <f t="shared" si="21"/>
        <v>0</v>
      </c>
      <c r="Y225" s="566">
        <f t="shared" si="22"/>
        <v>0</v>
      </c>
    </row>
    <row r="226" spans="1:27" ht="65.25" customHeight="1" x14ac:dyDescent="0.3">
      <c r="A226" s="334">
        <f>'Unit Data from Audit Worksheet'!A277</f>
        <v>371</v>
      </c>
      <c r="B226" s="348" t="str">
        <f>'Unit Data from Audit Worksheet'!C277</f>
        <v>Transfer Note</v>
      </c>
      <c r="C226" s="333" t="str">
        <f>'Unit Data from Audit Worksheet'!D277</f>
        <v>Amount of Transfers from the General Fund to the Debt Service Fund (Enter as positive)</v>
      </c>
      <c r="D226" s="353"/>
      <c r="E226" s="354">
        <f>'Unit Data from Audit Worksheet'!F277</f>
        <v>0</v>
      </c>
      <c r="F226" s="347">
        <f>IF(L226&lt;0,"Error: Enter as a positive.",)</f>
        <v>0</v>
      </c>
      <c r="G226" s="349"/>
      <c r="H226" s="346">
        <f>'Unit Data from Audit Worksheet'!I277</f>
        <v>0</v>
      </c>
      <c r="I226" s="38"/>
      <c r="J226" s="39">
        <v>371</v>
      </c>
      <c r="K226" s="344" t="s">
        <v>257</v>
      </c>
      <c r="L226" s="569">
        <f t="shared" si="20"/>
        <v>0</v>
      </c>
      <c r="P226" s="322"/>
      <c r="Q226" s="3"/>
      <c r="W226" s="3" t="b">
        <f t="shared" si="23"/>
        <v>1</v>
      </c>
      <c r="X226" s="566">
        <f t="shared" si="21"/>
        <v>0</v>
      </c>
      <c r="Y226" s="566">
        <f t="shared" si="22"/>
        <v>0</v>
      </c>
    </row>
    <row r="227" spans="1:27" ht="63" customHeight="1" x14ac:dyDescent="0.3">
      <c r="A227" s="334">
        <f>'Unit Data from Audit Worksheet'!A278</f>
        <v>513</v>
      </c>
      <c r="B227" s="348" t="str">
        <f>'Unit Data from Audit Worksheet'!C278</f>
        <v>Transfer Note</v>
      </c>
      <c r="C227" s="333" t="str">
        <f>'Unit Data from Audit Worksheet'!D278</f>
        <v>Amount of Transfers from the General Fund to the Electric Fund  (Enter as positive)</v>
      </c>
      <c r="D227" s="353"/>
      <c r="E227" s="354">
        <f>'Unit Data from Audit Worksheet'!F278</f>
        <v>0</v>
      </c>
      <c r="F227" s="347">
        <f>IF(L227&lt;0,"Error: Enter as a positive.",)</f>
        <v>0</v>
      </c>
      <c r="G227" s="349"/>
      <c r="H227" s="346">
        <f>'Unit Data from Audit Worksheet'!I278</f>
        <v>0</v>
      </c>
      <c r="I227" s="38"/>
      <c r="J227" s="345">
        <v>513</v>
      </c>
      <c r="K227" s="344" t="s">
        <v>258</v>
      </c>
      <c r="L227" s="569">
        <f t="shared" si="20"/>
        <v>0</v>
      </c>
      <c r="P227" s="316"/>
      <c r="W227" s="3" t="b">
        <f t="shared" si="23"/>
        <v>1</v>
      </c>
      <c r="X227" s="566">
        <f t="shared" si="21"/>
        <v>0</v>
      </c>
      <c r="Y227" s="566">
        <f t="shared" si="22"/>
        <v>0</v>
      </c>
    </row>
    <row r="228" spans="1:27" ht="89.25" customHeight="1" x14ac:dyDescent="0.3">
      <c r="A228" s="334">
        <f>'Unit Data from Audit Worksheet'!A279</f>
        <v>514</v>
      </c>
      <c r="B228" s="348" t="str">
        <f>'Unit Data from Audit Worksheet'!C279</f>
        <v>Transfer Note</v>
      </c>
      <c r="C228" s="333" t="str">
        <f>'Unit Data from Audit Worksheet'!D279</f>
        <v>Amount of Transfers from the Electric Fund to the General Fund  (Enter as positive)
Include:  Payment in Lieu of Taxes (PILOT)</v>
      </c>
      <c r="D228" s="353"/>
      <c r="E228" s="354">
        <f>'Unit Data from Audit Worksheet'!F279</f>
        <v>0</v>
      </c>
      <c r="F228" s="347">
        <f>IF(L228&lt;0,"Error: Enter as a positive.",)</f>
        <v>0</v>
      </c>
      <c r="G228" s="349"/>
      <c r="H228" s="346">
        <f>'Unit Data from Audit Worksheet'!I279</f>
        <v>0</v>
      </c>
      <c r="I228" s="38"/>
      <c r="J228" s="345">
        <v>514</v>
      </c>
      <c r="K228" s="344" t="s">
        <v>259</v>
      </c>
      <c r="L228" s="569">
        <f t="shared" si="20"/>
        <v>0</v>
      </c>
      <c r="P228" s="316"/>
      <c r="W228" s="3" t="b">
        <f t="shared" si="23"/>
        <v>1</v>
      </c>
      <c r="X228" s="566">
        <f t="shared" si="21"/>
        <v>0</v>
      </c>
      <c r="Y228" s="566">
        <f t="shared" si="22"/>
        <v>0</v>
      </c>
    </row>
    <row r="229" spans="1:27" ht="89.25" customHeight="1" x14ac:dyDescent="0.3">
      <c r="A229" s="585">
        <f>'Unit Data from Audit Worksheet'!A280</f>
        <v>990</v>
      </c>
      <c r="B229" s="352" t="str">
        <f>'Unit Data from Audit Worksheet'!C280</f>
        <v>Transfer Note</v>
      </c>
      <c r="C229" s="586" t="str">
        <f>'Unit Data from Audit Worksheet'!D280</f>
        <v>Amount of transfer out to the General Fund that is for Payment in Lieu of Taxes (PILOT)</v>
      </c>
      <c r="D229" s="353"/>
      <c r="E229" s="354">
        <f>'Unit Data from Audit Worksheet'!F280</f>
        <v>0</v>
      </c>
      <c r="F229" s="347"/>
      <c r="G229" s="349"/>
      <c r="H229" s="346">
        <f>'Unit Data from Audit Worksheet'!I280</f>
        <v>0</v>
      </c>
      <c r="I229" s="38"/>
      <c r="J229" s="363">
        <v>990</v>
      </c>
      <c r="K229" s="126" t="s">
        <v>756</v>
      </c>
      <c r="L229" s="569">
        <f t="shared" si="20"/>
        <v>0</v>
      </c>
      <c r="P229" s="316"/>
      <c r="X229" s="566"/>
      <c r="Y229" s="566"/>
    </row>
    <row r="230" spans="1:27" ht="84.75" customHeight="1" x14ac:dyDescent="0.3">
      <c r="A230" s="607">
        <f>'Unit Data from Audit Worksheet'!A282</f>
        <v>6</v>
      </c>
      <c r="B230" s="53" t="str">
        <f>'Unit Data from Audit Worksheet'!C282</f>
        <v>Fund Balance Note</v>
      </c>
      <c r="C230" s="579" t="str">
        <f>'Unit Data from Audit Worksheet'!D282</f>
        <v>General Fund -  Total Encumbrances.  You will probably have to refer to the note disclosure where the amount of encumbrances is listed.</v>
      </c>
      <c r="D230" s="353"/>
      <c r="E230" s="154">
        <f>'Unit Data from Audit Worksheet'!F282</f>
        <v>0</v>
      </c>
      <c r="F230" s="37">
        <f>IF(L230&lt;0,"Error: Enter as a positive.",)</f>
        <v>0</v>
      </c>
      <c r="G230" s="73"/>
      <c r="H230" s="346">
        <f>'Unit Data from Audit Worksheet'!I282</f>
        <v>0</v>
      </c>
      <c r="I230" s="38"/>
      <c r="J230" s="41">
        <v>6</v>
      </c>
      <c r="K230" s="133" t="s">
        <v>260</v>
      </c>
      <c r="L230" s="569">
        <f t="shared" si="20"/>
        <v>0</v>
      </c>
      <c r="P230" s="316"/>
      <c r="W230" s="3" t="b">
        <f t="shared" ref="W230:W258" si="24">EXACT(A230,J230)</f>
        <v>1</v>
      </c>
      <c r="X230" s="566">
        <f t="shared" si="21"/>
        <v>0</v>
      </c>
      <c r="Y230" s="566">
        <f t="shared" si="22"/>
        <v>0</v>
      </c>
    </row>
    <row r="231" spans="1:27" ht="117.75" customHeight="1" x14ac:dyDescent="0.3">
      <c r="A231" s="334">
        <f>'Unit Data from Audit Worksheet'!A284</f>
        <v>541</v>
      </c>
      <c r="B231" s="348" t="str">
        <f>'Unit Data from Audit Worksheet'!C284</f>
        <v>Water Sewer - Budget Actual Statement</v>
      </c>
      <c r="C231" s="348" t="str">
        <f>'Unit Data from Audit Worksheet'!D284</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231" s="353"/>
      <c r="E231" s="354">
        <f>'Unit Data from Audit Worksheet'!F284</f>
        <v>0</v>
      </c>
      <c r="F231" s="347"/>
      <c r="G231" s="349"/>
      <c r="H231" s="346">
        <f>'Unit Data from Audit Worksheet'!I284</f>
        <v>0</v>
      </c>
      <c r="I231" s="38"/>
      <c r="J231" s="345">
        <v>541</v>
      </c>
      <c r="K231" s="88" t="s">
        <v>341</v>
      </c>
      <c r="L231" s="569">
        <f t="shared" si="20"/>
        <v>0</v>
      </c>
      <c r="P231" s="316"/>
      <c r="W231" s="3" t="b">
        <f t="shared" si="24"/>
        <v>1</v>
      </c>
      <c r="X231" s="566">
        <f t="shared" si="21"/>
        <v>0</v>
      </c>
      <c r="Y231" s="566">
        <f t="shared" si="22"/>
        <v>0</v>
      </c>
    </row>
    <row r="232" spans="1:27" ht="94.5" customHeight="1" x14ac:dyDescent="0.3">
      <c r="A232" s="334">
        <f>'Unit Data from Audit Worksheet'!A286</f>
        <v>542</v>
      </c>
      <c r="B232" s="348" t="str">
        <f>'Unit Data from Audit Worksheet'!C286</f>
        <v>Water Sewer - Disclosed in the Notes or in the recently approved Budget for next year.</v>
      </c>
      <c r="C232" s="333" t="str">
        <f>'Unit Data from Audit Worksheet'!D286</f>
        <v>Amount of the Water Sewer Fund Balance appropriated in next year's budget?</v>
      </c>
      <c r="D232" s="353"/>
      <c r="E232" s="354">
        <f>'Unit Data from Audit Worksheet'!F286</f>
        <v>0</v>
      </c>
      <c r="F232" s="347"/>
      <c r="G232" s="349"/>
      <c r="H232" s="346">
        <f>'Unit Data from Audit Worksheet'!I286</f>
        <v>0</v>
      </c>
      <c r="I232" s="38"/>
      <c r="J232" s="345">
        <v>542</v>
      </c>
      <c r="K232" s="344" t="s">
        <v>261</v>
      </c>
      <c r="L232" s="569">
        <f t="shared" si="20"/>
        <v>0</v>
      </c>
      <c r="N232" s="61" t="s">
        <v>332</v>
      </c>
      <c r="P232" s="316"/>
      <c r="W232" s="3" t="b">
        <f t="shared" si="24"/>
        <v>1</v>
      </c>
      <c r="X232" s="566">
        <f t="shared" si="21"/>
        <v>0</v>
      </c>
      <c r="Y232" s="566">
        <f t="shared" si="22"/>
        <v>0</v>
      </c>
    </row>
    <row r="233" spans="1:27" ht="93.75" customHeight="1" x14ac:dyDescent="0.3">
      <c r="A233" s="334">
        <f>'Unit Data from Audit Worksheet'!A289</f>
        <v>528</v>
      </c>
      <c r="B233" s="348" t="str">
        <f>'Unit Data from Audit Worksheet'!C289</f>
        <v>Analysis of Current Tax Levy Schedule</v>
      </c>
      <c r="C233" s="333" t="str">
        <f>'Unit Data from Audit Worksheet'!D289</f>
        <v>Please enter the Net Current year's levy for property excluding registered motor vehicles-- (after adjusting for discoveries and abatements)
Exclude Supplemental Taxes</v>
      </c>
      <c r="D233" s="353"/>
      <c r="E233" s="354">
        <f>'Unit Data from Audit Worksheet'!F289</f>
        <v>0</v>
      </c>
      <c r="F233" s="82" t="str">
        <f>IF(L233=0,"Must be completed if unit levys taxes","")</f>
        <v>Must be completed if unit levys taxes</v>
      </c>
      <c r="G233" s="349"/>
      <c r="H233" s="346"/>
      <c r="I233" s="38"/>
      <c r="J233" s="345">
        <v>528</v>
      </c>
      <c r="K233" s="608" t="s">
        <v>266</v>
      </c>
      <c r="L233" s="569">
        <f t="shared" si="20"/>
        <v>0</v>
      </c>
      <c r="N233" s="83"/>
      <c r="P233" s="316"/>
      <c r="W233" s="3" t="b">
        <f t="shared" si="24"/>
        <v>1</v>
      </c>
      <c r="X233" s="566">
        <f t="shared" si="21"/>
        <v>0</v>
      </c>
      <c r="Y233" s="566">
        <f t="shared" si="22"/>
        <v>0</v>
      </c>
    </row>
    <row r="234" spans="1:27" s="18" customFormat="1" ht="79.5" customHeight="1" x14ac:dyDescent="0.3">
      <c r="A234" s="334">
        <f>'Unit Data from Audit Worksheet'!A290</f>
        <v>529</v>
      </c>
      <c r="B234" s="348" t="str">
        <f>'Unit Data from Audit Worksheet'!C290</f>
        <v>Analysis of Current Tax Levy Schedule</v>
      </c>
      <c r="C234" s="333" t="str">
        <f>'Unit Data from Audit Worksheet'!D290</f>
        <v>Please enter the Net Current year's levy -- Motor vehicles (only) (after adjusting for discoveries and abatements)
Exclude supplemental taxes</v>
      </c>
      <c r="D234" s="353"/>
      <c r="E234" s="354">
        <f>'Unit Data from Audit Worksheet'!F290</f>
        <v>0</v>
      </c>
      <c r="F234" s="82" t="str">
        <f>IF(L234=0,"Must be completed if unit levys taxes","")</f>
        <v>Must be completed if unit levys taxes</v>
      </c>
      <c r="G234" s="349"/>
      <c r="H234" s="346"/>
      <c r="I234" s="38"/>
      <c r="J234" s="345">
        <v>529</v>
      </c>
      <c r="K234" s="608" t="s">
        <v>267</v>
      </c>
      <c r="L234" s="569">
        <f t="shared" si="20"/>
        <v>0</v>
      </c>
      <c r="N234" s="83"/>
      <c r="P234" s="316"/>
      <c r="Q234" s="559"/>
      <c r="R234" s="3"/>
      <c r="W234" s="3" t="b">
        <f t="shared" si="24"/>
        <v>1</v>
      </c>
      <c r="X234" s="566">
        <f t="shared" si="21"/>
        <v>0</v>
      </c>
      <c r="Y234" s="566">
        <f t="shared" si="22"/>
        <v>0</v>
      </c>
      <c r="AA234" s="3"/>
    </row>
    <row r="235" spans="1:27" s="18" customFormat="1" ht="75" customHeight="1" x14ac:dyDescent="0.3">
      <c r="A235" s="334">
        <f>'Unit Data from Audit Worksheet'!A291</f>
        <v>530</v>
      </c>
      <c r="B235" s="348" t="str">
        <f>'Unit Data from Audit Worksheet'!C291</f>
        <v>Analysis of Current Tax Levy Schedule</v>
      </c>
      <c r="C235" s="333" t="str">
        <f>'Unit Data from Audit Worksheet'!D291</f>
        <v>Uncollected Taxes - Curr Year's Levy Exclude Motor Vehicles
Exclude supplemental taxes</v>
      </c>
      <c r="D235" s="353"/>
      <c r="E235" s="354">
        <f>'Unit Data from Audit Worksheet'!F291</f>
        <v>0</v>
      </c>
      <c r="F235" s="82" t="str">
        <f>IF(L235=0,"Must be completed if unit levys taxes","")</f>
        <v>Must be completed if unit levys taxes</v>
      </c>
      <c r="G235" s="349"/>
      <c r="H235" s="346"/>
      <c r="I235" s="38"/>
      <c r="J235" s="345">
        <v>530</v>
      </c>
      <c r="K235" s="608" t="s">
        <v>268</v>
      </c>
      <c r="L235" s="569">
        <f t="shared" ref="L235:L241" si="25">IF(D235="",E235,D235)</f>
        <v>0</v>
      </c>
      <c r="N235" s="83"/>
      <c r="P235" s="316"/>
      <c r="Q235" s="559"/>
      <c r="R235" s="3"/>
      <c r="W235" s="3" t="b">
        <f t="shared" si="24"/>
        <v>1</v>
      </c>
      <c r="X235" s="566">
        <f t="shared" si="21"/>
        <v>0</v>
      </c>
      <c r="Y235" s="566">
        <f t="shared" si="22"/>
        <v>0</v>
      </c>
      <c r="AA235" s="3"/>
    </row>
    <row r="236" spans="1:27" s="18" customFormat="1" ht="68.25" customHeight="1" x14ac:dyDescent="0.3">
      <c r="A236" s="334">
        <f>'Unit Data from Audit Worksheet'!A292</f>
        <v>531</v>
      </c>
      <c r="B236" s="348" t="str">
        <f>'Unit Data from Audit Worksheet'!C292</f>
        <v>Analysis of Current Tax Levy Schedule</v>
      </c>
      <c r="C236" s="333" t="str">
        <f>'Unit Data from Audit Worksheet'!D292</f>
        <v>Uncollected Taxes - Curr Year's Levy Motor Vehicles
Exclude supplemental taxes</v>
      </c>
      <c r="D236" s="353"/>
      <c r="E236" s="354">
        <f>'Unit Data from Audit Worksheet'!F292</f>
        <v>0</v>
      </c>
      <c r="F236" s="82" t="str">
        <f>IF(L236=0,"Must be completed if unit levys taxes","")</f>
        <v>Must be completed if unit levys taxes</v>
      </c>
      <c r="G236" s="349"/>
      <c r="H236" s="346"/>
      <c r="I236" s="38"/>
      <c r="J236" s="345">
        <v>531</v>
      </c>
      <c r="K236" s="608" t="s">
        <v>269</v>
      </c>
      <c r="L236" s="569">
        <f t="shared" si="25"/>
        <v>0</v>
      </c>
      <c r="N236" s="83" t="str">
        <f>IF(T240=0,"Must be completed if unit levys taxes, zero acceptable if Motor Vehicle collection rate is 100%","")</f>
        <v>Must be completed if unit levys taxes, zero acceptable if Motor Vehicle collection rate is 100%</v>
      </c>
      <c r="P236" s="316"/>
      <c r="Q236" s="559"/>
      <c r="R236" s="3"/>
      <c r="W236" s="3" t="b">
        <f t="shared" si="24"/>
        <v>1</v>
      </c>
      <c r="X236" s="566">
        <f t="shared" si="21"/>
        <v>0</v>
      </c>
      <c r="Y236" s="566">
        <f t="shared" si="22"/>
        <v>0</v>
      </c>
      <c r="AA236" s="3"/>
    </row>
    <row r="237" spans="1:27" ht="90.75" customHeight="1" x14ac:dyDescent="0.3">
      <c r="A237" s="334">
        <f>'Unit Data from Audit Worksheet'!A293</f>
        <v>61</v>
      </c>
      <c r="B237" s="348" t="str">
        <f>'Unit Data from Audit Worksheet'!C293</f>
        <v>Analysis of Current Tax Levy Schedule</v>
      </c>
      <c r="C237" s="333" t="str">
        <f>'Unit Data from Audit Worksheet'!D293</f>
        <v>Tax collection rate- Total Levy UNIT-WIDE
Exclude supplemental taxes
(Enter as a percentage with two decimal places)</v>
      </c>
      <c r="D237" s="89"/>
      <c r="E237" s="151">
        <f>'Unit Data from Audit Worksheet'!F293</f>
        <v>0</v>
      </c>
      <c r="F237" s="87" t="str">
        <f>IF(L237=H237,"","Column H calculates the percentage using accounts 528, 529, 530, 531, please enter the correct amounts from the audit schedule for these cells")</f>
        <v/>
      </c>
      <c r="G237" s="349" t="str">
        <f>IF(Q237=1," Included in error count"," ")</f>
        <v xml:space="preserve"> </v>
      </c>
      <c r="H237" s="349">
        <f>ROUND(IFERROR(((L233+L234)-(L235+L236))/(L233+L234)*100,0),2)</f>
        <v>0</v>
      </c>
      <c r="I237" s="38"/>
      <c r="J237" s="345">
        <v>61</v>
      </c>
      <c r="K237" s="58" t="s">
        <v>263</v>
      </c>
      <c r="L237" s="609">
        <f t="shared" si="25"/>
        <v>0</v>
      </c>
      <c r="N237" s="83"/>
      <c r="P237" s="316"/>
      <c r="Q237" s="559">
        <f>IF(L237-H237&lt;&gt;0,1,0)</f>
        <v>0</v>
      </c>
      <c r="W237" s="3" t="b">
        <f t="shared" si="24"/>
        <v>1</v>
      </c>
      <c r="X237" s="566">
        <f t="shared" si="21"/>
        <v>0</v>
      </c>
      <c r="Y237" s="566">
        <f t="shared" si="22"/>
        <v>0</v>
      </c>
    </row>
    <row r="238" spans="1:27" ht="89.25" customHeight="1" x14ac:dyDescent="0.3">
      <c r="A238" s="334">
        <f>'Unit Data from Audit Worksheet'!A294</f>
        <v>102</v>
      </c>
      <c r="B238" s="348" t="str">
        <f>'Unit Data from Audit Worksheet'!C294</f>
        <v>Analysis of Current Tax Levy Schedule</v>
      </c>
      <c r="C238" s="333" t="str">
        <f>'Unit Data from Audit Worksheet'!D294</f>
        <v>Tax collection rate - Excluding Registered motor vehicles
Exclude supplemental taxes
(Enter as a percentage with two decimal places)</v>
      </c>
      <c r="D238" s="89"/>
      <c r="E238" s="151">
        <f>'Unit Data from Audit Worksheet'!F294</f>
        <v>0</v>
      </c>
      <c r="F238" s="87" t="str">
        <f>IF(L238=H238,"","Column H calculates the percentage using accounts 528 and 530,  please enter the correct amounts from the audit schedule for these cells")</f>
        <v/>
      </c>
      <c r="G238" s="349" t="str">
        <f>IF(Q238=1," Included in error count"," ")</f>
        <v xml:space="preserve"> </v>
      </c>
      <c r="H238" s="349">
        <f>ROUND(IFERROR(((L233)-(L235))/(L233)*100,0),2)</f>
        <v>0</v>
      </c>
      <c r="I238" s="38"/>
      <c r="J238" s="345">
        <v>102</v>
      </c>
      <c r="K238" s="58" t="s">
        <v>264</v>
      </c>
      <c r="L238" s="609">
        <f t="shared" si="25"/>
        <v>0</v>
      </c>
      <c r="N238" s="83"/>
      <c r="P238" s="316"/>
      <c r="Q238" s="559">
        <f>IF(L238-H238&lt;&gt;0,1,0)</f>
        <v>0</v>
      </c>
      <c r="W238" s="3" t="b">
        <f t="shared" si="24"/>
        <v>1</v>
      </c>
      <c r="X238" s="566">
        <f t="shared" si="21"/>
        <v>0</v>
      </c>
      <c r="Y238" s="566">
        <f t="shared" si="22"/>
        <v>0</v>
      </c>
    </row>
    <row r="239" spans="1:27" ht="87.75" customHeight="1" x14ac:dyDescent="0.3">
      <c r="A239" s="334">
        <f>'Unit Data from Audit Worksheet'!A295</f>
        <v>103</v>
      </c>
      <c r="B239" s="348" t="str">
        <f>'Unit Data from Audit Worksheet'!C295</f>
        <v>Analysis of Current Tax Levy Schedule</v>
      </c>
      <c r="C239" s="333" t="str">
        <f>'Unit Data from Audit Worksheet'!D295</f>
        <v>Tax collection rate - Registered motor vehicles
Exclude supplemental taxes
(Enter as a percentage with two decimal places)</v>
      </c>
      <c r="D239" s="89"/>
      <c r="E239" s="151">
        <f>'Unit Data from Audit Worksheet'!F295</f>
        <v>0</v>
      </c>
      <c r="F239" s="87" t="str">
        <f>IF(L239=H239,"","Column H calculates the percentage using accounts 529 and 531, please enter the correct amounts from the audit schedule for these cells")</f>
        <v/>
      </c>
      <c r="G239" s="349" t="str">
        <f>IF(Q239=1," Included in error count"," ")</f>
        <v xml:space="preserve"> </v>
      </c>
      <c r="H239" s="349">
        <f>ROUND(IFERROR(((L234)-(L236))/(L234)*100,0),2)</f>
        <v>0</v>
      </c>
      <c r="I239" s="38"/>
      <c r="J239" s="345">
        <v>103</v>
      </c>
      <c r="K239" s="58" t="s">
        <v>265</v>
      </c>
      <c r="L239" s="609">
        <f t="shared" si="25"/>
        <v>0</v>
      </c>
      <c r="N239" s="83"/>
      <c r="P239" s="316"/>
      <c r="Q239" s="559">
        <f>IF(L239-H239&lt;&gt;0,1,0)</f>
        <v>0</v>
      </c>
      <c r="W239" s="3" t="b">
        <f t="shared" si="24"/>
        <v>1</v>
      </c>
      <c r="X239" s="566">
        <f t="shared" si="21"/>
        <v>0</v>
      </c>
      <c r="Y239" s="566">
        <f t="shared" si="22"/>
        <v>0</v>
      </c>
    </row>
    <row r="240" spans="1:27" ht="86.25" customHeight="1" x14ac:dyDescent="0.3">
      <c r="A240" s="334">
        <f>'Unit Data from Audit Worksheet'!A296</f>
        <v>544</v>
      </c>
      <c r="B240" s="348" t="str">
        <f>'Unit Data from Audit Worksheet'!C296</f>
        <v>Analysis of Current Tax Levy Schedule</v>
      </c>
      <c r="C240" s="333" t="str">
        <f>'Unit Data from Audit Worksheet'!D296</f>
        <v>Property Tax Increase for Year Audited- enter amount of  increase in cents per $100 - leave blank if no increase 
Exclude supplemental taxes</v>
      </c>
      <c r="D240" s="353"/>
      <c r="E240" s="148">
        <f>'Unit Data from Audit Worksheet'!F296</f>
        <v>0</v>
      </c>
      <c r="F240" s="104"/>
      <c r="G240" s="349"/>
      <c r="H240" s="346">
        <f>'Unit Data from Audit Worksheet'!I296</f>
        <v>0</v>
      </c>
      <c r="I240" s="38"/>
      <c r="J240" s="345">
        <v>544</v>
      </c>
      <c r="K240" s="58" t="s">
        <v>53</v>
      </c>
      <c r="L240" s="610">
        <f t="shared" si="25"/>
        <v>0</v>
      </c>
      <c r="N240" s="61" t="s">
        <v>332</v>
      </c>
      <c r="P240" s="316"/>
      <c r="W240" s="3" t="b">
        <f t="shared" si="24"/>
        <v>1</v>
      </c>
      <c r="X240" s="566">
        <f t="shared" si="21"/>
        <v>0</v>
      </c>
      <c r="Y240" s="566">
        <f t="shared" si="22"/>
        <v>0</v>
      </c>
    </row>
    <row r="241" spans="1:25" ht="93.75" customHeight="1" x14ac:dyDescent="0.3">
      <c r="A241" s="334">
        <f>'Unit Data from Audit Worksheet'!A297</f>
        <v>545</v>
      </c>
      <c r="B241" s="348" t="str">
        <f>'Unit Data from Audit Worksheet'!C297</f>
        <v>Analysis of Current Tax Levy Schedule</v>
      </c>
      <c r="C241" s="333" t="str">
        <f>'Unit Data from Audit Worksheet'!D297</f>
        <v>Property Tax Increase for budget year after fiscal year being reported - enter amount of increase in cents per $100- leave blank if no increase
Exclude supplemental taxes</v>
      </c>
      <c r="D241" s="353"/>
      <c r="E241" s="148">
        <f>'Unit Data from Audit Worksheet'!F297</f>
        <v>0</v>
      </c>
      <c r="F241" s="347"/>
      <c r="G241" s="349"/>
      <c r="H241" s="346">
        <f>'Unit Data from Audit Worksheet'!I297</f>
        <v>0</v>
      </c>
      <c r="I241" s="38"/>
      <c r="J241" s="105">
        <v>545</v>
      </c>
      <c r="K241" s="58" t="s">
        <v>54</v>
      </c>
      <c r="L241" s="610">
        <f t="shared" si="25"/>
        <v>0</v>
      </c>
      <c r="N241" s="61" t="s">
        <v>332</v>
      </c>
      <c r="O241" s="578"/>
      <c r="P241" s="317"/>
      <c r="W241" s="3" t="b">
        <f t="shared" si="24"/>
        <v>1</v>
      </c>
      <c r="X241" s="566">
        <f t="shared" si="21"/>
        <v>0</v>
      </c>
      <c r="Y241" s="566">
        <f t="shared" si="22"/>
        <v>0</v>
      </c>
    </row>
    <row r="242" spans="1:25" ht="72.75" customHeight="1" x14ac:dyDescent="0.3">
      <c r="A242" s="334">
        <f>'Unit Data from Audit Worksheet'!A298</f>
        <v>624</v>
      </c>
      <c r="B242" s="348"/>
      <c r="C242" s="333" t="str">
        <f>'Unit Data from Audit Worksheet'!D298</f>
        <v>Does the County collect real estate property taxes on your behalf? Select "1" for "yes and "2" for "No"</v>
      </c>
      <c r="D242" s="353"/>
      <c r="E242" s="156">
        <f>'Unit Data from Audit Worksheet'!F298</f>
        <v>0</v>
      </c>
      <c r="F242" s="347"/>
      <c r="G242" s="349"/>
      <c r="H242" s="346"/>
      <c r="I242" s="38"/>
      <c r="J242" s="105">
        <v>624</v>
      </c>
      <c r="K242" s="58" t="s">
        <v>438</v>
      </c>
      <c r="L242" s="569">
        <f t="shared" ref="L242:L258" si="26">IF(D242="",E242,D242)</f>
        <v>0</v>
      </c>
      <c r="P242" s="317"/>
      <c r="W242" s="3" t="b">
        <f t="shared" si="24"/>
        <v>1</v>
      </c>
      <c r="X242" s="566">
        <f t="shared" si="21"/>
        <v>0</v>
      </c>
      <c r="Y242" s="566">
        <f t="shared" si="22"/>
        <v>0</v>
      </c>
    </row>
    <row r="243" spans="1:25" ht="72.75" customHeight="1" x14ac:dyDescent="0.3">
      <c r="A243" s="334">
        <f>'Unit Data from Audit Worksheet'!A299</f>
        <v>648</v>
      </c>
      <c r="B243" s="348"/>
      <c r="C243" s="333" t="str">
        <f>'Unit Data from Audit Worksheet'!D299</f>
        <v>Please enter your tax rate for ad valorem in effect for fiscal year audited.  Example 60 cents per 100 would be entered as .60</v>
      </c>
      <c r="D243" s="353"/>
      <c r="E243" s="156">
        <f>'Unit Data from Audit Worksheet'!F299</f>
        <v>0</v>
      </c>
      <c r="F243" s="347"/>
      <c r="G243" s="349"/>
      <c r="H243" s="346"/>
      <c r="I243" s="38"/>
      <c r="J243" s="105">
        <v>648</v>
      </c>
      <c r="K243" s="611" t="s">
        <v>837</v>
      </c>
      <c r="L243" s="612">
        <f t="shared" si="26"/>
        <v>0</v>
      </c>
      <c r="P243" s="317"/>
      <c r="W243" s="3" t="b">
        <f t="shared" si="24"/>
        <v>1</v>
      </c>
      <c r="X243" s="566"/>
      <c r="Y243" s="566"/>
    </row>
    <row r="244" spans="1:25" ht="161.25" customHeight="1" x14ac:dyDescent="0.3">
      <c r="A244" s="585">
        <f>'Unit Data from Audit Worksheet'!A300</f>
        <v>991</v>
      </c>
      <c r="B244" s="352"/>
      <c r="C244" s="586" t="str">
        <f>'Unit Data from Audit Worksheet'!D300</f>
        <v>The Counties listed in cell H256 are scheduled to revalue property listing by 1/1/2022 according to the Dept. of Revenue records.  Please indicate if you expect your revaluation to: 
Enter  "20" for increase, 
            "21" for decrease, 
            "22" for no change,
            "23" if this question is not applicable</v>
      </c>
      <c r="D244" s="353"/>
      <c r="E244" s="156">
        <f>'Unit Data from Audit Worksheet'!F300</f>
        <v>0</v>
      </c>
      <c r="F244" s="347"/>
      <c r="G244" s="349"/>
      <c r="H244" s="346" t="str">
        <f>'Unit Data from Audit Worksheet'!H300</f>
        <v>Avery, Bladen, Chowan, Craven, Duplin, Guilford, Harnett, Hoke, Jones, Mitchell, Onslow, Pasquotank, Watauga</v>
      </c>
      <c r="I244" s="38"/>
      <c r="J244" s="331">
        <v>991</v>
      </c>
      <c r="K244" s="596" t="s">
        <v>1428</v>
      </c>
      <c r="L244" s="569">
        <f t="shared" si="26"/>
        <v>0</v>
      </c>
      <c r="P244" s="317"/>
      <c r="W244" s="3" t="b">
        <f t="shared" si="24"/>
        <v>1</v>
      </c>
      <c r="X244" s="566"/>
      <c r="Y244" s="566"/>
    </row>
    <row r="245" spans="1:25" ht="87.75" customHeight="1" x14ac:dyDescent="0.3">
      <c r="A245" s="334">
        <f>'Unit Data from Audit Worksheet'!A302</f>
        <v>620</v>
      </c>
      <c r="B245" s="348"/>
      <c r="C245" s="333" t="str">
        <f>'Unit Data from Audit Worksheet'!D302</f>
        <v>Do you expect to issue debt requiring LGC approval within 12 months from the date that the audit is submitted - select "1" for yes and "2" for no</v>
      </c>
      <c r="D245" s="353"/>
      <c r="E245" s="156">
        <f>'Unit Data from Audit Worksheet'!F302</f>
        <v>0</v>
      </c>
      <c r="F245" s="347"/>
      <c r="G245" s="349"/>
      <c r="H245" s="346">
        <f>'Unit Data from Audit Worksheet'!I302</f>
        <v>0</v>
      </c>
      <c r="I245" s="38"/>
      <c r="J245" s="105">
        <v>620</v>
      </c>
      <c r="K245" s="58" t="s">
        <v>826</v>
      </c>
      <c r="L245" s="569">
        <f t="shared" si="26"/>
        <v>0</v>
      </c>
      <c r="N245" s="138"/>
      <c r="P245" s="317"/>
      <c r="W245" s="3" t="b">
        <f t="shared" si="24"/>
        <v>1</v>
      </c>
      <c r="X245" s="566">
        <f t="shared" si="21"/>
        <v>0</v>
      </c>
      <c r="Y245" s="566">
        <f t="shared" si="22"/>
        <v>0</v>
      </c>
    </row>
    <row r="246" spans="1:25" ht="87.75" customHeight="1" x14ac:dyDescent="0.3">
      <c r="A246" s="585">
        <f>+'TD Info Completed by Auditor'!D41</f>
        <v>906</v>
      </c>
      <c r="B246" s="330" t="s">
        <v>823</v>
      </c>
      <c r="C246" s="585" t="str">
        <f>+'TD Info Completed by Auditor'!E41</f>
        <v>Is the Independent Auditor's Report Opinion Unmodified?</v>
      </c>
      <c r="D246" s="353"/>
      <c r="E246" s="336">
        <f>IF(+'TD Info Completed by Auditor'!G41="Yes",1,IF(+'TD Info Completed by Auditor'!G41="No",2,IF(+'TD Info Completed by Auditor'!G41="N/A",3,0)))</f>
        <v>0</v>
      </c>
      <c r="F246" s="347"/>
      <c r="G246" s="349"/>
      <c r="H246" s="346"/>
      <c r="I246" s="38"/>
      <c r="J246" s="127">
        <v>906</v>
      </c>
      <c r="K246" s="596" t="s">
        <v>624</v>
      </c>
      <c r="L246" s="569">
        <f t="shared" si="26"/>
        <v>0</v>
      </c>
      <c r="N246" s="138" t="s">
        <v>1034</v>
      </c>
      <c r="P246" s="319"/>
      <c r="W246" s="3" t="b">
        <f t="shared" si="24"/>
        <v>1</v>
      </c>
      <c r="X246" s="566"/>
      <c r="Y246" s="566"/>
    </row>
    <row r="247" spans="1:25" ht="87.75" customHeight="1" x14ac:dyDescent="0.3">
      <c r="A247" s="585">
        <f>+'TD Info Completed by Auditor'!D43</f>
        <v>907</v>
      </c>
      <c r="B247" s="330" t="s">
        <v>823</v>
      </c>
      <c r="C247" s="585" t="str">
        <f>+'TD Info Completed by Auditor'!E43</f>
        <v xml:space="preserve">Is there a finding for lack of segregation of duties at this unit? </v>
      </c>
      <c r="D247" s="353"/>
      <c r="E247" s="336">
        <f>IF(+'TD Info Completed by Auditor'!G43="Yes",1,IF(+'TD Info Completed by Auditor'!G43="No",2,IF(+'TD Info Completed by Auditor'!G43="N/A",3,0)))</f>
        <v>0</v>
      </c>
      <c r="F247" s="347"/>
      <c r="G247" s="349"/>
      <c r="H247" s="346"/>
      <c r="I247" s="38"/>
      <c r="J247" s="127">
        <v>907</v>
      </c>
      <c r="K247" s="596" t="s">
        <v>625</v>
      </c>
      <c r="L247" s="569">
        <f t="shared" si="26"/>
        <v>0</v>
      </c>
      <c r="N247" s="138" t="s">
        <v>1034</v>
      </c>
      <c r="P247" s="319"/>
      <c r="W247" s="3" t="b">
        <f t="shared" si="24"/>
        <v>1</v>
      </c>
      <c r="X247" s="566"/>
      <c r="Y247" s="566"/>
    </row>
    <row r="248" spans="1:25" ht="87.75" customHeight="1" x14ac:dyDescent="0.3">
      <c r="A248" s="585">
        <f>+'TD Info Completed by Auditor'!D45</f>
        <v>951</v>
      </c>
      <c r="B248" s="330" t="s">
        <v>823</v>
      </c>
      <c r="C248" s="586" t="str">
        <f>+'TD Info Completed by Auditor'!E45</f>
        <v>Is there a finding for lack of technical skills, knowledge and experience (SKE) at this unit?</v>
      </c>
      <c r="D248" s="353"/>
      <c r="E248" s="336">
        <f>IF(+'TD Info Completed by Auditor'!G45="Yes",1,IF(+'TD Info Completed by Auditor'!G45="No",2,IF(+'TD Info Completed by Auditor'!G45="N/A",3,0)))</f>
        <v>0</v>
      </c>
      <c r="F248" s="347"/>
      <c r="G248" s="349"/>
      <c r="H248" s="346"/>
      <c r="I248" s="38"/>
      <c r="J248" s="127">
        <v>951</v>
      </c>
      <c r="K248" s="596" t="s">
        <v>626</v>
      </c>
      <c r="L248" s="569">
        <f t="shared" si="26"/>
        <v>0</v>
      </c>
      <c r="N248" s="138" t="s">
        <v>1034</v>
      </c>
      <c r="P248" s="319"/>
      <c r="W248" s="3" t="b">
        <f t="shared" si="24"/>
        <v>1</v>
      </c>
      <c r="X248" s="566"/>
      <c r="Y248" s="566"/>
    </row>
    <row r="249" spans="1:25" ht="87.75" customHeight="1" x14ac:dyDescent="0.3">
      <c r="A249" s="585">
        <f>+'TD Info Completed by Auditor'!D47</f>
        <v>953</v>
      </c>
      <c r="B249" s="330" t="s">
        <v>823</v>
      </c>
      <c r="C249" s="586" t="str">
        <f>+'TD Info Completed by Auditor'!E47</f>
        <v xml:space="preserve">Is there is a going concern finding noted in the audit report? </v>
      </c>
      <c r="D249" s="353"/>
      <c r="E249" s="336">
        <f>IF(+'TD Info Completed by Auditor'!G47="Yes",1,IF(+'TD Info Completed by Auditor'!G47="No",2,IF(+'TD Info Completed by Auditor'!G47="N/A",3,0)))</f>
        <v>0</v>
      </c>
      <c r="F249" s="347"/>
      <c r="G249" s="349"/>
      <c r="H249" s="346"/>
      <c r="I249" s="38"/>
      <c r="J249" s="127">
        <v>953</v>
      </c>
      <c r="K249" s="596" t="s">
        <v>1281</v>
      </c>
      <c r="L249" s="569">
        <f t="shared" si="26"/>
        <v>0</v>
      </c>
      <c r="N249" s="138" t="s">
        <v>1034</v>
      </c>
      <c r="P249" s="319"/>
      <c r="W249" s="3" t="b">
        <f t="shared" si="24"/>
        <v>1</v>
      </c>
      <c r="X249" s="566"/>
      <c r="Y249" s="566"/>
    </row>
    <row r="250" spans="1:25" ht="87.75" customHeight="1" x14ac:dyDescent="0.3">
      <c r="A250" s="585">
        <f>+'TD Info Completed by Auditor'!D49</f>
        <v>955</v>
      </c>
      <c r="B250" s="330" t="s">
        <v>823</v>
      </c>
      <c r="C250" s="586" t="str">
        <f>+'TD Info Completed by Auditor'!E49</f>
        <v>Number of significant deficiency findings (other than in Questions 15-18 )</v>
      </c>
      <c r="D250" s="353"/>
      <c r="E250" s="1267" t="str">
        <f>IF(ISBLANK('TD Info Completed by Auditor'!G49),"",'TD Info Completed by Auditor'!G49)</f>
        <v/>
      </c>
      <c r="F250" s="347"/>
      <c r="G250" s="349"/>
      <c r="H250" s="1268" t="s">
        <v>1557</v>
      </c>
      <c r="I250" s="38"/>
      <c r="J250" s="127">
        <v>955</v>
      </c>
      <c r="K250" s="596" t="s">
        <v>827</v>
      </c>
      <c r="L250" s="569" t="str">
        <f t="shared" si="26"/>
        <v/>
      </c>
      <c r="N250" s="138" t="s">
        <v>1034</v>
      </c>
      <c r="P250" s="319"/>
      <c r="W250" s="3" t="b">
        <f t="shared" si="24"/>
        <v>1</v>
      </c>
      <c r="X250" s="566"/>
      <c r="Y250" s="566"/>
    </row>
    <row r="251" spans="1:25" ht="87.75" customHeight="1" x14ac:dyDescent="0.3">
      <c r="A251" s="585">
        <f>+'TD Info Completed by Auditor'!D51</f>
        <v>957</v>
      </c>
      <c r="B251" s="330" t="s">
        <v>823</v>
      </c>
      <c r="C251" s="586" t="str">
        <f>+'TD Info Completed by Auditor'!E51</f>
        <v>Number of material weaknesses findings (other than in Questions 15-18)</v>
      </c>
      <c r="D251" s="353"/>
      <c r="E251" s="1267" t="str">
        <f>IF(ISBLANK('TD Info Completed by Auditor'!G51),"",'TD Info Completed by Auditor'!G51)</f>
        <v/>
      </c>
      <c r="F251" s="347"/>
      <c r="G251" s="349"/>
      <c r="H251" s="1268" t="s">
        <v>1558</v>
      </c>
      <c r="I251" s="38"/>
      <c r="J251" s="127">
        <v>957</v>
      </c>
      <c r="K251" s="596" t="s">
        <v>828</v>
      </c>
      <c r="L251" s="569" t="str">
        <f t="shared" si="26"/>
        <v/>
      </c>
      <c r="N251" s="138" t="s">
        <v>1034</v>
      </c>
      <c r="P251" s="319"/>
      <c r="W251" s="3" t="b">
        <f t="shared" si="24"/>
        <v>1</v>
      </c>
      <c r="X251" s="566"/>
      <c r="Y251" s="566"/>
    </row>
    <row r="252" spans="1:25" ht="87.75" customHeight="1" x14ac:dyDescent="0.3">
      <c r="A252" s="585">
        <f>+'TD Info Completed by Auditor'!D53</f>
        <v>959</v>
      </c>
      <c r="B252" s="330" t="s">
        <v>823</v>
      </c>
      <c r="C252" s="586" t="str">
        <f>+'TD Info Completed by Auditor'!E53</f>
        <v>Did the Unit have debt service payments deferred or restructured in this fiscal year? (does not include refinancings designed to take advantage of lower interest rates)  Select Yes, No, or NA</v>
      </c>
      <c r="D252" s="353"/>
      <c r="E252" s="336">
        <f>IF(+'TD Info Completed by Auditor'!G53="Yes",1,IF(+'TD Info Completed by Auditor'!G53="No",2,IF(+'TD Info Completed by Auditor'!G53="N/A",3,0)))</f>
        <v>0</v>
      </c>
      <c r="F252" s="347"/>
      <c r="G252" s="349"/>
      <c r="H252" s="346"/>
      <c r="I252" s="38"/>
      <c r="J252" s="127">
        <v>959</v>
      </c>
      <c r="K252" s="596" t="s">
        <v>1036</v>
      </c>
      <c r="L252" s="569">
        <f t="shared" si="26"/>
        <v>0</v>
      </c>
      <c r="N252" s="138" t="s">
        <v>1034</v>
      </c>
      <c r="P252" s="319"/>
      <c r="W252" s="3" t="b">
        <f t="shared" si="24"/>
        <v>1</v>
      </c>
      <c r="X252" s="566"/>
      <c r="Y252" s="566"/>
    </row>
    <row r="253" spans="1:25" ht="222" customHeight="1" x14ac:dyDescent="0.3">
      <c r="A253" s="585">
        <f>+'TD Info Completed by Auditor'!D57</f>
        <v>974</v>
      </c>
      <c r="B253" s="330" t="s">
        <v>823</v>
      </c>
      <c r="C253" s="586" t="str">
        <f>+'TD Info Completed by Auditor'!E57</f>
        <v>Did the Unit have any of the following occur:
1.  Bond covenants were not met
2.  Debt service payments made late?  Deferred payments authorized by LGC or other state
     agencies should not be counted as late for purposes of this question.</v>
      </c>
      <c r="D253" s="353"/>
      <c r="E253" s="336">
        <f>IF(+'TD Info Completed by Auditor'!G57="Yes",1,IF(+'TD Info Completed by Auditor'!G57="No",2,IF(+'TD Info Completed by Auditor'!G57="N/A",3,0)))</f>
        <v>0</v>
      </c>
      <c r="F253" s="347"/>
      <c r="G253" s="349"/>
      <c r="H253" s="346"/>
      <c r="I253" s="38"/>
      <c r="J253" s="127">
        <v>974</v>
      </c>
      <c r="K253" s="596" t="s">
        <v>1282</v>
      </c>
      <c r="L253" s="569">
        <f t="shared" si="26"/>
        <v>0</v>
      </c>
      <c r="N253" s="138" t="s">
        <v>1034</v>
      </c>
      <c r="P253" s="319"/>
      <c r="W253" s="3" t="b">
        <f t="shared" si="24"/>
        <v>1</v>
      </c>
      <c r="X253" s="566"/>
      <c r="Y253" s="566"/>
    </row>
    <row r="254" spans="1:25" ht="177.75" customHeight="1" x14ac:dyDescent="0.3">
      <c r="A254" s="585">
        <f>+'TD Info Completed by Auditor'!D55</f>
        <v>973</v>
      </c>
      <c r="B254" s="330" t="s">
        <v>823</v>
      </c>
      <c r="C254" s="329" t="str">
        <f>+'TD Info Completed by Auditor'!E55</f>
        <v>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v>
      </c>
      <c r="D254" s="353"/>
      <c r="E254" s="336">
        <f>+'TD Info Completed by Auditor'!G55</f>
        <v>0</v>
      </c>
      <c r="F254" s="347"/>
      <c r="G254" s="349"/>
      <c r="H254" s="346"/>
      <c r="I254" s="38"/>
      <c r="J254" s="127">
        <v>973</v>
      </c>
      <c r="K254" s="596" t="s">
        <v>991</v>
      </c>
      <c r="L254" s="569">
        <f t="shared" si="26"/>
        <v>0</v>
      </c>
      <c r="N254" s="138" t="s">
        <v>1034</v>
      </c>
      <c r="P254" s="319"/>
      <c r="W254" s="3" t="b">
        <f t="shared" si="24"/>
        <v>1</v>
      </c>
      <c r="X254" s="566"/>
      <c r="Y254" s="566"/>
    </row>
    <row r="255" spans="1:25" ht="87.75" customHeight="1" x14ac:dyDescent="0.3">
      <c r="A255" s="585">
        <f>+'TD Info Completed by Auditor'!D60</f>
        <v>965</v>
      </c>
      <c r="B255" s="330" t="s">
        <v>823</v>
      </c>
      <c r="C255" s="586" t="str">
        <f>+'TD Info Completed by Auditor'!E60</f>
        <v xml:space="preserve">Is the Finance Officer bonded for at least $50,000? (GS 159-42(h) </v>
      </c>
      <c r="D255" s="353"/>
      <c r="E255" s="336">
        <f>IF(+'TD Info Completed by Auditor'!G60="Yes",1,IF(+'TD Info Completed by Auditor'!G60="No",2,IF(+'TD Info Completed by Auditor'!G60="N/A",3,0)))</f>
        <v>0</v>
      </c>
      <c r="F255" s="347"/>
      <c r="G255" s="349"/>
      <c r="H255" s="346"/>
      <c r="I255" s="38"/>
      <c r="J255" s="127">
        <v>965</v>
      </c>
      <c r="K255" s="596" t="s">
        <v>631</v>
      </c>
      <c r="L255" s="569">
        <f t="shared" si="26"/>
        <v>0</v>
      </c>
      <c r="N255" s="138" t="s">
        <v>1034</v>
      </c>
      <c r="P255" s="319"/>
      <c r="W255" s="3" t="b">
        <f t="shared" si="24"/>
        <v>1</v>
      </c>
      <c r="X255" s="566"/>
      <c r="Y255" s="566"/>
    </row>
    <row r="256" spans="1:25" ht="87.75" customHeight="1" x14ac:dyDescent="0.3">
      <c r="A256" s="585">
        <f>+'TD Info Completed by Auditor'!D68</f>
        <v>977</v>
      </c>
      <c r="B256" s="330" t="s">
        <v>823</v>
      </c>
      <c r="C256" s="586" t="str">
        <f>+'TD Info Completed by Auditor'!E68</f>
        <v>Does the entity have an  effective pre-audit process to ensure that pervasive budgetary over- expenditures do not occur at the budget ordinance level? Select Yes or No</v>
      </c>
      <c r="D256" s="353"/>
      <c r="E256" s="336">
        <f>IF(+'TD Info Completed by Auditor'!G68="Yes",1,IF(+'TD Info Completed by Auditor'!G68="No",2,))</f>
        <v>0</v>
      </c>
      <c r="F256" s="347"/>
      <c r="G256" s="349"/>
      <c r="H256" s="346"/>
      <c r="I256" s="38"/>
      <c r="J256" s="127">
        <v>977</v>
      </c>
      <c r="K256" s="596" t="s">
        <v>1284</v>
      </c>
      <c r="L256" s="569">
        <f t="shared" si="26"/>
        <v>0</v>
      </c>
      <c r="N256" s="138" t="s">
        <v>1034</v>
      </c>
      <c r="P256" s="319"/>
      <c r="W256" s="3" t="b">
        <f t="shared" si="24"/>
        <v>1</v>
      </c>
      <c r="X256" s="566"/>
      <c r="Y256" s="566"/>
    </row>
    <row r="257" spans="1:25" ht="87.75" customHeight="1" x14ac:dyDescent="0.3">
      <c r="A257" s="585">
        <f>+'TD Info Completed by Auditor'!D70</f>
        <v>978</v>
      </c>
      <c r="B257" s="330" t="s">
        <v>823</v>
      </c>
      <c r="C257" s="586" t="str">
        <f>+'TD Info Completed by Auditor'!E70</f>
        <v>Did the audit disclose any statutory violations in the notes that were not covered by findings?  Select Yes or No</v>
      </c>
      <c r="D257" s="353"/>
      <c r="E257" s="336" t="str">
        <f>IF(+'TD Info Completed by Auditor'!G70="Yes",1,IF(+'TD Info Completed by Auditor'!G70="No",2,IF(+'TD Info Completed by Auditor'!G70="","0")))</f>
        <v>0</v>
      </c>
      <c r="F257" s="347"/>
      <c r="G257" s="349"/>
      <c r="H257" s="346"/>
      <c r="I257" s="38"/>
      <c r="J257" s="127">
        <v>978</v>
      </c>
      <c r="K257" s="596" t="s">
        <v>1283</v>
      </c>
      <c r="L257" s="569" t="str">
        <f t="shared" si="26"/>
        <v>0</v>
      </c>
      <c r="N257" s="138" t="s">
        <v>1034</v>
      </c>
      <c r="P257" s="319"/>
      <c r="W257" s="3" t="b">
        <f t="shared" si="24"/>
        <v>1</v>
      </c>
      <c r="X257" s="566"/>
      <c r="Y257" s="566"/>
    </row>
    <row r="258" spans="1:25" ht="87.75" customHeight="1" x14ac:dyDescent="0.3">
      <c r="A258" s="585">
        <f>+'TD Info Completed by Auditor'!D72</f>
        <v>979</v>
      </c>
      <c r="B258" s="330" t="s">
        <v>823</v>
      </c>
      <c r="C258" s="586" t="str">
        <f>+'TD Info Completed by Auditor'!E72</f>
        <v>The Auditor will submit the Audit Report to the LGC within five months plus one day after the fiscal year end.  (for units with a June 30th fiscal year-end this would be December 1)   Select Yes or No</v>
      </c>
      <c r="D258" s="353"/>
      <c r="E258" s="336">
        <f>IF(+'TD Info Completed by Auditor'!G72="Yes",1,IF(+'TD Info Completed by Auditor'!G72="No",2,IF(+'TD Info Completed by Auditor'!G72="N/A",3,0)))</f>
        <v>0</v>
      </c>
      <c r="F258" s="347"/>
      <c r="G258" s="349"/>
      <c r="H258" s="346"/>
      <c r="I258" s="38"/>
      <c r="J258" s="127">
        <v>979</v>
      </c>
      <c r="K258" s="596" t="s">
        <v>786</v>
      </c>
      <c r="L258" s="569">
        <f t="shared" si="26"/>
        <v>0</v>
      </c>
      <c r="N258" s="138" t="s">
        <v>1034</v>
      </c>
      <c r="P258" s="319"/>
      <c r="W258" s="3" t="b">
        <f t="shared" si="24"/>
        <v>1</v>
      </c>
      <c r="X258" s="566"/>
      <c r="Y258" s="566"/>
    </row>
    <row r="259" spans="1:25" ht="87.75" customHeight="1" x14ac:dyDescent="0.3">
      <c r="A259" s="585">
        <f>+'TD Info Completed by Auditor'!D76</f>
        <v>975</v>
      </c>
      <c r="B259" s="330" t="s">
        <v>823</v>
      </c>
      <c r="C259" s="586" t="str">
        <f>+'TD Info Completed by Auditor'!E76</f>
        <v>The Performance Indicator Tab in this worksheet has at least one performance indicator of concern (indicated by a red shaded cell)</v>
      </c>
      <c r="D259" s="353"/>
      <c r="E259" s="336">
        <f>IF(+'TD Info Completed by Auditor'!G76="Yes",1,IF(+'TD Info Completed by Auditor'!G76="No",2,IF(+'TD Info Completed by Auditor'!G76="N/A",3,0)))</f>
        <v>0</v>
      </c>
      <c r="F259" s="347"/>
      <c r="G259" s="349"/>
      <c r="H259" s="346"/>
      <c r="I259" s="38"/>
      <c r="J259" s="127">
        <v>975</v>
      </c>
      <c r="K259" s="596" t="s">
        <v>829</v>
      </c>
      <c r="L259" s="569">
        <f>IF(D259="",E259,D259)</f>
        <v>0</v>
      </c>
      <c r="N259" s="138" t="s">
        <v>1034</v>
      </c>
      <c r="P259" s="319"/>
      <c r="W259" s="3" t="b">
        <f>EXACT(A259,J259)</f>
        <v>1</v>
      </c>
      <c r="X259" s="566"/>
      <c r="Y259" s="566"/>
    </row>
    <row r="260" spans="1:25" ht="129.6" x14ac:dyDescent="0.3">
      <c r="A260" s="585">
        <f>+'TD Info Completed by Auditor'!D78</f>
        <v>976</v>
      </c>
      <c r="B260" s="330" t="s">
        <v>823</v>
      </c>
      <c r="C260" s="586" t="str">
        <f>+'TD Info Completed by Auditor'!E78</f>
        <v>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v>
      </c>
      <c r="D260" s="353"/>
      <c r="E260" s="336">
        <f>IF(+'TD Info Completed by Auditor'!G78="Yes",1,IF(+'TD Info Completed by Auditor'!G78="No",2,IF(+'TD Info Completed by Auditor'!G78="N/A",3,0)))</f>
        <v>0</v>
      </c>
      <c r="F260" s="347"/>
      <c r="G260" s="349"/>
      <c r="H260" s="346"/>
      <c r="I260" s="38"/>
      <c r="J260" s="127">
        <v>976</v>
      </c>
      <c r="K260" s="596" t="s">
        <v>993</v>
      </c>
      <c r="L260" s="569">
        <f>IF(D260="",E260,D260)</f>
        <v>0</v>
      </c>
      <c r="N260" s="138" t="s">
        <v>1034</v>
      </c>
      <c r="P260" s="319"/>
      <c r="W260" s="3" t="b">
        <f>EXACT(A260,J260)</f>
        <v>1</v>
      </c>
      <c r="X260" s="566"/>
      <c r="Y260" s="566"/>
    </row>
    <row r="261" spans="1:25" ht="109.95" customHeight="1" x14ac:dyDescent="0.3">
      <c r="A261" s="613">
        <v>336</v>
      </c>
      <c r="B261" s="366"/>
      <c r="C261" s="614" t="s">
        <v>1089</v>
      </c>
      <c r="D261" s="615" t="s">
        <v>1004</v>
      </c>
      <c r="E261" s="616" t="s">
        <v>1005</v>
      </c>
      <c r="F261" s="367" t="s">
        <v>1003</v>
      </c>
      <c r="G261" s="349"/>
      <c r="H261" s="346"/>
      <c r="I261" s="38"/>
      <c r="J261" s="368">
        <v>336</v>
      </c>
      <c r="K261" s="617" t="s">
        <v>1008</v>
      </c>
      <c r="L261" s="618">
        <f>L10-L11-L12-L13-L14-L15-L16</f>
        <v>0</v>
      </c>
      <c r="M261" s="619"/>
      <c r="N261" s="380" t="s">
        <v>1006</v>
      </c>
      <c r="P261" s="319"/>
      <c r="X261" s="566"/>
      <c r="Y261" s="566"/>
    </row>
    <row r="262" spans="1:25" ht="129" customHeight="1" x14ac:dyDescent="0.3">
      <c r="A262" s="613">
        <v>44</v>
      </c>
      <c r="B262" s="366"/>
      <c r="C262" s="620" t="s">
        <v>1090</v>
      </c>
      <c r="D262" s="615" t="s">
        <v>995</v>
      </c>
      <c r="E262" s="621" t="s">
        <v>996</v>
      </c>
      <c r="F262" s="367" t="s">
        <v>1003</v>
      </c>
      <c r="G262" s="349"/>
      <c r="H262" s="346"/>
      <c r="I262" s="38"/>
      <c r="J262" s="368">
        <v>44</v>
      </c>
      <c r="K262" s="617" t="s">
        <v>1009</v>
      </c>
      <c r="L262" s="618">
        <f>L120-L121-L118</f>
        <v>0</v>
      </c>
      <c r="M262" s="619"/>
      <c r="N262" s="380" t="s">
        <v>1007</v>
      </c>
      <c r="P262" s="319"/>
      <c r="X262" s="566"/>
      <c r="Y262" s="566"/>
    </row>
    <row r="263" spans="1:25" ht="169.5" customHeight="1" x14ac:dyDescent="0.3">
      <c r="A263" s="613">
        <v>45</v>
      </c>
      <c r="B263" s="366"/>
      <c r="C263" s="622" t="s">
        <v>1091</v>
      </c>
      <c r="D263" s="615" t="s">
        <v>997</v>
      </c>
      <c r="E263" s="616" t="s">
        <v>998</v>
      </c>
      <c r="F263" s="367" t="s">
        <v>1003</v>
      </c>
      <c r="G263" s="349"/>
      <c r="H263" s="346"/>
      <c r="I263" s="38"/>
      <c r="J263" s="368">
        <v>45</v>
      </c>
      <c r="K263" s="617" t="s">
        <v>1010</v>
      </c>
      <c r="L263" s="618">
        <f>L124-L125-L126-L127-L128-L129-L123</f>
        <v>0</v>
      </c>
      <c r="M263" s="619"/>
      <c r="N263" s="380" t="s">
        <v>1025</v>
      </c>
      <c r="P263" s="319"/>
      <c r="X263" s="566"/>
      <c r="Y263" s="566"/>
    </row>
    <row r="264" spans="1:25" ht="87.75" customHeight="1" x14ac:dyDescent="0.3">
      <c r="A264" s="613">
        <v>47</v>
      </c>
      <c r="B264" s="366"/>
      <c r="C264" s="367" t="s">
        <v>1012</v>
      </c>
      <c r="D264" s="615" t="s">
        <v>999</v>
      </c>
      <c r="E264" s="616" t="s">
        <v>1001</v>
      </c>
      <c r="F264" s="367" t="s">
        <v>1003</v>
      </c>
      <c r="G264" s="349"/>
      <c r="H264" s="346"/>
      <c r="I264" s="38"/>
      <c r="J264" s="368">
        <v>47</v>
      </c>
      <c r="K264" s="617" t="s">
        <v>1011</v>
      </c>
      <c r="L264" s="618">
        <f>L138-L139-L137</f>
        <v>0</v>
      </c>
      <c r="M264" s="619"/>
      <c r="N264" s="380" t="s">
        <v>1026</v>
      </c>
      <c r="P264" s="319"/>
      <c r="X264" s="566"/>
      <c r="Y264" s="566"/>
    </row>
    <row r="265" spans="1:25" ht="152.25" customHeight="1" x14ac:dyDescent="0.3">
      <c r="A265" s="613">
        <v>48</v>
      </c>
      <c r="B265" s="366"/>
      <c r="C265" s="367" t="s">
        <v>1013</v>
      </c>
      <c r="D265" s="615" t="s">
        <v>1000</v>
      </c>
      <c r="E265" s="616" t="s">
        <v>1002</v>
      </c>
      <c r="F265" s="367" t="s">
        <v>1003</v>
      </c>
      <c r="G265" s="349"/>
      <c r="H265" s="346"/>
      <c r="I265" s="38"/>
      <c r="J265" s="368">
        <v>48</v>
      </c>
      <c r="K265" s="617" t="s">
        <v>123</v>
      </c>
      <c r="L265" s="618">
        <f>L143-L144-L145-L146-L147-L148-L142</f>
        <v>0</v>
      </c>
      <c r="M265" s="619"/>
      <c r="N265" s="380" t="s">
        <v>1027</v>
      </c>
      <c r="P265" s="319"/>
      <c r="X265" s="566"/>
      <c r="Y265" s="566"/>
    </row>
    <row r="266" spans="1:25" ht="113.4" customHeight="1" x14ac:dyDescent="0.3">
      <c r="A266" s="623"/>
      <c r="B266" s="97"/>
      <c r="C266" s="624"/>
      <c r="D266" s="139"/>
      <c r="E266" s="147"/>
      <c r="F266" s="66"/>
      <c r="G266" s="141"/>
      <c r="H266" s="142"/>
      <c r="I266" s="38"/>
      <c r="J266" s="369">
        <v>998</v>
      </c>
      <c r="K266" s="370" t="s">
        <v>287</v>
      </c>
      <c r="L266" s="625" t="e">
        <f>HLOOKUP('Unit Data from Audit Worksheet'!$D$2,'2020 Data(H)'!A1:CZ400,247,FALSE)</f>
        <v>#N/A</v>
      </c>
      <c r="M266" s="619"/>
      <c r="N266" s="380" t="s">
        <v>1014</v>
      </c>
      <c r="P266" s="315"/>
      <c r="W266" s="3" t="b">
        <f>EXACT(A266,J266)</f>
        <v>0</v>
      </c>
      <c r="X266" s="566" t="e">
        <f t="shared" si="21"/>
        <v>#N/A</v>
      </c>
      <c r="Y266" s="566" t="e">
        <f t="shared" si="22"/>
        <v>#N/A</v>
      </c>
    </row>
    <row r="267" spans="1:25" ht="119.4" customHeight="1" x14ac:dyDescent="0.3">
      <c r="A267" s="623"/>
      <c r="B267" s="97"/>
      <c r="C267" s="624"/>
      <c r="D267" s="626"/>
      <c r="E267" s="627"/>
      <c r="F267" s="628"/>
      <c r="G267" s="629"/>
      <c r="H267" s="630"/>
      <c r="I267" s="38"/>
      <c r="J267" s="371">
        <v>995</v>
      </c>
      <c r="K267" s="372" t="s">
        <v>285</v>
      </c>
      <c r="L267" s="631" t="e">
        <f>HLOOKUP('Unit Data from Audit Worksheet'!$D$2,'2020 Data(H)'!A1:CZ400,244,FALSE)</f>
        <v>#N/A</v>
      </c>
      <c r="M267" s="619"/>
      <c r="N267" s="380" t="s">
        <v>1028</v>
      </c>
      <c r="P267" s="316"/>
      <c r="W267" s="3" t="b">
        <f>EXACT(A267,J267)</f>
        <v>0</v>
      </c>
      <c r="X267" s="632" t="e">
        <f t="shared" si="21"/>
        <v>#N/A</v>
      </c>
      <c r="Y267" s="566" t="e">
        <f t="shared" si="22"/>
        <v>#N/A</v>
      </c>
    </row>
    <row r="268" spans="1:25" ht="104.4" customHeight="1" x14ac:dyDescent="0.3">
      <c r="A268" s="623"/>
      <c r="B268" s="97"/>
      <c r="C268" s="624"/>
      <c r="D268" s="626"/>
      <c r="E268" s="627"/>
      <c r="F268" s="628"/>
      <c r="G268" s="629"/>
      <c r="H268" s="630"/>
      <c r="I268" s="38"/>
      <c r="J268" s="371">
        <v>996</v>
      </c>
      <c r="K268" s="372" t="s">
        <v>286</v>
      </c>
      <c r="L268" s="631" t="e">
        <f>HLOOKUP('Unit Data from Audit Worksheet'!$D$2,'2020 Data(H)'!A1:CZ400,245,FALSE)</f>
        <v>#N/A</v>
      </c>
      <c r="M268" s="619"/>
      <c r="N268" s="380" t="s">
        <v>1029</v>
      </c>
      <c r="P268" s="316"/>
      <c r="W268" s="3" t="b">
        <f>EXACT(A268,J268)</f>
        <v>0</v>
      </c>
      <c r="X268" s="632" t="e">
        <f t="shared" si="21"/>
        <v>#N/A</v>
      </c>
      <c r="Y268" s="566" t="e">
        <f t="shared" si="22"/>
        <v>#N/A</v>
      </c>
    </row>
    <row r="269" spans="1:25" ht="43.2" x14ac:dyDescent="0.3">
      <c r="A269" s="623"/>
      <c r="B269" s="97"/>
      <c r="C269" s="624"/>
      <c r="D269" s="626"/>
      <c r="E269" s="627"/>
      <c r="F269" s="628"/>
      <c r="G269" s="629"/>
      <c r="H269" s="633"/>
      <c r="I269" s="38"/>
      <c r="J269" s="172">
        <v>554</v>
      </c>
      <c r="K269" s="634" t="s">
        <v>355</v>
      </c>
      <c r="L269" s="595"/>
      <c r="N269" s="635"/>
      <c r="P269" s="317"/>
      <c r="X269" s="632"/>
      <c r="Y269" s="566"/>
    </row>
    <row r="270" spans="1:25" ht="43.2" x14ac:dyDescent="0.3">
      <c r="A270" s="623"/>
      <c r="B270" s="97"/>
      <c r="C270" s="624"/>
      <c r="D270" s="626"/>
      <c r="E270" s="627"/>
      <c r="F270" s="628"/>
      <c r="G270" s="629"/>
      <c r="H270" s="633"/>
      <c r="I270" s="38"/>
      <c r="J270" s="172">
        <v>555</v>
      </c>
      <c r="K270" s="634" t="s">
        <v>356</v>
      </c>
      <c r="L270" s="595"/>
      <c r="N270" s="635"/>
      <c r="P270" s="317"/>
      <c r="X270" s="632"/>
      <c r="Y270" s="566"/>
    </row>
    <row r="271" spans="1:25" ht="43.2" x14ac:dyDescent="0.3">
      <c r="A271" s="623"/>
      <c r="B271" s="97"/>
      <c r="C271" s="624"/>
      <c r="D271" s="626"/>
      <c r="E271" s="627"/>
      <c r="F271" s="628"/>
      <c r="G271" s="629"/>
      <c r="H271" s="633"/>
      <c r="I271" s="38"/>
      <c r="J271" s="172">
        <v>556</v>
      </c>
      <c r="K271" s="634" t="s">
        <v>357</v>
      </c>
      <c r="L271" s="595"/>
      <c r="N271" s="635"/>
      <c r="P271" s="317"/>
      <c r="X271" s="632"/>
      <c r="Y271" s="566"/>
    </row>
    <row r="272" spans="1:25" ht="43.2" x14ac:dyDescent="0.3">
      <c r="A272" s="623"/>
      <c r="B272" s="97"/>
      <c r="C272" s="624"/>
      <c r="D272" s="626"/>
      <c r="E272" s="627"/>
      <c r="F272" s="628"/>
      <c r="G272" s="629"/>
      <c r="H272" s="633"/>
      <c r="I272" s="38"/>
      <c r="J272" s="172">
        <v>557</v>
      </c>
      <c r="K272" s="634" t="s">
        <v>358</v>
      </c>
      <c r="L272" s="595"/>
      <c r="N272" s="635"/>
      <c r="P272" s="317"/>
      <c r="X272" s="632"/>
      <c r="Y272" s="566"/>
    </row>
    <row r="273" spans="1:25" ht="43.2" x14ac:dyDescent="0.3">
      <c r="A273" s="623"/>
      <c r="B273" s="97"/>
      <c r="C273" s="624"/>
      <c r="D273" s="626"/>
      <c r="E273" s="627"/>
      <c r="F273" s="628"/>
      <c r="G273" s="629"/>
      <c r="H273" s="633"/>
      <c r="I273" s="38"/>
      <c r="J273" s="172">
        <v>606</v>
      </c>
      <c r="K273" s="634" t="s">
        <v>572</v>
      </c>
      <c r="L273" s="595"/>
      <c r="N273" s="635"/>
      <c r="P273" s="317"/>
      <c r="X273" s="632"/>
      <c r="Y273" s="566"/>
    </row>
    <row r="274" spans="1:25" ht="39.75" customHeight="1" x14ac:dyDescent="0.3">
      <c r="A274" s="623"/>
      <c r="B274" s="97"/>
      <c r="C274" s="624"/>
      <c r="D274" s="626"/>
      <c r="E274" s="627"/>
      <c r="F274" s="628"/>
      <c r="G274" s="629"/>
      <c r="H274" s="633"/>
      <c r="I274" s="38"/>
      <c r="J274" s="323">
        <v>662</v>
      </c>
      <c r="K274" s="636" t="s">
        <v>573</v>
      </c>
      <c r="L274" s="637"/>
      <c r="N274" s="635"/>
      <c r="P274" s="323"/>
      <c r="X274" s="632"/>
      <c r="Y274" s="566"/>
    </row>
    <row r="275" spans="1:25" ht="39" customHeight="1" x14ac:dyDescent="0.3">
      <c r="A275" s="623"/>
      <c r="B275" s="97"/>
      <c r="C275" s="624"/>
      <c r="D275" s="626"/>
      <c r="E275" s="627"/>
      <c r="F275" s="628"/>
      <c r="G275" s="629"/>
      <c r="H275" s="633"/>
      <c r="I275" s="38"/>
      <c r="J275" s="323">
        <v>663</v>
      </c>
      <c r="K275" s="638" t="s">
        <v>574</v>
      </c>
      <c r="L275" s="637"/>
      <c r="N275" s="635"/>
      <c r="P275" s="323"/>
      <c r="X275" s="632"/>
      <c r="Y275" s="566"/>
    </row>
    <row r="276" spans="1:25" s="18" customFormat="1" ht="22.5" customHeight="1" x14ac:dyDescent="0.3">
      <c r="A276" s="623"/>
      <c r="B276" s="97"/>
      <c r="C276" s="624"/>
      <c r="D276" s="139"/>
      <c r="E276" s="140"/>
      <c r="F276" s="66"/>
      <c r="G276" s="141"/>
      <c r="H276" s="142"/>
      <c r="I276" s="38"/>
      <c r="J276" s="143"/>
      <c r="K276" s="639"/>
      <c r="L276" s="640"/>
      <c r="N276" s="378"/>
      <c r="P276" s="317"/>
      <c r="Q276" s="559"/>
      <c r="W276" s="18" t="b">
        <f t="shared" ref="W276:W284" si="27">EXACT(A276,J276)</f>
        <v>1</v>
      </c>
      <c r="X276" s="575">
        <f t="shared" si="21"/>
        <v>0</v>
      </c>
      <c r="Y276" s="575">
        <f t="shared" si="22"/>
        <v>0</v>
      </c>
    </row>
    <row r="277" spans="1:25" ht="99" customHeight="1" x14ac:dyDescent="0.3">
      <c r="A277" s="334">
        <f>'Unit Data from Audit Worksheet'!A304</f>
        <v>947</v>
      </c>
      <c r="B277" s="132"/>
      <c r="C277" s="333" t="str">
        <f>'Unit Data from Audit Worksheet'!D304</f>
        <v>First name of finance officer or interim finance officer (please enter “vacant” for first name if the position is currently vacant)</v>
      </c>
      <c r="D277" s="356"/>
      <c r="E277" s="187">
        <f>'Unit Data from Audit Worksheet'!F304</f>
        <v>0</v>
      </c>
      <c r="F277" s="347" t="str">
        <f>'Unit Data from Audit Worksheet'!G304</f>
        <v>Please do not leave blank</v>
      </c>
      <c r="G277" s="349"/>
      <c r="H277" s="346"/>
      <c r="I277" s="38"/>
      <c r="J277" s="176">
        <v>947</v>
      </c>
      <c r="K277" s="641" t="s">
        <v>518</v>
      </c>
      <c r="L277" s="642">
        <f t="shared" ref="L277:L290" si="28">IF(D277="",E277,D277)</f>
        <v>0</v>
      </c>
      <c r="N277" s="635"/>
      <c r="P277" s="323"/>
      <c r="Q277" s="601">
        <f t="shared" ref="Q277:Q284" si="29">IF(L277=0,1,0)</f>
        <v>1</v>
      </c>
      <c r="W277" s="3" t="b">
        <f t="shared" si="27"/>
        <v>1</v>
      </c>
      <c r="X277" s="566">
        <f t="shared" ref="X277:X291" si="30">E277-L277</f>
        <v>0</v>
      </c>
      <c r="Y277" s="566">
        <f t="shared" ref="Y277:Y291" si="31">D277-L277</f>
        <v>0</v>
      </c>
    </row>
    <row r="278" spans="1:25" ht="128.25" customHeight="1" x14ac:dyDescent="0.3">
      <c r="A278" s="334">
        <f>'Unit Data from Audit Worksheet'!A305</f>
        <v>948</v>
      </c>
      <c r="B278" s="132"/>
      <c r="C278" s="333" t="str">
        <f>'Unit Data from Audit Worksheet'!D305</f>
        <v>Last name of finance officer or interim finance officer (please enter “vacant” for last name if the position is currently vacant)</v>
      </c>
      <c r="D278" s="356"/>
      <c r="E278" s="643">
        <f>'Unit Data from Audit Worksheet'!F305</f>
        <v>0</v>
      </c>
      <c r="F278" s="347" t="str">
        <f>'Unit Data from Audit Worksheet'!G305</f>
        <v>Please do not leave blank</v>
      </c>
      <c r="G278" s="349"/>
      <c r="H278" s="346"/>
      <c r="I278" s="38"/>
      <c r="J278" s="176">
        <v>948</v>
      </c>
      <c r="K278" s="641" t="s">
        <v>519</v>
      </c>
      <c r="L278" s="642">
        <f t="shared" si="28"/>
        <v>0</v>
      </c>
      <c r="N278" s="635"/>
      <c r="P278" s="323"/>
      <c r="Q278" s="601">
        <f t="shared" si="29"/>
        <v>1</v>
      </c>
      <c r="W278" s="3" t="b">
        <f t="shared" si="27"/>
        <v>1</v>
      </c>
      <c r="X278" s="566">
        <f t="shared" si="30"/>
        <v>0</v>
      </c>
      <c r="Y278" s="566">
        <f t="shared" si="31"/>
        <v>0</v>
      </c>
    </row>
    <row r="279" spans="1:25" ht="61.5" customHeight="1" x14ac:dyDescent="0.3">
      <c r="A279" s="334">
        <f>'Unit Data from Audit Worksheet'!A306</f>
        <v>949</v>
      </c>
      <c r="B279" s="132"/>
      <c r="C279" s="333" t="str">
        <f>'Unit Data from Audit Worksheet'!D306</f>
        <v>Is the finance officer serving in a permanent role or an interim role? (select permanent/interim/vacant)</v>
      </c>
      <c r="D279" s="356"/>
      <c r="E279" s="187">
        <f>'Unit Data from Audit Worksheet'!F306</f>
        <v>0</v>
      </c>
      <c r="F279" s="347" t="str">
        <f>'Unit Data from Audit Worksheet'!G306</f>
        <v>Please do not leave blank</v>
      </c>
      <c r="G279" s="349"/>
      <c r="H279" s="346"/>
      <c r="I279" s="38"/>
      <c r="J279" s="176">
        <v>949</v>
      </c>
      <c r="K279" s="641" t="s">
        <v>547</v>
      </c>
      <c r="L279" s="642">
        <f t="shared" si="28"/>
        <v>0</v>
      </c>
      <c r="N279" s="635"/>
      <c r="P279" s="323"/>
      <c r="Q279" s="601">
        <f t="shared" si="29"/>
        <v>1</v>
      </c>
      <c r="W279" s="3" t="b">
        <f t="shared" si="27"/>
        <v>1</v>
      </c>
      <c r="X279" s="566">
        <f t="shared" si="30"/>
        <v>0</v>
      </c>
      <c r="Y279" s="566">
        <f t="shared" si="31"/>
        <v>0</v>
      </c>
    </row>
    <row r="280" spans="1:25" ht="93.75" customHeight="1" x14ac:dyDescent="0.3">
      <c r="A280" s="334">
        <f>'Unit Data from Audit Worksheet'!A307</f>
        <v>950</v>
      </c>
      <c r="B280" s="132"/>
      <c r="C280" s="333" t="str">
        <f>'Unit Data from Audit Worksheet'!D307</f>
        <v>Has the finance officer been formally appointed by the local government, public authority, or designated official?  (Y/N)</v>
      </c>
      <c r="D280" s="356"/>
      <c r="E280" s="187">
        <f>'Unit Data from Audit Worksheet'!F307</f>
        <v>0</v>
      </c>
      <c r="F280" s="347" t="str">
        <f>'Unit Data from Audit Worksheet'!G307</f>
        <v>Please do not leave blank</v>
      </c>
      <c r="G280" s="349"/>
      <c r="H280" s="346"/>
      <c r="I280" s="38"/>
      <c r="J280" s="176">
        <v>950</v>
      </c>
      <c r="K280" s="641" t="s">
        <v>548</v>
      </c>
      <c r="L280" s="642">
        <f t="shared" si="28"/>
        <v>0</v>
      </c>
      <c r="N280" s="635"/>
      <c r="P280" s="323"/>
      <c r="Q280" s="601">
        <f t="shared" si="29"/>
        <v>1</v>
      </c>
      <c r="W280" s="3" t="b">
        <f t="shared" si="27"/>
        <v>1</v>
      </c>
      <c r="X280" s="566">
        <f t="shared" si="30"/>
        <v>0</v>
      </c>
      <c r="Y280" s="566">
        <f t="shared" si="31"/>
        <v>0</v>
      </c>
    </row>
    <row r="281" spans="1:25" ht="153.75" customHeight="1" x14ac:dyDescent="0.3">
      <c r="A281" s="334">
        <f>'Unit Data from Audit Worksheet'!A308</f>
        <v>952</v>
      </c>
      <c r="B281" s="132"/>
      <c r="C281" s="333" t="str">
        <f>'Unit Data from Audit Worksheet'!D308</f>
        <v>Date on which the local government, public authority, or designated official appointed the finance officer? (If the date of appointment by the board is difficult to find you may enter January 1 and the year)      Date Format  MM/DD/YYYY</v>
      </c>
      <c r="D281" s="356"/>
      <c r="E281" s="136" t="str">
        <f>IF('Unit Data from Audit Worksheet'!F308&gt;0,'Unit Data from Audit Worksheet'!F308," ")</f>
        <v xml:space="preserve"> </v>
      </c>
      <c r="F281" s="347" t="str">
        <f>'Unit Data from Audit Worksheet'!G308</f>
        <v>Leave blank if data not available</v>
      </c>
      <c r="G281" s="349"/>
      <c r="H281" s="346"/>
      <c r="I281" s="38"/>
      <c r="J281" s="176">
        <v>952</v>
      </c>
      <c r="K281" s="641" t="s">
        <v>549</v>
      </c>
      <c r="L281" s="644" t="str">
        <f t="shared" si="28"/>
        <v xml:space="preserve"> </v>
      </c>
      <c r="N281" s="635"/>
      <c r="P281" s="323"/>
      <c r="Q281" s="601">
        <f t="shared" si="29"/>
        <v>0</v>
      </c>
      <c r="W281" s="3" t="b">
        <f t="shared" si="27"/>
        <v>1</v>
      </c>
      <c r="X281" s="566" t="e">
        <f t="shared" si="30"/>
        <v>#VALUE!</v>
      </c>
      <c r="Y281" s="566" t="e">
        <f t="shared" si="31"/>
        <v>#VALUE!</v>
      </c>
    </row>
    <row r="282" spans="1:25" ht="153.75" customHeight="1" x14ac:dyDescent="0.3">
      <c r="A282" s="334">
        <f>'Unit Data from Audit Worksheet'!A309</f>
        <v>954</v>
      </c>
      <c r="B282" s="132"/>
      <c r="C282" s="333" t="str">
        <f>'Unit Data from Audit Worksheet'!D309</f>
        <v>Has the finance officer or interim finance officer read, understand, and is in compliance with the requirements of N.C.G.S. 159, as applicable based on unit type and circumstances? (Y/N)</v>
      </c>
      <c r="D282" s="356"/>
      <c r="E282" s="187">
        <f>'Unit Data from Audit Worksheet'!F309</f>
        <v>0</v>
      </c>
      <c r="F282" s="347" t="str">
        <f>'Unit Data from Audit Worksheet'!G309</f>
        <v>Please do not leave blank</v>
      </c>
      <c r="G282" s="349"/>
      <c r="H282" s="346"/>
      <c r="I282" s="38"/>
      <c r="J282" s="176">
        <v>954</v>
      </c>
      <c r="K282" s="641" t="s">
        <v>550</v>
      </c>
      <c r="L282" s="642">
        <f t="shared" si="28"/>
        <v>0</v>
      </c>
      <c r="N282" s="635"/>
      <c r="P282" s="323"/>
      <c r="Q282" s="601">
        <f t="shared" si="29"/>
        <v>1</v>
      </c>
      <c r="W282" s="3" t="b">
        <f t="shared" si="27"/>
        <v>1</v>
      </c>
      <c r="X282" s="566">
        <f t="shared" si="30"/>
        <v>0</v>
      </c>
      <c r="Y282" s="566">
        <f t="shared" si="31"/>
        <v>0</v>
      </c>
    </row>
    <row r="283" spans="1:25" ht="153.75" customHeight="1" x14ac:dyDescent="0.3">
      <c r="A283" s="334">
        <f>'Unit Data from Audit Worksheet'!A310</f>
        <v>956</v>
      </c>
      <c r="B283" s="132"/>
      <c r="C283" s="333" t="str">
        <f>'Unit Data from Audit Worksheet'!D310</f>
        <v>Does the finance officer or interim finance officer maintain and update (or ensures the maintenance and update of)  financial records monthly, including reconciliation of bank accounts to the general ledger? (Y/N)</v>
      </c>
      <c r="D283" s="356"/>
      <c r="E283" s="187">
        <f>'Unit Data from Audit Worksheet'!F310</f>
        <v>0</v>
      </c>
      <c r="F283" s="347" t="str">
        <f>'Unit Data from Audit Worksheet'!G310</f>
        <v>Please do not leave blank</v>
      </c>
      <c r="G283" s="349"/>
      <c r="H283" s="346"/>
      <c r="I283" s="38"/>
      <c r="J283" s="176">
        <v>956</v>
      </c>
      <c r="K283" s="641" t="s">
        <v>551</v>
      </c>
      <c r="L283" s="642">
        <f t="shared" si="28"/>
        <v>0</v>
      </c>
      <c r="N283" s="635"/>
      <c r="P283" s="323"/>
      <c r="Q283" s="601">
        <f t="shared" si="29"/>
        <v>1</v>
      </c>
      <c r="W283" s="3" t="b">
        <f t="shared" si="27"/>
        <v>1</v>
      </c>
      <c r="X283" s="566">
        <f t="shared" si="30"/>
        <v>0</v>
      </c>
      <c r="Y283" s="566">
        <f t="shared" si="31"/>
        <v>0</v>
      </c>
    </row>
    <row r="284" spans="1:25" ht="201.6" x14ac:dyDescent="0.3">
      <c r="A284" s="334">
        <f>'Unit Data from Audit Worksheet'!A311</f>
        <v>958</v>
      </c>
      <c r="B284" s="132"/>
      <c r="C284" s="333" t="str">
        <f>'Unit Data from Audit Worksheet'!D311</f>
        <v>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v>
      </c>
      <c r="D284" s="356"/>
      <c r="E284" s="187">
        <f>'Unit Data from Audit Worksheet'!F311</f>
        <v>0</v>
      </c>
      <c r="F284" s="347" t="str">
        <f>'Unit Data from Audit Worksheet'!G311</f>
        <v>Please do not leave blank</v>
      </c>
      <c r="G284" s="349"/>
      <c r="H284" s="346"/>
      <c r="I284" s="38"/>
      <c r="J284" s="176">
        <v>958</v>
      </c>
      <c r="K284" s="641" t="s">
        <v>552</v>
      </c>
      <c r="L284" s="645">
        <f t="shared" si="28"/>
        <v>0</v>
      </c>
      <c r="N284" s="635"/>
      <c r="P284" s="323"/>
      <c r="Q284" s="601">
        <f t="shared" si="29"/>
        <v>1</v>
      </c>
      <c r="W284" s="3" t="b">
        <f t="shared" si="27"/>
        <v>1</v>
      </c>
      <c r="X284" s="566">
        <f t="shared" si="30"/>
        <v>0</v>
      </c>
      <c r="Y284" s="566">
        <f t="shared" si="31"/>
        <v>0</v>
      </c>
    </row>
    <row r="285" spans="1:25" ht="30.75" customHeight="1" x14ac:dyDescent="0.3">
      <c r="A285" s="646">
        <f>'Unit Data from Audit Worksheet'!A319</f>
        <v>960</v>
      </c>
      <c r="B285" s="183"/>
      <c r="C285" s="184" t="str">
        <f>'Unit Data from Audit Worksheet'!B319</f>
        <v>Name of Finance Officer</v>
      </c>
      <c r="D285" s="356"/>
      <c r="E285" s="647">
        <f>'Unit Data from Audit Worksheet'!D319</f>
        <v>0</v>
      </c>
      <c r="F285" s="648" t="str">
        <f>'Unit Data from Audit Worksheet'!F319</f>
        <v>Required</v>
      </c>
      <c r="G285" s="349"/>
      <c r="H285" s="346"/>
      <c r="I285" s="38"/>
      <c r="J285" s="186">
        <v>960</v>
      </c>
      <c r="K285" s="649" t="s">
        <v>543</v>
      </c>
      <c r="L285" s="650">
        <f t="shared" si="28"/>
        <v>0</v>
      </c>
      <c r="N285" s="593"/>
      <c r="P285" s="323"/>
      <c r="Q285" s="601">
        <f>IF(L285=0,1,0)</f>
        <v>1</v>
      </c>
      <c r="X285" s="566"/>
      <c r="Y285" s="566"/>
    </row>
    <row r="286" spans="1:25" ht="30.75" customHeight="1" x14ac:dyDescent="0.3">
      <c r="A286" s="646">
        <f>'Unit Data from Audit Worksheet'!A320</f>
        <v>962</v>
      </c>
      <c r="B286" s="183"/>
      <c r="C286" s="184" t="str">
        <f>'Unit Data from Audit Worksheet'!B320</f>
        <v>Title of Official</v>
      </c>
      <c r="D286" s="356"/>
      <c r="E286" s="647">
        <f>'Unit Data from Audit Worksheet'!D320</f>
        <v>0</v>
      </c>
      <c r="F286" s="648" t="str">
        <f>'Unit Data from Audit Worksheet'!F320</f>
        <v>Required</v>
      </c>
      <c r="G286" s="349"/>
      <c r="H286" s="346"/>
      <c r="I286" s="38"/>
      <c r="J286" s="186">
        <v>962</v>
      </c>
      <c r="K286" s="649" t="s">
        <v>503</v>
      </c>
      <c r="L286" s="650">
        <f t="shared" si="28"/>
        <v>0</v>
      </c>
      <c r="N286" s="593"/>
      <c r="P286" s="323"/>
      <c r="Q286" s="601">
        <f>IF(L286=0,1,0)</f>
        <v>1</v>
      </c>
      <c r="X286" s="566"/>
      <c r="Y286" s="566"/>
    </row>
    <row r="287" spans="1:25" ht="30.75" customHeight="1" x14ac:dyDescent="0.3">
      <c r="A287" s="646">
        <f>'Unit Data from Audit Worksheet'!A321</f>
        <v>964</v>
      </c>
      <c r="B287" s="183"/>
      <c r="C287" s="185" t="str">
        <f>'Unit Data from Audit Worksheet'!B321</f>
        <v>Date                        (Enter as "MM/DD/YYYY")</v>
      </c>
      <c r="D287" s="356"/>
      <c r="E287" s="651" t="str">
        <f>IF('Unit Data from Audit Worksheet'!D321&gt;0,'Unit Data from Audit Worksheet'!D321," ")</f>
        <v xml:space="preserve"> </v>
      </c>
      <c r="F287" s="648" t="str">
        <f>'Unit Data from Audit Worksheet'!F321</f>
        <v>Required</v>
      </c>
      <c r="G287" s="349"/>
      <c r="H287" s="346"/>
      <c r="I287" s="38"/>
      <c r="J287" s="186">
        <v>964</v>
      </c>
      <c r="K287" s="649" t="s">
        <v>584</v>
      </c>
      <c r="L287" s="652" t="str">
        <f t="shared" si="28"/>
        <v xml:space="preserve"> </v>
      </c>
      <c r="N287" s="593"/>
      <c r="P287" s="323"/>
      <c r="Q287" s="601">
        <f>IF(L287=0,1,0)</f>
        <v>0</v>
      </c>
      <c r="X287" s="566"/>
      <c r="Y287" s="566"/>
    </row>
    <row r="288" spans="1:25" ht="30.75" customHeight="1" x14ac:dyDescent="0.3">
      <c r="A288" s="646">
        <f>'Unit Data from Audit Worksheet'!A322</f>
        <v>966</v>
      </c>
      <c r="B288" s="183"/>
      <c r="C288" s="184" t="str">
        <f>'Unit Data from Audit Worksheet'!B322</f>
        <v>Telephone number</v>
      </c>
      <c r="D288" s="356"/>
      <c r="E288" s="647">
        <f>'Unit Data from Audit Worksheet'!D322</f>
        <v>0</v>
      </c>
      <c r="F288" s="648" t="str">
        <f>'Unit Data from Audit Worksheet'!F322</f>
        <v>Required</v>
      </c>
      <c r="G288" s="349"/>
      <c r="H288" s="346"/>
      <c r="I288" s="38"/>
      <c r="J288" s="186">
        <v>966</v>
      </c>
      <c r="K288" s="649" t="s">
        <v>505</v>
      </c>
      <c r="L288" s="650">
        <f t="shared" si="28"/>
        <v>0</v>
      </c>
      <c r="N288" s="593"/>
      <c r="P288" s="323"/>
      <c r="Q288" s="601">
        <f>IF(L288=0,1,0)</f>
        <v>1</v>
      </c>
      <c r="X288" s="566"/>
      <c r="Y288" s="566"/>
    </row>
    <row r="289" spans="1:25" ht="30.75" customHeight="1" x14ac:dyDescent="0.3">
      <c r="A289" s="646">
        <f>'Unit Data from Audit Worksheet'!A323</f>
        <v>968</v>
      </c>
      <c r="B289" s="183"/>
      <c r="C289" s="184" t="str">
        <f>'Unit Data from Audit Worksheet'!B323</f>
        <v>E-mail address</v>
      </c>
      <c r="D289" s="356"/>
      <c r="E289" s="647">
        <f>'Unit Data from Audit Worksheet'!D323</f>
        <v>0</v>
      </c>
      <c r="F289" s="648" t="str">
        <f>'Unit Data from Audit Worksheet'!F323</f>
        <v>Required</v>
      </c>
      <c r="G289" s="349"/>
      <c r="H289" s="346"/>
      <c r="I289" s="38"/>
      <c r="J289" s="186">
        <v>968</v>
      </c>
      <c r="K289" s="649" t="s">
        <v>506</v>
      </c>
      <c r="L289" s="650">
        <f t="shared" si="28"/>
        <v>0</v>
      </c>
      <c r="N289" s="593"/>
      <c r="P289" s="323"/>
      <c r="Q289" s="601">
        <f>IF(L289=0,1,0)</f>
        <v>1</v>
      </c>
      <c r="X289" s="566"/>
      <c r="Y289" s="566"/>
    </row>
    <row r="290" spans="1:25" ht="75.599999999999994" customHeight="1" x14ac:dyDescent="0.3">
      <c r="A290" s="653">
        <f>+'TD Info Completed by Auditor'!D74</f>
        <v>980</v>
      </c>
      <c r="B290" s="366" t="s">
        <v>823</v>
      </c>
      <c r="C290" s="381" t="str">
        <f>+'TD Info Completed by Auditor'!E74</f>
        <v>Date the Auditor presented or plans to present the Audit to the Governing Board</v>
      </c>
      <c r="D290" s="356"/>
      <c r="E290" s="654" t="str">
        <f>IF('TD Info Completed by Auditor'!G74&gt;0,'TD Info Completed by Auditor'!G74," ")</f>
        <v xml:space="preserve"> </v>
      </c>
      <c r="F290" s="655" t="s">
        <v>1032</v>
      </c>
      <c r="G290" s="349"/>
      <c r="H290" s="346"/>
      <c r="I290" s="38"/>
      <c r="J290" s="382">
        <v>980</v>
      </c>
      <c r="K290" s="383" t="s">
        <v>784</v>
      </c>
      <c r="L290" s="656" t="str">
        <f t="shared" si="28"/>
        <v xml:space="preserve"> </v>
      </c>
      <c r="N290" s="593"/>
      <c r="P290" s="323"/>
      <c r="Q290" s="601"/>
      <c r="X290" s="566"/>
      <c r="Y290" s="566"/>
    </row>
    <row r="291" spans="1:25" ht="83.4" customHeight="1" x14ac:dyDescent="0.3">
      <c r="A291" s="623"/>
      <c r="B291" s="97"/>
      <c r="C291" s="624"/>
      <c r="D291" s="626"/>
      <c r="E291" s="627"/>
      <c r="F291" s="628"/>
      <c r="G291" s="629"/>
      <c r="H291" s="630"/>
      <c r="I291" s="38"/>
      <c r="J291" s="176">
        <v>999</v>
      </c>
      <c r="K291" s="641" t="s">
        <v>288</v>
      </c>
      <c r="L291" s="657" t="e">
        <f>'Unit Data from Audit Worksheet'!D3</f>
        <v>#N/A</v>
      </c>
      <c r="M291" s="619"/>
      <c r="N291" s="658" t="s">
        <v>1031</v>
      </c>
      <c r="O291" s="658" t="s">
        <v>1030</v>
      </c>
      <c r="P291" s="323"/>
      <c r="W291" s="3" t="b">
        <f>EXACT(A291,J291)</f>
        <v>0</v>
      </c>
      <c r="X291" s="566" t="e">
        <f t="shared" si="30"/>
        <v>#N/A</v>
      </c>
      <c r="Y291" s="566" t="e">
        <f t="shared" si="31"/>
        <v>#N/A</v>
      </c>
    </row>
    <row r="292" spans="1:25" x14ac:dyDescent="0.3">
      <c r="A292" s="296"/>
      <c r="B292" s="296"/>
      <c r="C292" s="296"/>
      <c r="D292" s="296"/>
      <c r="E292" s="296"/>
      <c r="F292" s="296"/>
      <c r="G292" s="296"/>
      <c r="H292" s="296"/>
      <c r="I292" s="296"/>
      <c r="J292" s="3"/>
      <c r="K292" s="3"/>
      <c r="L292" s="3"/>
      <c r="N292" s="4"/>
      <c r="P292" s="324"/>
    </row>
    <row r="293" spans="1:25" x14ac:dyDescent="0.3">
      <c r="D293" s="660"/>
      <c r="E293" s="661"/>
      <c r="F293" s="661"/>
      <c r="G293" s="662"/>
      <c r="H293" s="661"/>
      <c r="I293" s="663"/>
      <c r="K293" s="10"/>
      <c r="L293" s="664"/>
      <c r="N293" s="4"/>
      <c r="P293" s="324"/>
    </row>
    <row r="294" spans="1:25" ht="18" x14ac:dyDescent="0.35">
      <c r="A294" s="165" t="s">
        <v>437</v>
      </c>
      <c r="B294" s="166"/>
      <c r="C294" s="167"/>
      <c r="D294" s="168"/>
      <c r="E294" s="169"/>
      <c r="F294" s="661"/>
      <c r="G294" s="662"/>
      <c r="H294" s="661"/>
      <c r="I294" s="663"/>
      <c r="L294" s="664"/>
      <c r="N294" s="4"/>
      <c r="P294" s="324"/>
    </row>
    <row r="295" spans="1:25" ht="117" customHeight="1" x14ac:dyDescent="0.7">
      <c r="A295" s="334">
        <f>'Unit Data from Audit Worksheet'!A88</f>
        <v>590</v>
      </c>
      <c r="B295" s="334" t="str">
        <f>'Unit Data from Audit Worksheet'!B88</f>
        <v>Fiscal Review</v>
      </c>
      <c r="C295" s="81" t="str">
        <f>'Unit Data from Audit Worksheet'!D88</f>
        <v>If you appropriated General Fund Balance in your 2021 budget and your "change in fund balance": (account # 9 above) is negative, please select from the drop down box in column F either "operations" or "capital", whichever best describes what the fund balance was used for.  If you select "Capital" please briefly describe in column G to the right the capital items.</v>
      </c>
      <c r="D295" s="80"/>
      <c r="E295" s="104">
        <f>'Unit Data from Audit Worksheet'!F88</f>
        <v>0</v>
      </c>
      <c r="F295" s="80">
        <f>'Unit Data from Audit Worksheet'!G88</f>
        <v>0</v>
      </c>
      <c r="G295" s="662"/>
      <c r="H295" s="661"/>
      <c r="I295" s="663"/>
      <c r="J295" s="158" t="e">
        <f>SUM(Q5:Q295)</f>
        <v>#N/A</v>
      </c>
      <c r="K295" s="157" t="s">
        <v>540</v>
      </c>
      <c r="L295" s="664" t="e">
        <f>SUM(G5:G245)</f>
        <v>#N/A</v>
      </c>
      <c r="N295" s="4"/>
      <c r="P295" s="324"/>
    </row>
    <row r="296" spans="1:25" ht="14.25" customHeight="1" x14ac:dyDescent="0.3">
      <c r="A296" s="296"/>
      <c r="B296" s="296"/>
      <c r="C296" s="296"/>
      <c r="D296" s="296"/>
      <c r="E296" s="296"/>
      <c r="F296" s="661"/>
      <c r="G296" s="662"/>
      <c r="H296" s="661"/>
      <c r="I296" s="663"/>
      <c r="K296" s="10"/>
      <c r="L296" s="665"/>
      <c r="P296" s="324"/>
      <c r="Q296" s="85"/>
    </row>
    <row r="297" spans="1:25" x14ac:dyDescent="0.3">
      <c r="A297" s="296"/>
      <c r="B297" s="296"/>
      <c r="C297" s="296"/>
      <c r="D297" s="296"/>
      <c r="E297" s="296"/>
      <c r="F297" s="661"/>
      <c r="G297" s="662"/>
      <c r="H297" s="661"/>
      <c r="I297" s="663"/>
      <c r="K297" s="10"/>
      <c r="L297" s="665"/>
      <c r="P297" s="324"/>
    </row>
    <row r="298" spans="1:25" ht="18.75" customHeight="1" x14ac:dyDescent="0.3">
      <c r="A298" s="296"/>
      <c r="B298" s="296"/>
      <c r="C298" s="296"/>
      <c r="D298" s="296"/>
      <c r="E298" s="296"/>
      <c r="F298" s="661"/>
      <c r="G298" s="662"/>
      <c r="H298" s="661"/>
      <c r="I298" s="663"/>
      <c r="J298" s="5">
        <f>SUM(J5:J245)</f>
        <v>98821</v>
      </c>
      <c r="K298" s="10"/>
      <c r="L298" s="665"/>
      <c r="P298" s="324"/>
    </row>
    <row r="299" spans="1:25" ht="30.75" customHeight="1" x14ac:dyDescent="0.3">
      <c r="A299" s="296"/>
      <c r="B299" s="296"/>
      <c r="C299" s="296"/>
      <c r="D299" s="296"/>
      <c r="E299" s="296"/>
      <c r="F299" s="661"/>
      <c r="G299" s="662"/>
      <c r="H299" s="661"/>
      <c r="I299" s="663"/>
      <c r="J299" s="5">
        <f>SUM(J261:J265)+SUM(J277:J290)</f>
        <v>13934</v>
      </c>
      <c r="K299" s="10"/>
      <c r="L299" s="665"/>
      <c r="P299" s="324"/>
    </row>
    <row r="300" spans="1:25" ht="30.75" customHeight="1" x14ac:dyDescent="0.3">
      <c r="A300" s="296"/>
      <c r="B300" s="296"/>
      <c r="C300" s="296"/>
      <c r="D300" s="296"/>
      <c r="E300" s="296"/>
      <c r="F300" s="661"/>
      <c r="G300" s="662"/>
      <c r="H300" s="661"/>
      <c r="I300" s="663"/>
      <c r="J300" s="5">
        <f>+J298+J299</f>
        <v>112755</v>
      </c>
      <c r="K300" s="10"/>
      <c r="L300" s="665"/>
      <c r="P300" s="324"/>
    </row>
    <row r="301" spans="1:25" ht="30.75" customHeight="1" x14ac:dyDescent="0.3">
      <c r="A301" s="296"/>
      <c r="B301" s="296"/>
      <c r="C301" s="296"/>
      <c r="D301" s="296"/>
      <c r="E301" s="296"/>
      <c r="F301" s="661"/>
      <c r="G301" s="662"/>
      <c r="H301" s="661"/>
      <c r="I301" s="663"/>
      <c r="J301" s="5">
        <f>+'Unit Data from Audit Worksheet'!A327</f>
        <v>38722</v>
      </c>
      <c r="K301" s="10"/>
      <c r="L301" s="665"/>
      <c r="P301" s="324"/>
    </row>
    <row r="302" spans="1:25" ht="30.75" customHeight="1" x14ac:dyDescent="0.3">
      <c r="A302" s="296"/>
      <c r="B302" s="296"/>
      <c r="C302" s="296"/>
      <c r="D302" s="296"/>
      <c r="E302" s="296"/>
      <c r="F302" s="661"/>
      <c r="G302" s="662"/>
      <c r="H302" s="661"/>
      <c r="I302" s="663"/>
      <c r="J302" s="5">
        <f>+J300-J301</f>
        <v>74033</v>
      </c>
      <c r="K302" s="10"/>
      <c r="L302" s="665"/>
      <c r="P302" s="324"/>
    </row>
    <row r="303" spans="1:25" ht="30.75" customHeight="1" x14ac:dyDescent="0.3">
      <c r="A303" s="296"/>
      <c r="B303" s="296"/>
      <c r="C303" s="296"/>
      <c r="D303" s="296"/>
      <c r="E303" s="296"/>
      <c r="F303" s="661"/>
      <c r="G303" s="662"/>
      <c r="H303" s="661"/>
      <c r="I303" s="663"/>
      <c r="K303" s="10"/>
      <c r="L303" s="665"/>
      <c r="P303" s="324"/>
    </row>
    <row r="304" spans="1:25" x14ac:dyDescent="0.3">
      <c r="A304" s="296"/>
      <c r="B304" s="296"/>
      <c r="C304" s="296"/>
      <c r="D304" s="296"/>
      <c r="E304" s="296"/>
      <c r="I304" s="663"/>
      <c r="K304" s="10"/>
      <c r="L304" s="665"/>
      <c r="P304" s="324"/>
    </row>
    <row r="305" spans="1:16" x14ac:dyDescent="0.3">
      <c r="A305" s="296"/>
      <c r="B305" s="296"/>
      <c r="C305" s="296"/>
      <c r="D305" s="296"/>
      <c r="E305" s="296"/>
      <c r="I305" s="663"/>
      <c r="L305" s="665"/>
      <c r="P305" s="324"/>
    </row>
    <row r="306" spans="1:16" x14ac:dyDescent="0.3">
      <c r="A306" s="5"/>
      <c r="B306" s="666"/>
      <c r="C306" s="26"/>
      <c r="D306" s="79"/>
      <c r="I306" s="663"/>
      <c r="L306" s="665"/>
      <c r="P306" s="324"/>
    </row>
    <row r="307" spans="1:16" x14ac:dyDescent="0.3">
      <c r="A307" s="5"/>
      <c r="B307" s="666"/>
      <c r="C307" s="26"/>
      <c r="D307" s="79"/>
      <c r="L307" s="665"/>
      <c r="P307" s="324"/>
    </row>
    <row r="308" spans="1:16" x14ac:dyDescent="0.3">
      <c r="D308" s="79"/>
      <c r="P308" s="324"/>
    </row>
    <row r="309" spans="1:16" x14ac:dyDescent="0.3">
      <c r="D309" s="79"/>
      <c r="P309" s="324"/>
    </row>
    <row r="310" spans="1:16" x14ac:dyDescent="0.3">
      <c r="D310" s="79"/>
      <c r="P310" s="324"/>
    </row>
    <row r="311" spans="1:16" x14ac:dyDescent="0.3">
      <c r="D311" s="79"/>
      <c r="P311" s="324"/>
    </row>
    <row r="312" spans="1:16" x14ac:dyDescent="0.3">
      <c r="A312" s="5"/>
      <c r="B312" s="666"/>
      <c r="C312" s="26"/>
      <c r="D312" s="79"/>
      <c r="P312" s="324"/>
    </row>
    <row r="313" spans="1:16" x14ac:dyDescent="0.3">
      <c r="A313" s="5"/>
      <c r="B313" s="666"/>
      <c r="C313" s="26"/>
      <c r="D313" s="79"/>
      <c r="P313" s="324"/>
    </row>
    <row r="314" spans="1:16" x14ac:dyDescent="0.3">
      <c r="D314" s="79"/>
      <c r="P314" s="324"/>
    </row>
    <row r="315" spans="1:16" x14ac:dyDescent="0.3">
      <c r="D315" s="79"/>
      <c r="P315" s="324"/>
    </row>
    <row r="316" spans="1:16" x14ac:dyDescent="0.3">
      <c r="D316" s="79"/>
      <c r="P316" s="324"/>
    </row>
    <row r="317" spans="1:16" x14ac:dyDescent="0.3">
      <c r="D317" s="79"/>
      <c r="P317" s="324"/>
    </row>
    <row r="318" spans="1:16" x14ac:dyDescent="0.3">
      <c r="A318" s="5"/>
      <c r="B318" s="666"/>
      <c r="C318" s="26"/>
      <c r="D318" s="79"/>
      <c r="P318" s="324"/>
    </row>
    <row r="319" spans="1:16" x14ac:dyDescent="0.3">
      <c r="A319" s="5"/>
      <c r="B319" s="666"/>
      <c r="C319" s="26"/>
      <c r="D319" s="79"/>
      <c r="P319" s="324"/>
    </row>
    <row r="320" spans="1:16" x14ac:dyDescent="0.3">
      <c r="D320" s="79"/>
      <c r="P320" s="324"/>
    </row>
    <row r="321" spans="1:16" x14ac:dyDescent="0.3">
      <c r="D321" s="79"/>
      <c r="P321" s="324"/>
    </row>
    <row r="322" spans="1:16" x14ac:dyDescent="0.3">
      <c r="D322" s="79"/>
      <c r="P322" s="324"/>
    </row>
    <row r="323" spans="1:16" x14ac:dyDescent="0.3">
      <c r="D323" s="79"/>
      <c r="P323" s="324"/>
    </row>
    <row r="324" spans="1:16" x14ac:dyDescent="0.3">
      <c r="A324" s="5"/>
      <c r="B324" s="666"/>
      <c r="C324" s="26"/>
      <c r="D324" s="79"/>
      <c r="P324" s="324"/>
    </row>
    <row r="325" spans="1:16" x14ac:dyDescent="0.3">
      <c r="A325" s="5"/>
      <c r="B325" s="666"/>
      <c r="C325" s="26"/>
      <c r="D325" s="79"/>
      <c r="P325" s="324"/>
    </row>
    <row r="326" spans="1:16" x14ac:dyDescent="0.3">
      <c r="A326" s="5"/>
      <c r="B326" s="666"/>
      <c r="C326" s="26"/>
      <c r="D326" s="79"/>
      <c r="P326" s="324"/>
    </row>
    <row r="327" spans="1:16" x14ac:dyDescent="0.3">
      <c r="A327" s="5"/>
      <c r="B327" s="666"/>
      <c r="C327" s="26"/>
      <c r="D327" s="79"/>
      <c r="P327" s="324"/>
    </row>
    <row r="328" spans="1:16" x14ac:dyDescent="0.3">
      <c r="D328" s="79"/>
      <c r="P328" s="324"/>
    </row>
    <row r="329" spans="1:16" x14ac:dyDescent="0.3">
      <c r="D329" s="79"/>
      <c r="P329" s="324"/>
    </row>
    <row r="330" spans="1:16" x14ac:dyDescent="0.3">
      <c r="D330" s="79"/>
      <c r="P330" s="324"/>
    </row>
    <row r="331" spans="1:16" x14ac:dyDescent="0.3">
      <c r="A331" s="5"/>
      <c r="B331" s="666"/>
      <c r="C331" s="26"/>
      <c r="D331" s="79"/>
      <c r="P331" s="324"/>
    </row>
    <row r="332" spans="1:16" x14ac:dyDescent="0.3">
      <c r="A332" s="5"/>
      <c r="B332" s="666"/>
      <c r="C332" s="26"/>
      <c r="D332" s="79"/>
      <c r="P332" s="324"/>
    </row>
    <row r="333" spans="1:16" x14ac:dyDescent="0.3">
      <c r="A333" s="5"/>
      <c r="B333" s="666"/>
      <c r="C333" s="26"/>
      <c r="D333" s="79"/>
      <c r="P333" s="324"/>
    </row>
    <row r="334" spans="1:16" x14ac:dyDescent="0.3">
      <c r="A334" s="5"/>
      <c r="B334" s="666"/>
      <c r="C334" s="26"/>
      <c r="D334" s="79"/>
      <c r="P334" s="324"/>
    </row>
    <row r="335" spans="1:16" x14ac:dyDescent="0.3">
      <c r="A335" s="5"/>
      <c r="B335" s="666"/>
      <c r="C335" s="26"/>
      <c r="D335" s="79"/>
      <c r="P335" s="324"/>
    </row>
    <row r="336" spans="1:16" x14ac:dyDescent="0.3">
      <c r="A336" s="5"/>
      <c r="B336" s="666"/>
      <c r="C336" s="26"/>
      <c r="D336" s="79"/>
      <c r="P336" s="324"/>
    </row>
    <row r="337" spans="1:16" x14ac:dyDescent="0.3">
      <c r="A337" s="5"/>
      <c r="B337" s="666"/>
      <c r="C337" s="26"/>
      <c r="D337" s="79"/>
      <c r="P337" s="324"/>
    </row>
    <row r="338" spans="1:16" x14ac:dyDescent="0.3">
      <c r="A338" s="5"/>
      <c r="B338" s="666"/>
      <c r="C338" s="26"/>
      <c r="D338" s="79"/>
      <c r="P338" s="324"/>
    </row>
    <row r="339" spans="1:16" x14ac:dyDescent="0.3">
      <c r="A339" s="5"/>
      <c r="B339" s="666"/>
      <c r="C339" s="26"/>
      <c r="D339" s="79"/>
      <c r="P339" s="324"/>
    </row>
    <row r="340" spans="1:16" x14ac:dyDescent="0.3">
      <c r="A340" s="5"/>
      <c r="B340" s="666"/>
      <c r="C340" s="26"/>
      <c r="D340" s="79"/>
      <c r="P340" s="324"/>
    </row>
    <row r="341" spans="1:16" x14ac:dyDescent="0.3">
      <c r="A341" s="5"/>
      <c r="B341" s="666"/>
      <c r="C341" s="26"/>
      <c r="D341" s="79"/>
      <c r="P341" s="324"/>
    </row>
    <row r="342" spans="1:16" x14ac:dyDescent="0.3">
      <c r="A342" s="5"/>
      <c r="B342" s="666"/>
      <c r="C342" s="26"/>
      <c r="D342" s="79"/>
      <c r="P342" s="324"/>
    </row>
    <row r="343" spans="1:16" x14ac:dyDescent="0.3">
      <c r="A343" s="5"/>
      <c r="B343" s="666"/>
      <c r="C343" s="26"/>
      <c r="D343" s="79"/>
      <c r="P343" s="324"/>
    </row>
    <row r="344" spans="1:16" x14ac:dyDescent="0.3">
      <c r="A344" s="5"/>
      <c r="B344" s="666"/>
      <c r="C344" s="26"/>
      <c r="D344" s="79"/>
      <c r="P344" s="324"/>
    </row>
    <row r="345" spans="1:16" x14ac:dyDescent="0.3">
      <c r="A345" s="5"/>
      <c r="B345" s="666"/>
      <c r="C345" s="26"/>
      <c r="D345" s="79"/>
      <c r="P345" s="324"/>
    </row>
    <row r="346" spans="1:16" x14ac:dyDescent="0.3">
      <c r="A346" s="5"/>
      <c r="B346" s="666"/>
      <c r="C346" s="26"/>
      <c r="D346" s="79"/>
      <c r="P346" s="324"/>
    </row>
    <row r="347" spans="1:16" x14ac:dyDescent="0.3">
      <c r="A347" s="5"/>
      <c r="B347" s="666"/>
      <c r="C347" s="26"/>
      <c r="D347" s="79"/>
      <c r="P347" s="324"/>
    </row>
    <row r="348" spans="1:16" x14ac:dyDescent="0.3">
      <c r="A348" s="5"/>
      <c r="B348" s="666"/>
      <c r="C348" s="26"/>
      <c r="D348" s="79"/>
      <c r="P348" s="324"/>
    </row>
    <row r="349" spans="1:16" x14ac:dyDescent="0.3">
      <c r="A349" s="5"/>
      <c r="B349" s="666"/>
      <c r="C349" s="26"/>
      <c r="D349" s="79"/>
      <c r="P349" s="324"/>
    </row>
    <row r="350" spans="1:16" x14ac:dyDescent="0.3">
      <c r="A350" s="5"/>
      <c r="B350" s="666"/>
      <c r="C350" s="26"/>
      <c r="D350" s="79"/>
      <c r="P350" s="324"/>
    </row>
    <row r="351" spans="1:16" x14ac:dyDescent="0.3">
      <c r="A351" s="5"/>
      <c r="B351" s="666"/>
      <c r="C351" s="26"/>
      <c r="D351" s="79"/>
      <c r="P351" s="324"/>
    </row>
    <row r="352" spans="1:16" x14ac:dyDescent="0.3">
      <c r="A352" s="5"/>
      <c r="B352" s="666"/>
      <c r="C352" s="26"/>
      <c r="D352" s="79"/>
      <c r="P352" s="324"/>
    </row>
    <row r="353" spans="1:16" x14ac:dyDescent="0.3">
      <c r="A353" s="5"/>
      <c r="B353" s="666"/>
      <c r="C353" s="26"/>
      <c r="D353" s="79"/>
      <c r="P353" s="324"/>
    </row>
    <row r="354" spans="1:16" x14ac:dyDescent="0.3">
      <c r="A354" s="5"/>
      <c r="B354" s="666"/>
      <c r="C354" s="26"/>
      <c r="D354" s="79"/>
      <c r="P354" s="324"/>
    </row>
    <row r="355" spans="1:16" x14ac:dyDescent="0.3">
      <c r="A355" s="5"/>
      <c r="B355" s="666"/>
      <c r="C355" s="26"/>
      <c r="D355" s="79"/>
      <c r="P355" s="324"/>
    </row>
    <row r="356" spans="1:16" x14ac:dyDescent="0.3">
      <c r="A356" s="5"/>
      <c r="B356" s="666"/>
      <c r="C356" s="26"/>
      <c r="D356" s="79"/>
      <c r="P356" s="324"/>
    </row>
    <row r="357" spans="1:16" x14ac:dyDescent="0.3">
      <c r="A357" s="5"/>
      <c r="B357" s="666"/>
      <c r="C357" s="26"/>
      <c r="D357" s="79"/>
      <c r="P357" s="324"/>
    </row>
    <row r="358" spans="1:16" x14ac:dyDescent="0.3">
      <c r="A358" s="5"/>
      <c r="B358" s="666"/>
      <c r="C358" s="26"/>
      <c r="D358" s="79"/>
      <c r="P358" s="324"/>
    </row>
    <row r="359" spans="1:16" x14ac:dyDescent="0.3">
      <c r="A359" s="5"/>
      <c r="B359" s="666"/>
      <c r="C359" s="26"/>
      <c r="D359" s="79"/>
      <c r="P359" s="324"/>
    </row>
    <row r="360" spans="1:16" x14ac:dyDescent="0.3">
      <c r="A360" s="5"/>
      <c r="B360" s="666"/>
      <c r="C360" s="26"/>
      <c r="D360" s="79"/>
      <c r="P360" s="324"/>
    </row>
    <row r="361" spans="1:16" x14ac:dyDescent="0.3">
      <c r="A361" s="5"/>
      <c r="B361" s="666"/>
      <c r="C361" s="26"/>
      <c r="D361" s="79"/>
      <c r="P361" s="324"/>
    </row>
    <row r="362" spans="1:16" x14ac:dyDescent="0.3">
      <c r="A362" s="5"/>
      <c r="B362" s="666"/>
      <c r="C362" s="26"/>
      <c r="D362" s="79"/>
      <c r="P362" s="324"/>
    </row>
    <row r="363" spans="1:16" x14ac:dyDescent="0.3">
      <c r="A363" s="5"/>
      <c r="B363" s="666"/>
      <c r="C363" s="26"/>
      <c r="D363" s="79"/>
      <c r="P363" s="324"/>
    </row>
    <row r="364" spans="1:16" x14ac:dyDescent="0.3">
      <c r="A364" s="5"/>
      <c r="B364" s="666"/>
      <c r="C364" s="26"/>
      <c r="D364" s="79"/>
      <c r="P364" s="324"/>
    </row>
    <row r="365" spans="1:16" x14ac:dyDescent="0.3">
      <c r="A365" s="5"/>
      <c r="B365" s="666"/>
      <c r="C365" s="26"/>
      <c r="D365" s="79"/>
      <c r="P365" s="324"/>
    </row>
    <row r="366" spans="1:16" x14ac:dyDescent="0.3">
      <c r="A366" s="5"/>
      <c r="B366" s="666"/>
      <c r="C366" s="26"/>
      <c r="D366" s="79"/>
      <c r="P366" s="324"/>
    </row>
    <row r="367" spans="1:16" x14ac:dyDescent="0.3">
      <c r="A367" s="5"/>
      <c r="B367" s="666"/>
      <c r="C367" s="26"/>
      <c r="D367" s="79"/>
      <c r="P367" s="324"/>
    </row>
    <row r="368" spans="1:16" x14ac:dyDescent="0.3">
      <c r="A368" s="5"/>
      <c r="B368" s="666"/>
      <c r="C368" s="26"/>
      <c r="D368" s="79"/>
      <c r="P368" s="324"/>
    </row>
    <row r="369" spans="1:16" x14ac:dyDescent="0.3">
      <c r="A369" s="5"/>
      <c r="B369" s="666"/>
      <c r="C369" s="26"/>
      <c r="D369" s="79"/>
      <c r="P369" s="324"/>
    </row>
    <row r="370" spans="1:16" x14ac:dyDescent="0.3">
      <c r="A370" s="5"/>
      <c r="B370" s="666"/>
      <c r="C370" s="26"/>
      <c r="D370" s="79"/>
      <c r="P370" s="324"/>
    </row>
    <row r="371" spans="1:16" x14ac:dyDescent="0.3">
      <c r="A371" s="5"/>
      <c r="B371" s="666"/>
      <c r="C371" s="26"/>
      <c r="D371" s="79"/>
      <c r="P371" s="324"/>
    </row>
    <row r="372" spans="1:16" x14ac:dyDescent="0.3">
      <c r="A372" s="5"/>
      <c r="B372" s="666"/>
      <c r="C372" s="26"/>
      <c r="D372" s="79"/>
      <c r="P372" s="324"/>
    </row>
    <row r="373" spans="1:16" x14ac:dyDescent="0.3">
      <c r="A373" s="5"/>
      <c r="B373" s="666"/>
      <c r="C373" s="26"/>
      <c r="D373" s="79"/>
      <c r="P373" s="324"/>
    </row>
    <row r="374" spans="1:16" x14ac:dyDescent="0.3">
      <c r="A374" s="5"/>
      <c r="B374" s="666"/>
      <c r="C374" s="26"/>
      <c r="D374" s="79"/>
      <c r="P374" s="324"/>
    </row>
    <row r="375" spans="1:16" x14ac:dyDescent="0.3">
      <c r="A375" s="5"/>
      <c r="B375" s="666"/>
      <c r="C375" s="26"/>
      <c r="D375" s="79"/>
      <c r="P375" s="324"/>
    </row>
    <row r="376" spans="1:16" x14ac:dyDescent="0.3">
      <c r="A376" s="5"/>
      <c r="B376" s="666"/>
      <c r="C376" s="26"/>
      <c r="D376" s="79"/>
      <c r="P376" s="324"/>
    </row>
    <row r="377" spans="1:16" x14ac:dyDescent="0.3">
      <c r="A377" s="5"/>
      <c r="B377" s="666"/>
      <c r="C377" s="26"/>
      <c r="D377" s="79"/>
      <c r="P377" s="324"/>
    </row>
    <row r="378" spans="1:16" x14ac:dyDescent="0.3">
      <c r="A378" s="5"/>
      <c r="B378" s="666"/>
      <c r="C378" s="26"/>
      <c r="D378" s="79"/>
      <c r="P378" s="324"/>
    </row>
    <row r="379" spans="1:16" x14ac:dyDescent="0.3">
      <c r="A379" s="5"/>
      <c r="B379" s="666"/>
      <c r="C379" s="26"/>
      <c r="D379" s="79"/>
      <c r="P379" s="324"/>
    </row>
    <row r="380" spans="1:16" x14ac:dyDescent="0.3">
      <c r="A380" s="5"/>
      <c r="B380" s="666"/>
      <c r="C380" s="26"/>
      <c r="D380" s="79"/>
      <c r="P380" s="324"/>
    </row>
    <row r="381" spans="1:16" x14ac:dyDescent="0.3">
      <c r="A381" s="5"/>
      <c r="B381" s="666"/>
      <c r="C381" s="26"/>
      <c r="D381" s="79"/>
      <c r="P381" s="324"/>
    </row>
    <row r="382" spans="1:16" x14ac:dyDescent="0.3">
      <c r="A382" s="5"/>
      <c r="B382" s="666"/>
      <c r="C382" s="26"/>
      <c r="D382" s="79"/>
      <c r="P382" s="324"/>
    </row>
    <row r="383" spans="1:16" x14ac:dyDescent="0.3">
      <c r="A383" s="5"/>
      <c r="B383" s="666"/>
      <c r="C383" s="26"/>
      <c r="D383" s="79"/>
      <c r="P383" s="324"/>
    </row>
    <row r="384" spans="1:16" x14ac:dyDescent="0.3">
      <c r="A384" s="5"/>
      <c r="B384" s="666"/>
      <c r="C384" s="26"/>
      <c r="D384" s="79"/>
      <c r="P384" s="324"/>
    </row>
    <row r="385" spans="1:16" x14ac:dyDescent="0.3">
      <c r="A385" s="5"/>
      <c r="B385" s="666"/>
      <c r="C385" s="26"/>
      <c r="D385" s="79"/>
      <c r="P385" s="324"/>
    </row>
    <row r="386" spans="1:16" x14ac:dyDescent="0.3">
      <c r="A386" s="5"/>
      <c r="B386" s="666"/>
      <c r="C386" s="26"/>
      <c r="D386" s="79"/>
      <c r="P386" s="324"/>
    </row>
    <row r="387" spans="1:16" x14ac:dyDescent="0.3">
      <c r="A387" s="5"/>
      <c r="B387" s="666"/>
      <c r="C387" s="26"/>
      <c r="D387" s="79"/>
      <c r="P387" s="324"/>
    </row>
    <row r="388" spans="1:16" x14ac:dyDescent="0.3">
      <c r="A388" s="5"/>
      <c r="B388" s="666"/>
      <c r="C388" s="26"/>
      <c r="D388" s="79"/>
      <c r="P388" s="324"/>
    </row>
    <row r="389" spans="1:16" x14ac:dyDescent="0.3">
      <c r="A389" s="5"/>
      <c r="B389" s="666"/>
      <c r="C389" s="26"/>
      <c r="D389" s="79"/>
      <c r="P389" s="324"/>
    </row>
    <row r="390" spans="1:16" x14ac:dyDescent="0.3">
      <c r="A390" s="5"/>
      <c r="B390" s="666"/>
      <c r="C390" s="26"/>
      <c r="D390" s="79"/>
      <c r="P390" s="324"/>
    </row>
    <row r="391" spans="1:16" x14ac:dyDescent="0.3">
      <c r="A391" s="5"/>
      <c r="B391" s="666"/>
      <c r="C391" s="26"/>
      <c r="D391" s="79"/>
      <c r="P391" s="324"/>
    </row>
    <row r="392" spans="1:16" x14ac:dyDescent="0.3">
      <c r="A392" s="5"/>
      <c r="B392" s="666"/>
      <c r="C392" s="26"/>
      <c r="D392" s="79"/>
      <c r="P392" s="324"/>
    </row>
    <row r="393" spans="1:16" x14ac:dyDescent="0.3">
      <c r="A393" s="5"/>
      <c r="B393" s="666"/>
      <c r="C393" s="26"/>
      <c r="D393" s="79"/>
      <c r="P393" s="324"/>
    </row>
    <row r="394" spans="1:16" x14ac:dyDescent="0.3">
      <c r="A394" s="5"/>
      <c r="B394" s="666"/>
      <c r="C394" s="26"/>
      <c r="D394" s="79"/>
      <c r="P394" s="324"/>
    </row>
    <row r="395" spans="1:16" x14ac:dyDescent="0.3">
      <c r="A395" s="5"/>
      <c r="B395" s="666"/>
      <c r="C395" s="26"/>
      <c r="D395" s="79"/>
      <c r="P395" s="324"/>
    </row>
    <row r="396" spans="1:16" x14ac:dyDescent="0.3">
      <c r="A396" s="5"/>
      <c r="B396" s="666"/>
      <c r="C396" s="26"/>
      <c r="D396" s="79"/>
      <c r="P396" s="324"/>
    </row>
    <row r="397" spans="1:16" x14ac:dyDescent="0.3">
      <c r="A397" s="5"/>
      <c r="B397" s="666"/>
      <c r="C397" s="26"/>
      <c r="D397" s="79"/>
      <c r="P397" s="324"/>
    </row>
    <row r="398" spans="1:16" x14ac:dyDescent="0.3">
      <c r="A398" s="5"/>
      <c r="B398" s="666"/>
      <c r="C398" s="26"/>
      <c r="D398" s="79"/>
      <c r="P398" s="324"/>
    </row>
    <row r="399" spans="1:16" x14ac:dyDescent="0.3">
      <c r="A399" s="5"/>
      <c r="B399" s="666"/>
      <c r="C399" s="26"/>
      <c r="D399" s="79"/>
      <c r="P399" s="324"/>
    </row>
    <row r="400" spans="1:16" x14ac:dyDescent="0.3">
      <c r="A400" s="5"/>
      <c r="B400" s="666"/>
      <c r="C400" s="26"/>
      <c r="D400" s="79"/>
      <c r="P400" s="324"/>
    </row>
    <row r="401" spans="1:16" x14ac:dyDescent="0.3">
      <c r="A401" s="5"/>
      <c r="B401" s="666"/>
      <c r="C401" s="26"/>
      <c r="D401" s="79"/>
      <c r="P401" s="324"/>
    </row>
    <row r="402" spans="1:16" x14ac:dyDescent="0.3">
      <c r="A402" s="5"/>
      <c r="B402" s="666"/>
      <c r="C402" s="26"/>
      <c r="D402" s="79"/>
      <c r="P402" s="324"/>
    </row>
    <row r="403" spans="1:16" x14ac:dyDescent="0.3">
      <c r="A403" s="5"/>
      <c r="B403" s="666"/>
      <c r="C403" s="26"/>
      <c r="D403" s="79"/>
      <c r="P403" s="324"/>
    </row>
    <row r="404" spans="1:16" x14ac:dyDescent="0.3">
      <c r="A404" s="5"/>
      <c r="B404" s="666"/>
      <c r="C404" s="26"/>
      <c r="D404" s="79"/>
      <c r="P404" s="324"/>
    </row>
    <row r="405" spans="1:16" x14ac:dyDescent="0.3">
      <c r="A405" s="5"/>
      <c r="B405" s="666"/>
      <c r="C405" s="26"/>
      <c r="D405" s="79"/>
      <c r="P405" s="324"/>
    </row>
    <row r="406" spans="1:16" x14ac:dyDescent="0.3">
      <c r="A406" s="5"/>
      <c r="B406" s="666"/>
      <c r="C406" s="26"/>
      <c r="D406" s="79"/>
      <c r="P406" s="324"/>
    </row>
    <row r="407" spans="1:16" x14ac:dyDescent="0.3">
      <c r="A407" s="5"/>
      <c r="B407" s="666"/>
      <c r="C407" s="26"/>
      <c r="D407" s="79"/>
      <c r="P407" s="324"/>
    </row>
    <row r="408" spans="1:16" x14ac:dyDescent="0.3">
      <c r="A408" s="5"/>
      <c r="B408" s="666"/>
      <c r="C408" s="26"/>
      <c r="D408" s="79"/>
      <c r="P408" s="324"/>
    </row>
    <row r="409" spans="1:16" x14ac:dyDescent="0.3">
      <c r="A409" s="5"/>
      <c r="B409" s="666"/>
      <c r="C409" s="26"/>
      <c r="D409" s="79"/>
      <c r="P409" s="324"/>
    </row>
    <row r="410" spans="1:16" x14ac:dyDescent="0.3">
      <c r="A410" s="5"/>
      <c r="B410" s="666"/>
      <c r="C410" s="26"/>
      <c r="D410" s="79"/>
      <c r="P410" s="324"/>
    </row>
    <row r="411" spans="1:16" x14ac:dyDescent="0.3">
      <c r="A411" s="5"/>
      <c r="B411" s="666"/>
      <c r="C411" s="26"/>
      <c r="D411" s="79"/>
      <c r="P411" s="324"/>
    </row>
    <row r="412" spans="1:16" x14ac:dyDescent="0.3">
      <c r="A412" s="5"/>
      <c r="B412" s="666"/>
      <c r="C412" s="26"/>
      <c r="D412" s="79"/>
      <c r="P412" s="324"/>
    </row>
    <row r="413" spans="1:16" x14ac:dyDescent="0.3">
      <c r="A413" s="5"/>
      <c r="B413" s="666"/>
      <c r="C413" s="26"/>
      <c r="D413" s="79"/>
      <c r="P413" s="324"/>
    </row>
    <row r="414" spans="1:16" x14ac:dyDescent="0.3">
      <c r="A414" s="5"/>
      <c r="B414" s="666"/>
      <c r="C414" s="26"/>
      <c r="D414" s="79"/>
      <c r="P414" s="324"/>
    </row>
    <row r="415" spans="1:16" x14ac:dyDescent="0.3">
      <c r="A415" s="5"/>
      <c r="B415" s="666"/>
      <c r="C415" s="26"/>
      <c r="D415" s="79"/>
      <c r="P415" s="324"/>
    </row>
    <row r="416" spans="1:16" x14ac:dyDescent="0.3">
      <c r="A416" s="5"/>
      <c r="B416" s="666"/>
      <c r="C416" s="26"/>
      <c r="D416" s="79"/>
      <c r="P416" s="324"/>
    </row>
    <row r="417" spans="1:16" x14ac:dyDescent="0.3">
      <c r="A417" s="5"/>
      <c r="B417" s="666"/>
      <c r="C417" s="26"/>
      <c r="D417" s="79"/>
      <c r="P417" s="324"/>
    </row>
    <row r="418" spans="1:16" x14ac:dyDescent="0.3">
      <c r="A418" s="5"/>
      <c r="B418" s="666"/>
      <c r="C418" s="26"/>
      <c r="D418" s="79"/>
      <c r="P418" s="324"/>
    </row>
    <row r="419" spans="1:16" x14ac:dyDescent="0.3">
      <c r="A419" s="5"/>
      <c r="B419" s="666"/>
      <c r="C419" s="26"/>
      <c r="D419" s="79"/>
      <c r="P419" s="324"/>
    </row>
    <row r="420" spans="1:16" x14ac:dyDescent="0.3">
      <c r="A420" s="5"/>
      <c r="B420" s="666"/>
      <c r="C420" s="26"/>
      <c r="D420" s="79"/>
      <c r="P420" s="324"/>
    </row>
    <row r="421" spans="1:16" x14ac:dyDescent="0.3">
      <c r="A421" s="5"/>
      <c r="B421" s="666"/>
      <c r="C421" s="26"/>
      <c r="D421" s="79"/>
      <c r="P421" s="324"/>
    </row>
    <row r="422" spans="1:16" x14ac:dyDescent="0.3">
      <c r="A422" s="5"/>
      <c r="B422" s="666"/>
      <c r="C422" s="26"/>
      <c r="D422" s="79"/>
      <c r="P422" s="324"/>
    </row>
    <row r="423" spans="1:16" x14ac:dyDescent="0.3">
      <c r="A423" s="5"/>
      <c r="B423" s="666"/>
      <c r="C423" s="26"/>
      <c r="D423" s="79"/>
      <c r="P423" s="324"/>
    </row>
    <row r="424" spans="1:16" x14ac:dyDescent="0.3">
      <c r="A424" s="5"/>
      <c r="B424" s="666"/>
      <c r="C424" s="26"/>
      <c r="D424" s="79"/>
      <c r="P424" s="324"/>
    </row>
    <row r="425" spans="1:16" x14ac:dyDescent="0.3">
      <c r="A425" s="5"/>
      <c r="B425" s="666"/>
      <c r="C425" s="26"/>
      <c r="D425" s="79"/>
      <c r="P425" s="324"/>
    </row>
    <row r="426" spans="1:16" x14ac:dyDescent="0.3">
      <c r="A426" s="5"/>
      <c r="B426" s="666"/>
      <c r="C426" s="26"/>
      <c r="D426" s="79"/>
      <c r="P426" s="324"/>
    </row>
    <row r="427" spans="1:16" x14ac:dyDescent="0.3">
      <c r="A427" s="5"/>
      <c r="B427" s="666"/>
      <c r="C427" s="26"/>
      <c r="D427" s="79"/>
      <c r="P427" s="324"/>
    </row>
    <row r="428" spans="1:16" x14ac:dyDescent="0.3">
      <c r="A428" s="5"/>
      <c r="B428" s="666"/>
      <c r="C428" s="26"/>
      <c r="D428" s="79"/>
      <c r="P428" s="324"/>
    </row>
    <row r="429" spans="1:16" x14ac:dyDescent="0.3">
      <c r="A429" s="5"/>
      <c r="B429" s="666"/>
      <c r="C429" s="26"/>
      <c r="D429" s="79"/>
    </row>
    <row r="430" spans="1:16" x14ac:dyDescent="0.3">
      <c r="A430" s="5"/>
      <c r="B430" s="666"/>
      <c r="C430" s="26"/>
      <c r="D430" s="79"/>
      <c r="P430" s="324"/>
    </row>
    <row r="431" spans="1:16" x14ac:dyDescent="0.3">
      <c r="A431" s="5"/>
      <c r="B431" s="666"/>
      <c r="C431" s="26"/>
      <c r="D431" s="79"/>
    </row>
    <row r="432" spans="1:16" x14ac:dyDescent="0.3">
      <c r="A432" s="5"/>
      <c r="B432" s="666"/>
      <c r="C432" s="26"/>
      <c r="D432" s="79"/>
    </row>
    <row r="433" spans="1:4" x14ac:dyDescent="0.3">
      <c r="A433" s="5"/>
      <c r="B433" s="666"/>
      <c r="C433" s="26"/>
      <c r="D433" s="79"/>
    </row>
    <row r="434" spans="1:4" x14ac:dyDescent="0.3">
      <c r="A434" s="5"/>
      <c r="B434" s="666"/>
      <c r="C434" s="26"/>
      <c r="D434" s="79"/>
    </row>
    <row r="435" spans="1:4" x14ac:dyDescent="0.3">
      <c r="A435" s="5"/>
      <c r="B435" s="666"/>
      <c r="C435" s="26"/>
      <c r="D435" s="79"/>
    </row>
    <row r="436" spans="1:4" x14ac:dyDescent="0.3">
      <c r="A436" s="5"/>
      <c r="B436" s="666"/>
      <c r="C436" s="26"/>
      <c r="D436" s="79"/>
    </row>
    <row r="437" spans="1:4" x14ac:dyDescent="0.3">
      <c r="A437" s="5"/>
      <c r="B437" s="666"/>
      <c r="C437" s="26"/>
      <c r="D437" s="79"/>
    </row>
    <row r="438" spans="1:4" x14ac:dyDescent="0.3">
      <c r="A438" s="5"/>
      <c r="B438" s="666"/>
      <c r="C438" s="26"/>
      <c r="D438" s="79"/>
    </row>
    <row r="439" spans="1:4" x14ac:dyDescent="0.3">
      <c r="A439" s="5"/>
      <c r="B439" s="666"/>
      <c r="C439" s="26"/>
      <c r="D439" s="79"/>
    </row>
    <row r="440" spans="1:4" x14ac:dyDescent="0.3">
      <c r="A440" s="5"/>
      <c r="B440" s="666"/>
      <c r="C440" s="26"/>
      <c r="D440" s="79"/>
    </row>
    <row r="441" spans="1:4" x14ac:dyDescent="0.3">
      <c r="A441" s="5"/>
      <c r="B441" s="666"/>
      <c r="C441" s="26"/>
      <c r="D441" s="79"/>
    </row>
    <row r="442" spans="1:4" x14ac:dyDescent="0.3">
      <c r="A442" s="5"/>
      <c r="B442" s="666"/>
      <c r="C442" s="26"/>
      <c r="D442" s="79"/>
    </row>
    <row r="443" spans="1:4" x14ac:dyDescent="0.3">
      <c r="D443" s="79"/>
    </row>
    <row r="444" spans="1:4" x14ac:dyDescent="0.3">
      <c r="D444" s="79"/>
    </row>
    <row r="445" spans="1:4" x14ac:dyDescent="0.3">
      <c r="D445" s="79"/>
    </row>
    <row r="446" spans="1:4" x14ac:dyDescent="0.3">
      <c r="D446" s="79"/>
    </row>
    <row r="447" spans="1:4" x14ac:dyDescent="0.3">
      <c r="D447" s="79"/>
    </row>
    <row r="448" spans="1:4" x14ac:dyDescent="0.3">
      <c r="D448" s="79"/>
    </row>
    <row r="449" spans="4:4" x14ac:dyDescent="0.3">
      <c r="D449" s="79"/>
    </row>
    <row r="450" spans="4:4" x14ac:dyDescent="0.3">
      <c r="D450" s="79"/>
    </row>
    <row r="451" spans="4:4" x14ac:dyDescent="0.3">
      <c r="D451" s="79"/>
    </row>
    <row r="452" spans="4:4" x14ac:dyDescent="0.3">
      <c r="D452" s="79"/>
    </row>
    <row r="453" spans="4:4" x14ac:dyDescent="0.3">
      <c r="D453" s="79"/>
    </row>
    <row r="454" spans="4:4" x14ac:dyDescent="0.3">
      <c r="D454" s="79"/>
    </row>
    <row r="455" spans="4:4" x14ac:dyDescent="0.3">
      <c r="D455" s="79"/>
    </row>
    <row r="456" spans="4:4" x14ac:dyDescent="0.3">
      <c r="D456" s="79"/>
    </row>
    <row r="457" spans="4:4" x14ac:dyDescent="0.3">
      <c r="D457" s="79"/>
    </row>
    <row r="458" spans="4:4" x14ac:dyDescent="0.3">
      <c r="D458" s="79"/>
    </row>
    <row r="459" spans="4:4" x14ac:dyDescent="0.3">
      <c r="D459" s="79"/>
    </row>
    <row r="460" spans="4:4" x14ac:dyDescent="0.3">
      <c r="D460" s="79"/>
    </row>
    <row r="461" spans="4:4" x14ac:dyDescent="0.3">
      <c r="D461" s="79"/>
    </row>
    <row r="462" spans="4:4" x14ac:dyDescent="0.3">
      <c r="D462" s="79"/>
    </row>
    <row r="463" spans="4:4" x14ac:dyDescent="0.3">
      <c r="D463" s="79"/>
    </row>
    <row r="464" spans="4:4" x14ac:dyDescent="0.3">
      <c r="D464" s="79"/>
    </row>
    <row r="465" spans="4:4" x14ac:dyDescent="0.3">
      <c r="D465" s="79"/>
    </row>
    <row r="466" spans="4:4" x14ac:dyDescent="0.3">
      <c r="D466" s="79"/>
    </row>
    <row r="467" spans="4:4" x14ac:dyDescent="0.3">
      <c r="D467" s="79"/>
    </row>
    <row r="468" spans="4:4" x14ac:dyDescent="0.3">
      <c r="D468" s="79"/>
    </row>
    <row r="469" spans="4:4" x14ac:dyDescent="0.3">
      <c r="D469" s="79"/>
    </row>
    <row r="470" spans="4:4" x14ac:dyDescent="0.3">
      <c r="D470" s="79"/>
    </row>
    <row r="471" spans="4:4" x14ac:dyDescent="0.3">
      <c r="D471" s="79"/>
    </row>
    <row r="472" spans="4:4" x14ac:dyDescent="0.3">
      <c r="D472" s="79"/>
    </row>
    <row r="473" spans="4:4" x14ac:dyDescent="0.3">
      <c r="D473" s="79"/>
    </row>
    <row r="474" spans="4:4" x14ac:dyDescent="0.3">
      <c r="D474" s="79"/>
    </row>
    <row r="475" spans="4:4" x14ac:dyDescent="0.3">
      <c r="D475" s="79"/>
    </row>
    <row r="476" spans="4:4" x14ac:dyDescent="0.3">
      <c r="D476" s="79"/>
    </row>
    <row r="477" spans="4:4" x14ac:dyDescent="0.3">
      <c r="D477" s="79"/>
    </row>
    <row r="478" spans="4:4" x14ac:dyDescent="0.3">
      <c r="D478" s="79"/>
    </row>
    <row r="479" spans="4:4" x14ac:dyDescent="0.3">
      <c r="D479" s="79"/>
    </row>
    <row r="480" spans="4:4" x14ac:dyDescent="0.3">
      <c r="D480" s="79"/>
    </row>
    <row r="481" spans="4:4" x14ac:dyDescent="0.3">
      <c r="D481" s="79"/>
    </row>
    <row r="482" spans="4:4" x14ac:dyDescent="0.3">
      <c r="D482" s="79"/>
    </row>
    <row r="483" spans="4:4" x14ac:dyDescent="0.3">
      <c r="D483" s="79"/>
    </row>
    <row r="484" spans="4:4" x14ac:dyDescent="0.3">
      <c r="D484" s="79"/>
    </row>
    <row r="485" spans="4:4" x14ac:dyDescent="0.3">
      <c r="D485" s="79"/>
    </row>
    <row r="486" spans="4:4" x14ac:dyDescent="0.3">
      <c r="D486" s="79"/>
    </row>
    <row r="487" spans="4:4" x14ac:dyDescent="0.3">
      <c r="D487" s="79"/>
    </row>
    <row r="488" spans="4:4" x14ac:dyDescent="0.3">
      <c r="D488" s="79"/>
    </row>
    <row r="489" spans="4:4" x14ac:dyDescent="0.3">
      <c r="D489" s="79"/>
    </row>
    <row r="490" spans="4:4" x14ac:dyDescent="0.3">
      <c r="D490" s="79"/>
    </row>
    <row r="491" spans="4:4" x14ac:dyDescent="0.3">
      <c r="D491" s="79"/>
    </row>
    <row r="492" spans="4:4" x14ac:dyDescent="0.3">
      <c r="D492" s="79"/>
    </row>
    <row r="493" spans="4:4" x14ac:dyDescent="0.3">
      <c r="D493" s="79"/>
    </row>
    <row r="494" spans="4:4" x14ac:dyDescent="0.3">
      <c r="D494" s="79"/>
    </row>
    <row r="495" spans="4:4" x14ac:dyDescent="0.3">
      <c r="D495" s="79"/>
    </row>
    <row r="496" spans="4:4" x14ac:dyDescent="0.3">
      <c r="D496" s="79"/>
    </row>
    <row r="497" spans="4:4" x14ac:dyDescent="0.3">
      <c r="D497" s="79"/>
    </row>
    <row r="498" spans="4:4" x14ac:dyDescent="0.3">
      <c r="D498" s="79"/>
    </row>
    <row r="499" spans="4:4" x14ac:dyDescent="0.3">
      <c r="D499" s="79"/>
    </row>
    <row r="500" spans="4:4" x14ac:dyDescent="0.3">
      <c r="D500" s="79"/>
    </row>
    <row r="501" spans="4:4" x14ac:dyDescent="0.3">
      <c r="D501" s="79"/>
    </row>
    <row r="502" spans="4:4" x14ac:dyDescent="0.3">
      <c r="D502" s="79"/>
    </row>
    <row r="503" spans="4:4" x14ac:dyDescent="0.3">
      <c r="D503" s="79"/>
    </row>
    <row r="504" spans="4:4" x14ac:dyDescent="0.3">
      <c r="D504" s="79"/>
    </row>
    <row r="505" spans="4:4" x14ac:dyDescent="0.3">
      <c r="D505" s="79"/>
    </row>
    <row r="506" spans="4:4" x14ac:dyDescent="0.3">
      <c r="D506" s="79"/>
    </row>
    <row r="507" spans="4:4" x14ac:dyDescent="0.3">
      <c r="D507" s="79"/>
    </row>
    <row r="508" spans="4:4" x14ac:dyDescent="0.3">
      <c r="D508" s="79"/>
    </row>
    <row r="509" spans="4:4" x14ac:dyDescent="0.3">
      <c r="D509" s="79"/>
    </row>
    <row r="510" spans="4:4" x14ac:dyDescent="0.3">
      <c r="D510" s="79"/>
    </row>
    <row r="511" spans="4:4" x14ac:dyDescent="0.3">
      <c r="D511" s="79"/>
    </row>
    <row r="512" spans="4:4" x14ac:dyDescent="0.3">
      <c r="D512" s="79"/>
    </row>
    <row r="513" spans="4:4" x14ac:dyDescent="0.3">
      <c r="D513" s="79"/>
    </row>
    <row r="514" spans="4:4" x14ac:dyDescent="0.3">
      <c r="D514" s="79"/>
    </row>
    <row r="515" spans="4:4" x14ac:dyDescent="0.3">
      <c r="D515" s="79"/>
    </row>
    <row r="516" spans="4:4" x14ac:dyDescent="0.3">
      <c r="D516" s="79"/>
    </row>
    <row r="517" spans="4:4" x14ac:dyDescent="0.3">
      <c r="D517" s="79"/>
    </row>
    <row r="518" spans="4:4" x14ac:dyDescent="0.3">
      <c r="D518" s="79"/>
    </row>
    <row r="519" spans="4:4" x14ac:dyDescent="0.3">
      <c r="D519" s="79"/>
    </row>
    <row r="520" spans="4:4" x14ac:dyDescent="0.3">
      <c r="D520" s="79"/>
    </row>
    <row r="521" spans="4:4" x14ac:dyDescent="0.3">
      <c r="D521" s="79"/>
    </row>
    <row r="522" spans="4:4" x14ac:dyDescent="0.3">
      <c r="D522" s="79"/>
    </row>
    <row r="523" spans="4:4" x14ac:dyDescent="0.3">
      <c r="D523" s="79"/>
    </row>
    <row r="524" spans="4:4" x14ac:dyDescent="0.3">
      <c r="D524" s="79"/>
    </row>
    <row r="525" spans="4:4" x14ac:dyDescent="0.3">
      <c r="D525" s="79"/>
    </row>
    <row r="526" spans="4:4" x14ac:dyDescent="0.3">
      <c r="D526" s="79"/>
    </row>
    <row r="527" spans="4:4" x14ac:dyDescent="0.3">
      <c r="D527" s="79"/>
    </row>
    <row r="528" spans="4:4" x14ac:dyDescent="0.3">
      <c r="D528" s="79"/>
    </row>
    <row r="529" spans="4:4" x14ac:dyDescent="0.3">
      <c r="D529" s="79"/>
    </row>
    <row r="530" spans="4:4" x14ac:dyDescent="0.3">
      <c r="D530" s="79"/>
    </row>
    <row r="531" spans="4:4" x14ac:dyDescent="0.3">
      <c r="D531" s="79"/>
    </row>
    <row r="532" spans="4:4" x14ac:dyDescent="0.3">
      <c r="D532" s="79"/>
    </row>
    <row r="533" spans="4:4" x14ac:dyDescent="0.3">
      <c r="D533" s="79"/>
    </row>
    <row r="534" spans="4:4" x14ac:dyDescent="0.3">
      <c r="D534" s="79"/>
    </row>
    <row r="535" spans="4:4" x14ac:dyDescent="0.3">
      <c r="D535" s="79"/>
    </row>
    <row r="536" spans="4:4" x14ac:dyDescent="0.3">
      <c r="D536" s="79"/>
    </row>
    <row r="537" spans="4:4" x14ac:dyDescent="0.3">
      <c r="D537" s="79"/>
    </row>
    <row r="538" spans="4:4" x14ac:dyDescent="0.3">
      <c r="D538" s="79"/>
    </row>
    <row r="539" spans="4:4" x14ac:dyDescent="0.3">
      <c r="D539" s="79"/>
    </row>
    <row r="540" spans="4:4" x14ac:dyDescent="0.3">
      <c r="D540" s="79"/>
    </row>
    <row r="541" spans="4:4" x14ac:dyDescent="0.3">
      <c r="D541" s="79"/>
    </row>
    <row r="542" spans="4:4" x14ac:dyDescent="0.3">
      <c r="D542" s="79"/>
    </row>
    <row r="543" spans="4:4" x14ac:dyDescent="0.3">
      <c r="D543" s="79"/>
    </row>
    <row r="544" spans="4:4" x14ac:dyDescent="0.3">
      <c r="D544" s="79"/>
    </row>
    <row r="545" spans="4:4" x14ac:dyDescent="0.3">
      <c r="D545" s="79"/>
    </row>
    <row r="546" spans="4:4" x14ac:dyDescent="0.3">
      <c r="D546" s="79"/>
    </row>
    <row r="547" spans="4:4" x14ac:dyDescent="0.3">
      <c r="D547" s="79"/>
    </row>
    <row r="548" spans="4:4" x14ac:dyDescent="0.3">
      <c r="D548" s="79"/>
    </row>
    <row r="549" spans="4:4" x14ac:dyDescent="0.3">
      <c r="D549" s="79"/>
    </row>
    <row r="550" spans="4:4" x14ac:dyDescent="0.3">
      <c r="D550" s="79"/>
    </row>
    <row r="551" spans="4:4" x14ac:dyDescent="0.3">
      <c r="D551" s="79"/>
    </row>
    <row r="552" spans="4:4" x14ac:dyDescent="0.3">
      <c r="D552" s="79"/>
    </row>
    <row r="553" spans="4:4" x14ac:dyDescent="0.3">
      <c r="D553" s="79"/>
    </row>
    <row r="554" spans="4:4" x14ac:dyDescent="0.3">
      <c r="D554" s="79"/>
    </row>
    <row r="555" spans="4:4" x14ac:dyDescent="0.3">
      <c r="D555" s="79"/>
    </row>
    <row r="556" spans="4:4" x14ac:dyDescent="0.3">
      <c r="D556" s="79"/>
    </row>
    <row r="557" spans="4:4" x14ac:dyDescent="0.3">
      <c r="D557" s="79"/>
    </row>
    <row r="558" spans="4:4" x14ac:dyDescent="0.3">
      <c r="D558" s="79"/>
    </row>
    <row r="559" spans="4:4" x14ac:dyDescent="0.3">
      <c r="D559" s="79"/>
    </row>
    <row r="560" spans="4:4" x14ac:dyDescent="0.3">
      <c r="D560" s="79"/>
    </row>
    <row r="561" spans="4:4" x14ac:dyDescent="0.3">
      <c r="D561" s="79"/>
    </row>
    <row r="562" spans="4:4" x14ac:dyDescent="0.3">
      <c r="D562" s="79"/>
    </row>
    <row r="563" spans="4:4" x14ac:dyDescent="0.3">
      <c r="D563" s="79"/>
    </row>
    <row r="564" spans="4:4" x14ac:dyDescent="0.3">
      <c r="D564" s="79"/>
    </row>
    <row r="565" spans="4:4" x14ac:dyDescent="0.3">
      <c r="D565" s="79"/>
    </row>
    <row r="566" spans="4:4" x14ac:dyDescent="0.3">
      <c r="D566" s="79"/>
    </row>
    <row r="567" spans="4:4" x14ac:dyDescent="0.3">
      <c r="D567" s="79"/>
    </row>
    <row r="568" spans="4:4" x14ac:dyDescent="0.3">
      <c r="D568" s="79"/>
    </row>
    <row r="569" spans="4:4" x14ac:dyDescent="0.3">
      <c r="D569" s="79"/>
    </row>
    <row r="570" spans="4:4" x14ac:dyDescent="0.3">
      <c r="D570" s="79"/>
    </row>
    <row r="571" spans="4:4" x14ac:dyDescent="0.3">
      <c r="D571" s="79"/>
    </row>
    <row r="572" spans="4:4" x14ac:dyDescent="0.3">
      <c r="D572" s="79"/>
    </row>
    <row r="573" spans="4:4" x14ac:dyDescent="0.3">
      <c r="D573" s="79"/>
    </row>
    <row r="574" spans="4:4" x14ac:dyDescent="0.3">
      <c r="D574" s="79"/>
    </row>
    <row r="575" spans="4:4" x14ac:dyDescent="0.3">
      <c r="D575" s="79"/>
    </row>
    <row r="576" spans="4:4" x14ac:dyDescent="0.3">
      <c r="D576" s="79"/>
    </row>
    <row r="577" spans="4:4" x14ac:dyDescent="0.3">
      <c r="D577" s="79"/>
    </row>
    <row r="578" spans="4:4" x14ac:dyDescent="0.3">
      <c r="D578" s="79"/>
    </row>
    <row r="579" spans="4:4" x14ac:dyDescent="0.3">
      <c r="D579" s="79"/>
    </row>
    <row r="580" spans="4:4" x14ac:dyDescent="0.3">
      <c r="D580" s="79"/>
    </row>
    <row r="581" spans="4:4" x14ac:dyDescent="0.3">
      <c r="D581" s="79"/>
    </row>
    <row r="582" spans="4:4" x14ac:dyDescent="0.3">
      <c r="D582" s="79"/>
    </row>
    <row r="583" spans="4:4" x14ac:dyDescent="0.3">
      <c r="D583" s="79"/>
    </row>
    <row r="584" spans="4:4" x14ac:dyDescent="0.3">
      <c r="D584" s="79"/>
    </row>
    <row r="585" spans="4:4" x14ac:dyDescent="0.3">
      <c r="D585" s="79"/>
    </row>
    <row r="586" spans="4:4" x14ac:dyDescent="0.3">
      <c r="D586" s="79"/>
    </row>
    <row r="587" spans="4:4" x14ac:dyDescent="0.3">
      <c r="D587" s="79"/>
    </row>
    <row r="588" spans="4:4" x14ac:dyDescent="0.3">
      <c r="D588" s="79"/>
    </row>
    <row r="589" spans="4:4" x14ac:dyDescent="0.3">
      <c r="D589" s="79"/>
    </row>
    <row r="590" spans="4:4" x14ac:dyDescent="0.3">
      <c r="D590" s="79"/>
    </row>
    <row r="591" spans="4:4" x14ac:dyDescent="0.3">
      <c r="D591" s="79"/>
    </row>
    <row r="592" spans="4:4" x14ac:dyDescent="0.3">
      <c r="D592" s="79"/>
    </row>
    <row r="593" spans="4:4" x14ac:dyDescent="0.3">
      <c r="D593" s="79"/>
    </row>
    <row r="594" spans="4:4" x14ac:dyDescent="0.3">
      <c r="D594" s="79"/>
    </row>
    <row r="595" spans="4:4" x14ac:dyDescent="0.3">
      <c r="D595" s="79"/>
    </row>
    <row r="596" spans="4:4" x14ac:dyDescent="0.3">
      <c r="D596" s="79"/>
    </row>
    <row r="597" spans="4:4" x14ac:dyDescent="0.3">
      <c r="D597" s="79"/>
    </row>
    <row r="598" spans="4:4" x14ac:dyDescent="0.3">
      <c r="D598" s="79"/>
    </row>
    <row r="599" spans="4:4" x14ac:dyDescent="0.3">
      <c r="D599" s="79"/>
    </row>
    <row r="600" spans="4:4" x14ac:dyDescent="0.3">
      <c r="D600" s="79"/>
    </row>
    <row r="601" spans="4:4" x14ac:dyDescent="0.3">
      <c r="D601" s="79"/>
    </row>
    <row r="602" spans="4:4" x14ac:dyDescent="0.3">
      <c r="D602" s="79"/>
    </row>
    <row r="603" spans="4:4" x14ac:dyDescent="0.3">
      <c r="D603" s="79"/>
    </row>
    <row r="604" spans="4:4" x14ac:dyDescent="0.3">
      <c r="D604" s="79"/>
    </row>
    <row r="605" spans="4:4" x14ac:dyDescent="0.3">
      <c r="D605" s="79"/>
    </row>
    <row r="606" spans="4:4" x14ac:dyDescent="0.3">
      <c r="D606" s="79"/>
    </row>
    <row r="607" spans="4:4" x14ac:dyDescent="0.3">
      <c r="D607" s="79"/>
    </row>
    <row r="608" spans="4:4" x14ac:dyDescent="0.3">
      <c r="D608" s="79"/>
    </row>
    <row r="609" spans="4:4" x14ac:dyDescent="0.3">
      <c r="D609" s="79"/>
    </row>
    <row r="610" spans="4:4" x14ac:dyDescent="0.3">
      <c r="D610" s="79"/>
    </row>
    <row r="611" spans="4:4" x14ac:dyDescent="0.3">
      <c r="D611" s="79"/>
    </row>
    <row r="612" spans="4:4" x14ac:dyDescent="0.3">
      <c r="D612" s="79"/>
    </row>
    <row r="613" spans="4:4" x14ac:dyDescent="0.3">
      <c r="D613" s="79"/>
    </row>
    <row r="614" spans="4:4" x14ac:dyDescent="0.3">
      <c r="D614" s="79"/>
    </row>
    <row r="615" spans="4:4" x14ac:dyDescent="0.3">
      <c r="D615" s="79"/>
    </row>
    <row r="616" spans="4:4" x14ac:dyDescent="0.3">
      <c r="D616" s="79"/>
    </row>
    <row r="617" spans="4:4" x14ac:dyDescent="0.3">
      <c r="D617" s="79"/>
    </row>
    <row r="618" spans="4:4" x14ac:dyDescent="0.3">
      <c r="D618" s="79"/>
    </row>
    <row r="619" spans="4:4" x14ac:dyDescent="0.3">
      <c r="D619" s="79"/>
    </row>
    <row r="620" spans="4:4" x14ac:dyDescent="0.3">
      <c r="D620" s="79"/>
    </row>
    <row r="621" spans="4:4" x14ac:dyDescent="0.3">
      <c r="D621" s="79"/>
    </row>
    <row r="622" spans="4:4" x14ac:dyDescent="0.3">
      <c r="D622" s="79"/>
    </row>
    <row r="623" spans="4:4" x14ac:dyDescent="0.3">
      <c r="D623" s="79"/>
    </row>
    <row r="624" spans="4:4" x14ac:dyDescent="0.3">
      <c r="D624" s="79"/>
    </row>
    <row r="625" spans="4:4" x14ac:dyDescent="0.3">
      <c r="D625" s="79"/>
    </row>
    <row r="626" spans="4:4" x14ac:dyDescent="0.3">
      <c r="D626" s="79"/>
    </row>
    <row r="627" spans="4:4" x14ac:dyDescent="0.3">
      <c r="D627" s="79"/>
    </row>
    <row r="628" spans="4:4" x14ac:dyDescent="0.3">
      <c r="D628" s="79"/>
    </row>
    <row r="629" spans="4:4" x14ac:dyDescent="0.3">
      <c r="D629" s="79"/>
    </row>
    <row r="630" spans="4:4" x14ac:dyDescent="0.3">
      <c r="D630" s="79"/>
    </row>
    <row r="631" spans="4:4" x14ac:dyDescent="0.3">
      <c r="D631" s="79"/>
    </row>
    <row r="632" spans="4:4" x14ac:dyDescent="0.3">
      <c r="D632" s="79"/>
    </row>
    <row r="633" spans="4:4" x14ac:dyDescent="0.3">
      <c r="D633" s="79"/>
    </row>
    <row r="634" spans="4:4" x14ac:dyDescent="0.3">
      <c r="D634" s="79"/>
    </row>
    <row r="635" spans="4:4" x14ac:dyDescent="0.3">
      <c r="D635" s="79"/>
    </row>
    <row r="636" spans="4:4" x14ac:dyDescent="0.3">
      <c r="D636" s="79"/>
    </row>
    <row r="637" spans="4:4" x14ac:dyDescent="0.3">
      <c r="D637" s="79"/>
    </row>
    <row r="638" spans="4:4" x14ac:dyDescent="0.3">
      <c r="D638" s="79"/>
    </row>
    <row r="639" spans="4:4" x14ac:dyDescent="0.3">
      <c r="D639" s="79"/>
    </row>
    <row r="640" spans="4:4" x14ac:dyDescent="0.3">
      <c r="D640" s="79"/>
    </row>
    <row r="641" spans="4:4" x14ac:dyDescent="0.3">
      <c r="D641" s="79"/>
    </row>
    <row r="642" spans="4:4" x14ac:dyDescent="0.3">
      <c r="D642" s="79"/>
    </row>
    <row r="643" spans="4:4" x14ac:dyDescent="0.3">
      <c r="D643" s="79"/>
    </row>
    <row r="644" spans="4:4" x14ac:dyDescent="0.3">
      <c r="D644" s="79"/>
    </row>
    <row r="645" spans="4:4" x14ac:dyDescent="0.3">
      <c r="D645" s="79"/>
    </row>
    <row r="646" spans="4:4" x14ac:dyDescent="0.3">
      <c r="D646" s="79"/>
    </row>
    <row r="647" spans="4:4" x14ac:dyDescent="0.3">
      <c r="D647" s="79"/>
    </row>
    <row r="648" spans="4:4" x14ac:dyDescent="0.3">
      <c r="D648" s="79"/>
    </row>
    <row r="649" spans="4:4" x14ac:dyDescent="0.3">
      <c r="D649" s="79"/>
    </row>
    <row r="650" spans="4:4" x14ac:dyDescent="0.3">
      <c r="D650" s="79"/>
    </row>
    <row r="651" spans="4:4" x14ac:dyDescent="0.3">
      <c r="D651" s="79"/>
    </row>
    <row r="652" spans="4:4" x14ac:dyDescent="0.3">
      <c r="D652" s="79"/>
    </row>
    <row r="653" spans="4:4" x14ac:dyDescent="0.3">
      <c r="D653" s="79"/>
    </row>
    <row r="654" spans="4:4" x14ac:dyDescent="0.3">
      <c r="D654" s="79"/>
    </row>
    <row r="655" spans="4:4" x14ac:dyDescent="0.3">
      <c r="D655" s="79"/>
    </row>
    <row r="656" spans="4:4" x14ac:dyDescent="0.3">
      <c r="D656" s="79"/>
    </row>
    <row r="657" spans="4:4" x14ac:dyDescent="0.3">
      <c r="D657" s="79"/>
    </row>
    <row r="658" spans="4:4" x14ac:dyDescent="0.3">
      <c r="D658" s="79"/>
    </row>
    <row r="659" spans="4:4" x14ac:dyDescent="0.3">
      <c r="D659" s="79"/>
    </row>
    <row r="660" spans="4:4" x14ac:dyDescent="0.3">
      <c r="D660" s="79"/>
    </row>
    <row r="661" spans="4:4" x14ac:dyDescent="0.3">
      <c r="D661" s="79"/>
    </row>
    <row r="662" spans="4:4" x14ac:dyDescent="0.3">
      <c r="D662" s="79"/>
    </row>
    <row r="663" spans="4:4" x14ac:dyDescent="0.3">
      <c r="D663" s="79"/>
    </row>
    <row r="664" spans="4:4" x14ac:dyDescent="0.3">
      <c r="D664" s="79"/>
    </row>
    <row r="665" spans="4:4" x14ac:dyDescent="0.3">
      <c r="D665" s="79"/>
    </row>
    <row r="666" spans="4:4" x14ac:dyDescent="0.3">
      <c r="D666" s="79"/>
    </row>
    <row r="667" spans="4:4" x14ac:dyDescent="0.3">
      <c r="D667" s="79"/>
    </row>
    <row r="668" spans="4:4" x14ac:dyDescent="0.3">
      <c r="D668" s="79"/>
    </row>
    <row r="669" spans="4:4" x14ac:dyDescent="0.3">
      <c r="D669" s="79"/>
    </row>
    <row r="670" spans="4:4" x14ac:dyDescent="0.3">
      <c r="D670" s="79"/>
    </row>
    <row r="671" spans="4:4" x14ac:dyDescent="0.3">
      <c r="D671" s="79"/>
    </row>
    <row r="672" spans="4:4" x14ac:dyDescent="0.3">
      <c r="D672" s="79"/>
    </row>
    <row r="673" spans="4:4" x14ac:dyDescent="0.3">
      <c r="D673" s="79"/>
    </row>
    <row r="674" spans="4:4" x14ac:dyDescent="0.3">
      <c r="D674" s="79"/>
    </row>
    <row r="675" spans="4:4" x14ac:dyDescent="0.3">
      <c r="D675" s="79"/>
    </row>
    <row r="676" spans="4:4" x14ac:dyDescent="0.3">
      <c r="D676" s="79"/>
    </row>
    <row r="677" spans="4:4" x14ac:dyDescent="0.3">
      <c r="D677" s="79"/>
    </row>
    <row r="678" spans="4:4" x14ac:dyDescent="0.3">
      <c r="D678" s="79"/>
    </row>
    <row r="679" spans="4:4" x14ac:dyDescent="0.3">
      <c r="D679" s="79"/>
    </row>
    <row r="680" spans="4:4" x14ac:dyDescent="0.3">
      <c r="D680" s="79"/>
    </row>
    <row r="681" spans="4:4" x14ac:dyDescent="0.3">
      <c r="D681" s="79"/>
    </row>
    <row r="682" spans="4:4" x14ac:dyDescent="0.3">
      <c r="D682" s="79"/>
    </row>
    <row r="683" spans="4:4" x14ac:dyDescent="0.3">
      <c r="D683" s="79"/>
    </row>
    <row r="684" spans="4:4" x14ac:dyDescent="0.3">
      <c r="D684" s="79"/>
    </row>
    <row r="685" spans="4:4" x14ac:dyDescent="0.3">
      <c r="D685" s="79"/>
    </row>
    <row r="686" spans="4:4" x14ac:dyDescent="0.3">
      <c r="D686" s="79"/>
    </row>
    <row r="687" spans="4:4" x14ac:dyDescent="0.3">
      <c r="D687" s="79"/>
    </row>
    <row r="688" spans="4:4" x14ac:dyDescent="0.3">
      <c r="D688" s="79"/>
    </row>
    <row r="689" spans="4:4" x14ac:dyDescent="0.3">
      <c r="D689" s="79"/>
    </row>
    <row r="690" spans="4:4" x14ac:dyDescent="0.3">
      <c r="D690" s="79"/>
    </row>
    <row r="691" spans="4:4" x14ac:dyDescent="0.3">
      <c r="D691" s="79"/>
    </row>
    <row r="692" spans="4:4" x14ac:dyDescent="0.3">
      <c r="D692" s="79"/>
    </row>
    <row r="693" spans="4:4" x14ac:dyDescent="0.3">
      <c r="D693" s="79"/>
    </row>
    <row r="694" spans="4:4" x14ac:dyDescent="0.3">
      <c r="D694" s="79"/>
    </row>
    <row r="695" spans="4:4" x14ac:dyDescent="0.3">
      <c r="D695" s="79"/>
    </row>
    <row r="696" spans="4:4" x14ac:dyDescent="0.3">
      <c r="D696" s="79"/>
    </row>
    <row r="697" spans="4:4" x14ac:dyDescent="0.3">
      <c r="D697" s="79"/>
    </row>
    <row r="698" spans="4:4" x14ac:dyDescent="0.3">
      <c r="D698" s="79"/>
    </row>
    <row r="699" spans="4:4" x14ac:dyDescent="0.3">
      <c r="D699" s="79"/>
    </row>
    <row r="700" spans="4:4" x14ac:dyDescent="0.3">
      <c r="D700" s="79"/>
    </row>
    <row r="701" spans="4:4" x14ac:dyDescent="0.3">
      <c r="D701" s="79"/>
    </row>
    <row r="702" spans="4:4" x14ac:dyDescent="0.3">
      <c r="D702" s="79"/>
    </row>
    <row r="703" spans="4:4" x14ac:dyDescent="0.3">
      <c r="D703" s="79"/>
    </row>
    <row r="704" spans="4:4" x14ac:dyDescent="0.3">
      <c r="D704" s="79"/>
    </row>
    <row r="705" spans="4:4" x14ac:dyDescent="0.3">
      <c r="D705" s="79"/>
    </row>
    <row r="706" spans="4:4" x14ac:dyDescent="0.3">
      <c r="D706" s="79"/>
    </row>
    <row r="707" spans="4:4" x14ac:dyDescent="0.3">
      <c r="D707" s="79"/>
    </row>
    <row r="708" spans="4:4" x14ac:dyDescent="0.3">
      <c r="D708" s="79"/>
    </row>
    <row r="709" spans="4:4" x14ac:dyDescent="0.3">
      <c r="D709" s="79"/>
    </row>
    <row r="710" spans="4:4" x14ac:dyDescent="0.3">
      <c r="D710" s="79"/>
    </row>
    <row r="711" spans="4:4" x14ac:dyDescent="0.3">
      <c r="D711" s="79"/>
    </row>
    <row r="712" spans="4:4" x14ac:dyDescent="0.3">
      <c r="D712" s="79"/>
    </row>
    <row r="713" spans="4:4" x14ac:dyDescent="0.3">
      <c r="D713" s="79"/>
    </row>
    <row r="714" spans="4:4" x14ac:dyDescent="0.3">
      <c r="D714" s="79"/>
    </row>
    <row r="715" spans="4:4" x14ac:dyDescent="0.3">
      <c r="D715" s="79"/>
    </row>
    <row r="716" spans="4:4" x14ac:dyDescent="0.3">
      <c r="D716" s="79"/>
    </row>
    <row r="717" spans="4:4" x14ac:dyDescent="0.3">
      <c r="D717" s="79"/>
    </row>
    <row r="718" spans="4:4" x14ac:dyDescent="0.3">
      <c r="D718" s="79"/>
    </row>
    <row r="719" spans="4:4" x14ac:dyDescent="0.3">
      <c r="D719" s="79"/>
    </row>
    <row r="720" spans="4:4" x14ac:dyDescent="0.3">
      <c r="D720" s="79"/>
    </row>
    <row r="721" spans="4:4" x14ac:dyDescent="0.3">
      <c r="D721" s="79"/>
    </row>
    <row r="722" spans="4:4" x14ac:dyDescent="0.3">
      <c r="D722" s="79"/>
    </row>
    <row r="723" spans="4:4" x14ac:dyDescent="0.3">
      <c r="D723" s="79"/>
    </row>
    <row r="724" spans="4:4" x14ac:dyDescent="0.3">
      <c r="D724" s="79"/>
    </row>
    <row r="725" spans="4:4" x14ac:dyDescent="0.3">
      <c r="D725" s="79"/>
    </row>
    <row r="726" spans="4:4" x14ac:dyDescent="0.3">
      <c r="D726" s="79"/>
    </row>
    <row r="727" spans="4:4" x14ac:dyDescent="0.3">
      <c r="D727" s="79"/>
    </row>
    <row r="728" spans="4:4" x14ac:dyDescent="0.3">
      <c r="D728" s="79"/>
    </row>
    <row r="729" spans="4:4" x14ac:dyDescent="0.3">
      <c r="D729" s="79"/>
    </row>
    <row r="730" spans="4:4" x14ac:dyDescent="0.3">
      <c r="D730" s="79"/>
    </row>
    <row r="731" spans="4:4" x14ac:dyDescent="0.3">
      <c r="D731" s="79"/>
    </row>
    <row r="732" spans="4:4" x14ac:dyDescent="0.3">
      <c r="D732" s="79"/>
    </row>
    <row r="733" spans="4:4" x14ac:dyDescent="0.3">
      <c r="D733" s="79"/>
    </row>
    <row r="734" spans="4:4" x14ac:dyDescent="0.3">
      <c r="D734" s="79"/>
    </row>
    <row r="735" spans="4:4" x14ac:dyDescent="0.3">
      <c r="D735" s="79"/>
    </row>
    <row r="736" spans="4:4" x14ac:dyDescent="0.3">
      <c r="D736" s="79"/>
    </row>
    <row r="737" spans="4:4" x14ac:dyDescent="0.3">
      <c r="D737" s="79"/>
    </row>
    <row r="738" spans="4:4" x14ac:dyDescent="0.3">
      <c r="D738" s="79"/>
    </row>
    <row r="739" spans="4:4" x14ac:dyDescent="0.3">
      <c r="D739" s="79"/>
    </row>
    <row r="740" spans="4:4" x14ac:dyDescent="0.3">
      <c r="D740" s="79"/>
    </row>
    <row r="741" spans="4:4" x14ac:dyDescent="0.3">
      <c r="D741" s="79"/>
    </row>
    <row r="742" spans="4:4" x14ac:dyDescent="0.3">
      <c r="D742" s="79"/>
    </row>
    <row r="743" spans="4:4" x14ac:dyDescent="0.3">
      <c r="D743" s="79"/>
    </row>
    <row r="744" spans="4:4" x14ac:dyDescent="0.3">
      <c r="D744" s="79"/>
    </row>
  </sheetData>
  <sheetProtection formatCells="0" formatColumns="0" formatRows="0"/>
  <conditionalFormatting sqref="G33">
    <cfRule type="cellIs" dxfId="73" priority="93" stopIfTrue="1" operator="notEqual">
      <formula>0</formula>
    </cfRule>
  </conditionalFormatting>
  <conditionalFormatting sqref="G34">
    <cfRule type="cellIs" dxfId="72" priority="92" stopIfTrue="1" operator="notEqual">
      <formula>0</formula>
    </cfRule>
  </conditionalFormatting>
  <conditionalFormatting sqref="G65">
    <cfRule type="cellIs" dxfId="71" priority="91" stopIfTrue="1" operator="notEqual">
      <formula>0</formula>
    </cfRule>
  </conditionalFormatting>
  <conditionalFormatting sqref="G79">
    <cfRule type="cellIs" dxfId="70" priority="90" stopIfTrue="1" operator="notEqual">
      <formula>0</formula>
    </cfRule>
  </conditionalFormatting>
  <conditionalFormatting sqref="G80:G90">
    <cfRule type="cellIs" dxfId="69" priority="89" stopIfTrue="1" operator="notEqual">
      <formula>0</formula>
    </cfRule>
  </conditionalFormatting>
  <conditionalFormatting sqref="G133">
    <cfRule type="cellIs" dxfId="68" priority="88" stopIfTrue="1" operator="notEqual">
      <formula>0</formula>
    </cfRule>
  </conditionalFormatting>
  <conditionalFormatting sqref="G151">
    <cfRule type="cellIs" dxfId="67" priority="87" stopIfTrue="1" operator="notEqual">
      <formula>0</formula>
    </cfRule>
  </conditionalFormatting>
  <conditionalFormatting sqref="G163">
    <cfRule type="cellIs" dxfId="66" priority="86" stopIfTrue="1" operator="notEqual">
      <formula>0</formula>
    </cfRule>
  </conditionalFormatting>
  <conditionalFormatting sqref="G164">
    <cfRule type="cellIs" dxfId="65" priority="85" stopIfTrue="1" operator="notEqual">
      <formula>0</formula>
    </cfRule>
  </conditionalFormatting>
  <conditionalFormatting sqref="G178">
    <cfRule type="cellIs" dxfId="64" priority="84" stopIfTrue="1" operator="notEqual">
      <formula>0</formula>
    </cfRule>
  </conditionalFormatting>
  <conditionalFormatting sqref="G179">
    <cfRule type="cellIs" dxfId="63" priority="83" stopIfTrue="1" operator="notEqual">
      <formula>0</formula>
    </cfRule>
  </conditionalFormatting>
  <conditionalFormatting sqref="H237:H239">
    <cfRule type="cellIs" priority="79" stopIfTrue="1" operator="equal">
      <formula>";;;"</formula>
    </cfRule>
  </conditionalFormatting>
  <conditionalFormatting sqref="H237">
    <cfRule type="cellIs" dxfId="62" priority="78" stopIfTrue="1" operator="equal">
      <formula>0</formula>
    </cfRule>
  </conditionalFormatting>
  <conditionalFormatting sqref="H238">
    <cfRule type="cellIs" dxfId="61" priority="77" stopIfTrue="1" operator="equal">
      <formula>0</formula>
    </cfRule>
  </conditionalFormatting>
  <conditionalFormatting sqref="H239">
    <cfRule type="cellIs" dxfId="60" priority="76" stopIfTrue="1" operator="equal">
      <formula>0</formula>
    </cfRule>
  </conditionalFormatting>
  <conditionalFormatting sqref="H239">
    <cfRule type="cellIs" dxfId="59" priority="75" stopIfTrue="1" operator="equal">
      <formula>0</formula>
    </cfRule>
  </conditionalFormatting>
  <conditionalFormatting sqref="H237">
    <cfRule type="cellIs" dxfId="58" priority="74" stopIfTrue="1" operator="equal">
      <formula>0</formula>
    </cfRule>
  </conditionalFormatting>
  <conditionalFormatting sqref="G21">
    <cfRule type="cellIs" dxfId="57" priority="73" stopIfTrue="1" operator="notEqual">
      <formula>0</formula>
    </cfRule>
  </conditionalFormatting>
  <conditionalFormatting sqref="G7">
    <cfRule type="containsText" dxfId="56" priority="71" stopIfTrue="1" operator="containsText" text="Included in error count">
      <formula>NOT(ISERROR(SEARCH("Included in error count",G7)))</formula>
    </cfRule>
    <cfRule type="cellIs" dxfId="55" priority="72" stopIfTrue="1" operator="equal">
      <formula>1</formula>
    </cfRule>
  </conditionalFormatting>
  <conditionalFormatting sqref="G55">
    <cfRule type="containsText" dxfId="54" priority="69" stopIfTrue="1" operator="containsText" text="Included in error count">
      <formula>NOT(ISERROR(SEARCH("Included in error count",G55)))</formula>
    </cfRule>
    <cfRule type="cellIs" dxfId="53" priority="70" stopIfTrue="1" operator="equal">
      <formula>1</formula>
    </cfRule>
  </conditionalFormatting>
  <conditionalFormatting sqref="G120:G121">
    <cfRule type="containsText" dxfId="52" priority="67" stopIfTrue="1" operator="containsText" text="Included in error count">
      <formula>NOT(ISERROR(SEARCH("Included in error count",G120)))</formula>
    </cfRule>
    <cfRule type="cellIs" dxfId="51" priority="68" stopIfTrue="1" operator="equal">
      <formula>1</formula>
    </cfRule>
  </conditionalFormatting>
  <conditionalFormatting sqref="G122">
    <cfRule type="containsText" dxfId="50" priority="65" stopIfTrue="1" operator="containsText" text="Included in error count">
      <formula>NOT(ISERROR(SEARCH("Included in error count",G122)))</formula>
    </cfRule>
    <cfRule type="cellIs" dxfId="49" priority="66" stopIfTrue="1" operator="equal">
      <formula>1</formula>
    </cfRule>
  </conditionalFormatting>
  <conditionalFormatting sqref="G131">
    <cfRule type="containsText" dxfId="48" priority="61" stopIfTrue="1" operator="containsText" text="Included in error count">
      <formula>NOT(ISERROR(SEARCH("Included in error count",G131)))</formula>
    </cfRule>
    <cfRule type="cellIs" dxfId="47" priority="62" stopIfTrue="1" operator="equal">
      <formula>1</formula>
    </cfRule>
  </conditionalFormatting>
  <conditionalFormatting sqref="G153">
    <cfRule type="containsText" dxfId="46" priority="57" stopIfTrue="1" operator="containsText" text="Included in error count">
      <formula>NOT(ISERROR(SEARCH("Included in error count",G153)))</formula>
    </cfRule>
    <cfRule type="cellIs" dxfId="45" priority="58" stopIfTrue="1" operator="equal">
      <formula>1</formula>
    </cfRule>
  </conditionalFormatting>
  <conditionalFormatting sqref="G237">
    <cfRule type="containsText" dxfId="44" priority="46" stopIfTrue="1" operator="containsText" text="Included in error count">
      <formula>NOT(ISERROR(SEARCH("Included in error count",G237)))</formula>
    </cfRule>
    <cfRule type="cellIs" dxfId="43" priority="47" stopIfTrue="1" operator="equal">
      <formula>1</formula>
    </cfRule>
  </conditionalFormatting>
  <conditionalFormatting sqref="G238">
    <cfRule type="containsText" dxfId="42" priority="44" stopIfTrue="1" operator="containsText" text="Included in error count">
      <formula>NOT(ISERROR(SEARCH("Included in error count",G238)))</formula>
    </cfRule>
    <cfRule type="cellIs" dxfId="41" priority="45" stopIfTrue="1" operator="equal">
      <formula>1</formula>
    </cfRule>
  </conditionalFormatting>
  <conditionalFormatting sqref="G239">
    <cfRule type="containsText" dxfId="40" priority="42" stopIfTrue="1" operator="containsText" text="Included in error count">
      <formula>NOT(ISERROR(SEARCH("Included in error count",G239)))</formula>
    </cfRule>
    <cfRule type="cellIs" dxfId="39" priority="43" stopIfTrue="1" operator="equal">
      <formula>1</formula>
    </cfRule>
  </conditionalFormatting>
  <conditionalFormatting sqref="G168">
    <cfRule type="containsText" dxfId="38" priority="40" stopIfTrue="1" operator="containsText" text="Included in error count">
      <formula>NOT(ISERROR(SEARCH("Included in error count",G168)))</formula>
    </cfRule>
    <cfRule type="cellIs" dxfId="37"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78EA5-77E1-4814-8728-4098B30437CB}">
  <sheetPr>
    <tabColor theme="3" tint="0.79998168889431442"/>
    <pageSetUpPr fitToPage="1"/>
  </sheetPr>
  <dimension ref="A1:CC65"/>
  <sheetViews>
    <sheetView showGridLines="0" zoomScale="70" zoomScaleNormal="70" workbookViewId="0">
      <selection activeCell="H84" sqref="H84"/>
    </sheetView>
  </sheetViews>
  <sheetFormatPr defaultColWidth="9.109375" defaultRowHeight="14.4" x14ac:dyDescent="0.3"/>
  <cols>
    <col min="1" max="1" width="44.5546875" style="951" customWidth="1"/>
    <col min="2" max="2" width="17.109375" style="951" customWidth="1"/>
    <col min="3" max="3" width="19" style="951" customWidth="1"/>
    <col min="4" max="4" width="19.109375" style="951" customWidth="1"/>
    <col min="5" max="5" width="15.109375" style="951" customWidth="1"/>
    <col min="6" max="6" width="12.88671875" style="951" customWidth="1"/>
    <col min="7" max="7" width="43.88671875" style="1040" hidden="1" customWidth="1"/>
    <col min="8" max="8" width="77.5546875" style="951" customWidth="1"/>
    <col min="9" max="9" width="70.44140625" style="952" customWidth="1"/>
    <col min="10" max="10" width="46.109375" style="952" customWidth="1"/>
    <col min="11" max="11" width="9.109375" style="952" customWidth="1"/>
    <col min="12" max="12" width="36.88671875" style="270" customWidth="1"/>
    <col min="13" max="14" width="15.6640625" style="270" customWidth="1"/>
    <col min="15" max="15" width="56.33203125" style="270" customWidth="1"/>
    <col min="16" max="16" width="11.109375" style="950" customWidth="1"/>
    <col min="17" max="18" width="9.109375" style="951" customWidth="1"/>
    <col min="19" max="16384" width="9.109375" style="951"/>
  </cols>
  <sheetData>
    <row r="1" spans="1:78" ht="40.5" customHeight="1" x14ac:dyDescent="0.3">
      <c r="A1" s="1339"/>
      <c r="B1" s="1339"/>
      <c r="C1" s="1339"/>
      <c r="D1" s="1339"/>
      <c r="E1" s="1339"/>
      <c r="F1" s="1339"/>
      <c r="G1" s="1339"/>
      <c r="H1" s="1339"/>
      <c r="I1" s="1339"/>
      <c r="J1" s="1339"/>
      <c r="K1" s="1027"/>
    </row>
    <row r="2" spans="1:78" ht="72" hidden="1" customHeight="1" x14ac:dyDescent="0.3">
      <c r="A2" s="1378" t="s">
        <v>1356</v>
      </c>
      <c r="B2" s="1379"/>
      <c r="C2" s="1379"/>
      <c r="D2" s="1379"/>
      <c r="E2" s="1379"/>
      <c r="F2" s="1379"/>
      <c r="G2" s="1379"/>
      <c r="H2" s="1379"/>
      <c r="I2" s="1341" t="s">
        <v>1392</v>
      </c>
      <c r="J2" s="1343" t="s">
        <v>1088</v>
      </c>
      <c r="K2" s="1055"/>
    </row>
    <row r="3" spans="1:78" ht="15" hidden="1" customHeight="1" x14ac:dyDescent="0.3">
      <c r="A3" s="488" t="s">
        <v>764</v>
      </c>
      <c r="B3" s="953"/>
      <c r="C3" s="953"/>
      <c r="D3" s="953"/>
      <c r="E3" s="954"/>
      <c r="F3" s="954"/>
      <c r="G3" s="1380"/>
      <c r="H3" s="1381"/>
      <c r="I3" s="1341"/>
      <c r="J3" s="1343"/>
      <c r="K3" s="1055"/>
    </row>
    <row r="4" spans="1:78" ht="21.75" hidden="1" customHeight="1" x14ac:dyDescent="0.3">
      <c r="A4" s="955" t="s">
        <v>843</v>
      </c>
      <c r="B4" s="1382" t="str">
        <f>'Unit Data from Audit Worksheet'!D2</f>
        <v>Select Unit Name from Drop Down List</v>
      </c>
      <c r="C4" s="1382"/>
      <c r="D4" s="1382"/>
      <c r="E4" s="1383" t="s">
        <v>1357</v>
      </c>
      <c r="F4" s="1384"/>
      <c r="G4" s="956"/>
      <c r="H4" s="1385" t="s">
        <v>767</v>
      </c>
      <c r="I4" s="1341"/>
      <c r="J4" s="1343"/>
      <c r="K4" s="1056"/>
      <c r="L4" s="957"/>
    </row>
    <row r="5" spans="1:78" ht="21.6" hidden="1" thickBot="1" x14ac:dyDescent="0.35">
      <c r="A5" s="958" t="s">
        <v>766</v>
      </c>
      <c r="B5" s="1386" t="e">
        <f>'Unit Data from Audit Worksheet'!D3</f>
        <v>#N/A</v>
      </c>
      <c r="C5" s="1386"/>
      <c r="D5" s="1386"/>
      <c r="E5" s="1383"/>
      <c r="F5" s="1384"/>
      <c r="G5" s="959"/>
      <c r="H5" s="1383"/>
      <c r="I5" s="1342"/>
      <c r="J5" s="1344"/>
      <c r="K5" s="949"/>
      <c r="L5" s="170" t="s">
        <v>805</v>
      </c>
    </row>
    <row r="6" spans="1:78" ht="185.1" hidden="1" customHeight="1" thickBot="1" x14ac:dyDescent="0.35">
      <c r="A6" s="1362"/>
      <c r="B6" s="1363"/>
      <c r="C6" s="1363"/>
      <c r="D6" s="1363"/>
      <c r="E6" s="1363"/>
      <c r="F6" s="1364"/>
      <c r="G6" s="1022"/>
      <c r="H6" s="1368" t="s">
        <v>1358</v>
      </c>
      <c r="I6" s="1044"/>
      <c r="J6" s="1345"/>
      <c r="K6" s="949"/>
      <c r="L6" s="960"/>
    </row>
    <row r="7" spans="1:78" ht="132" hidden="1" customHeight="1" thickBot="1" x14ac:dyDescent="0.35">
      <c r="A7" s="1365"/>
      <c r="B7" s="1366"/>
      <c r="C7" s="1366"/>
      <c r="D7" s="1366"/>
      <c r="E7" s="1366"/>
      <c r="F7" s="1367"/>
      <c r="G7" s="1022"/>
      <c r="H7" s="1369"/>
      <c r="I7" s="961"/>
      <c r="J7" s="1346"/>
      <c r="K7" s="949"/>
      <c r="L7" s="960">
        <f>+(Import!$L$72+Import!$L$77+Import!$L$74-Import!$L$75-Import!$L$76)</f>
        <v>0</v>
      </c>
    </row>
    <row r="8" spans="1:78" ht="27.75" hidden="1" customHeight="1" thickBot="1" x14ac:dyDescent="0.35">
      <c r="A8" s="1371" t="s">
        <v>1359</v>
      </c>
      <c r="B8" s="1371"/>
      <c r="C8" s="1371"/>
      <c r="D8" s="1371"/>
      <c r="E8" s="962" t="s">
        <v>1049</v>
      </c>
      <c r="F8" s="962" t="s">
        <v>1360</v>
      </c>
      <c r="G8" s="963" t="s">
        <v>772</v>
      </c>
      <c r="H8" s="1370"/>
      <c r="I8" s="964"/>
      <c r="J8" s="1347"/>
      <c r="K8" s="949"/>
      <c r="L8" s="959" t="b">
        <f>IF($L$7&gt;10000000,"25%",IF($L$7&gt;999999,"34%",IF($L$7&gt;99999,"71%",IF($L$7&gt;1,"100%"))))</f>
        <v>0</v>
      </c>
      <c r="M8" s="965"/>
      <c r="O8" s="966"/>
      <c r="P8" s="967"/>
    </row>
    <row r="9" spans="1:78" ht="202.5" hidden="1" customHeight="1" thickBot="1" x14ac:dyDescent="0.35">
      <c r="A9" s="1372"/>
      <c r="B9" s="1373"/>
      <c r="C9" s="1373"/>
      <c r="D9" s="1374"/>
      <c r="E9" s="968" t="b">
        <f>IF($L$7&gt;10000000,"25% -- Average of similar units is 46%",IF($L$7&gt;999999,"34% -- Average of similar units is 63%",IF($L$7&gt;99999,"71% -- Average of similar units is 132%",IF($L$7&gt;1,"100 %-- Average of similar units is 260%"))))</f>
        <v>0</v>
      </c>
      <c r="F9" s="969"/>
      <c r="G9" s="970"/>
      <c r="H9" s="1047" t="s">
        <v>1361</v>
      </c>
      <c r="I9" s="1060" t="s">
        <v>1250</v>
      </c>
      <c r="J9" s="1063"/>
      <c r="K9" s="949"/>
      <c r="L9" s="1075" t="e">
        <f>+'PI series #'!L6</f>
        <v>#VALUE!</v>
      </c>
      <c r="M9" s="965"/>
      <c r="O9" s="966"/>
      <c r="P9" s="967"/>
    </row>
    <row r="10" spans="1:78" ht="202.5" hidden="1" customHeight="1" thickBot="1" x14ac:dyDescent="0.35">
      <c r="A10" s="1372"/>
      <c r="B10" s="1373"/>
      <c r="C10" s="1373"/>
      <c r="D10" s="1374"/>
      <c r="E10" s="968" t="str">
        <f>IF($K$5&gt;99999999,"16%--Median of simiar units is 32%","20%--Median of similar units is 39%")</f>
        <v>20%--Median of similar units is 39%</v>
      </c>
      <c r="F10" s="969"/>
      <c r="G10" s="970"/>
      <c r="H10" s="1047" t="s">
        <v>1393</v>
      </c>
      <c r="I10" s="1060" t="s">
        <v>1250</v>
      </c>
      <c r="J10" s="1063"/>
      <c r="K10" s="1076">
        <f>IF($K$5&gt;99999999,16%,20%)</f>
        <v>0.2</v>
      </c>
      <c r="L10" s="1075" t="e">
        <f>+'PI series #'!L8</f>
        <v>#VALUE!</v>
      </c>
      <c r="M10" s="965"/>
      <c r="O10" s="966"/>
      <c r="P10" s="967"/>
    </row>
    <row r="11" spans="1:78" ht="202.5" hidden="1" customHeight="1" thickBot="1" x14ac:dyDescent="0.35">
      <c r="A11" s="1372"/>
      <c r="B11" s="1373"/>
      <c r="C11" s="1373"/>
      <c r="D11" s="1374"/>
      <c r="E11" s="1077">
        <v>0.08</v>
      </c>
      <c r="F11" s="969"/>
      <c r="G11" s="970"/>
      <c r="H11" s="1047" t="s">
        <v>1294</v>
      </c>
      <c r="I11" s="1060" t="s">
        <v>1250</v>
      </c>
      <c r="J11" s="1063"/>
      <c r="K11" s="949"/>
      <c r="L11" s="1074" t="str">
        <f>++'PI series #'!D9</f>
        <v/>
      </c>
      <c r="M11" s="965"/>
      <c r="O11" s="966"/>
      <c r="P11" s="967"/>
    </row>
    <row r="12" spans="1:78" ht="152.25" hidden="1" customHeight="1" thickBot="1" x14ac:dyDescent="0.35">
      <c r="A12" s="920" t="s">
        <v>799</v>
      </c>
      <c r="B12" s="1079"/>
      <c r="C12" s="1079"/>
      <c r="D12" s="1080">
        <f>+Import!L65</f>
        <v>0</v>
      </c>
      <c r="E12" s="1081"/>
      <c r="F12" s="1080">
        <f>+D12</f>
        <v>0</v>
      </c>
      <c r="G12" s="1082"/>
      <c r="H12" s="1082" t="s">
        <v>1018</v>
      </c>
      <c r="I12" s="1085" t="s">
        <v>800</v>
      </c>
      <c r="J12" s="1086"/>
      <c r="K12" s="950"/>
      <c r="L12" s="951"/>
      <c r="M12" s="951"/>
      <c r="N12" s="951"/>
      <c r="O12" s="951"/>
      <c r="P12" s="951"/>
      <c r="Y12" s="270"/>
      <c r="Z12" s="173" t="s">
        <v>1252</v>
      </c>
    </row>
    <row r="13" spans="1:78" ht="51.75" hidden="1" customHeight="1" thickBot="1" x14ac:dyDescent="0.35">
      <c r="A13" s="972" t="s">
        <v>1394</v>
      </c>
      <c r="B13" s="973"/>
      <c r="C13" s="973"/>
      <c r="D13" s="973"/>
      <c r="E13" s="962" t="s">
        <v>1049</v>
      </c>
      <c r="F13" s="962" t="s">
        <v>1360</v>
      </c>
      <c r="G13" s="974"/>
      <c r="H13" s="1083" t="s">
        <v>1362</v>
      </c>
      <c r="I13" s="1045"/>
      <c r="J13" s="1045"/>
      <c r="K13" s="949"/>
      <c r="L13" s="976" t="e">
        <f>HLOOKUP($B$5,'2019 Data(H)'!$E$2:$BZ$305,244,FALSE)</f>
        <v>#N/A</v>
      </c>
      <c r="M13" s="976" t="e">
        <f>HLOOKUP(B5,'2020 Data(H)'!E2:CZ350,244,FALSE)</f>
        <v>#N/A</v>
      </c>
      <c r="N13" s="976" t="e">
        <f>Import!L268</f>
        <v>#N/A</v>
      </c>
      <c r="O13" s="977"/>
      <c r="P13" s="978"/>
      <c r="Q13" s="979"/>
      <c r="R13" s="979"/>
      <c r="S13" s="979"/>
      <c r="T13" s="979"/>
      <c r="U13" s="979"/>
      <c r="V13" s="979"/>
      <c r="W13" s="979"/>
      <c r="X13" s="979"/>
      <c r="Y13" s="979"/>
      <c r="Z13" s="979"/>
      <c r="AA13" s="979"/>
      <c r="AB13" s="979"/>
      <c r="AC13" s="979"/>
      <c r="AD13" s="979"/>
      <c r="AE13" s="979"/>
      <c r="AF13" s="979"/>
      <c r="AG13" s="979"/>
      <c r="AH13" s="979"/>
      <c r="AI13" s="979"/>
      <c r="AJ13" s="979"/>
      <c r="AK13" s="979"/>
      <c r="AL13" s="979"/>
      <c r="AM13" s="979"/>
      <c r="AN13" s="979"/>
      <c r="AO13" s="979"/>
      <c r="AP13" s="979"/>
      <c r="AQ13" s="979"/>
      <c r="AR13" s="979"/>
      <c r="AS13" s="979"/>
      <c r="AT13" s="979"/>
      <c r="AU13" s="979"/>
      <c r="AV13" s="979"/>
      <c r="AW13" s="979"/>
      <c r="AX13" s="979"/>
      <c r="AY13" s="979"/>
      <c r="AZ13" s="979"/>
      <c r="BA13" s="979"/>
      <c r="BB13" s="979"/>
      <c r="BC13" s="979"/>
      <c r="BD13" s="979"/>
      <c r="BE13" s="979"/>
      <c r="BF13" s="979"/>
      <c r="BG13" s="979"/>
      <c r="BH13" s="979"/>
      <c r="BI13" s="979"/>
      <c r="BJ13" s="979"/>
      <c r="BK13" s="979"/>
      <c r="BL13" s="979"/>
      <c r="BM13" s="979"/>
      <c r="BN13" s="979"/>
      <c r="BO13" s="979"/>
      <c r="BP13" s="979"/>
      <c r="BQ13" s="979"/>
      <c r="BR13" s="979"/>
      <c r="BS13" s="979"/>
      <c r="BT13" s="979"/>
      <c r="BU13" s="979"/>
      <c r="BV13" s="979"/>
      <c r="BW13" s="979"/>
      <c r="BX13" s="979"/>
      <c r="BY13" s="979"/>
      <c r="BZ13" s="979"/>
    </row>
    <row r="14" spans="1:78" ht="202.5" hidden="1" customHeight="1" thickBot="1" x14ac:dyDescent="0.35">
      <c r="A14" s="980"/>
      <c r="B14" s="981"/>
      <c r="C14" s="981"/>
      <c r="D14" s="982"/>
      <c r="E14" s="983" t="s">
        <v>768</v>
      </c>
      <c r="F14" s="984" t="str">
        <f>'PI series #'!F12</f>
        <v/>
      </c>
      <c r="G14" s="985"/>
      <c r="H14" s="1047" t="s">
        <v>1363</v>
      </c>
      <c r="I14" s="1061" t="s">
        <v>773</v>
      </c>
      <c r="J14" s="1063"/>
      <c r="K14" s="949"/>
      <c r="L14" s="976" t="e">
        <f>HLOOKUP($B$5,'2019 Data(H)'!$E$2:$BZ$305,299,FALSE)</f>
        <v>#N/A</v>
      </c>
      <c r="M14" s="976" t="e">
        <f>HLOOKUP(B4,'2020 Data(H)'!E1:CB426,347,FALSE)</f>
        <v>#N/A</v>
      </c>
      <c r="N14" s="976" t="e">
        <f>+(Import!$L$120-Import!$L$121-Import!$L$118-Import!$L$119)/(Import!$L$124-Import!$L$125-Import!$L$126-Import!$L$127-Import!$L$128-Import!$L$129-Import!$L$123)</f>
        <v>#DIV/0!</v>
      </c>
    </row>
    <row r="15" spans="1:78" ht="27.75" hidden="1" customHeight="1" thickBot="1" x14ac:dyDescent="0.35">
      <c r="A15" s="986"/>
      <c r="B15" s="987" t="s">
        <v>1364</v>
      </c>
      <c r="C15" s="987" t="s">
        <v>1365</v>
      </c>
      <c r="D15" s="987" t="s">
        <v>1366</v>
      </c>
      <c r="E15" s="962" t="s">
        <v>1049</v>
      </c>
      <c r="F15" s="962" t="s">
        <v>1360</v>
      </c>
      <c r="G15" s="988"/>
      <c r="H15" s="975"/>
      <c r="I15" s="1045"/>
      <c r="J15" s="1045"/>
      <c r="K15" s="949"/>
      <c r="L15" s="976"/>
      <c r="M15" s="976"/>
      <c r="N15" s="976"/>
    </row>
    <row r="16" spans="1:78" ht="69.599999999999994" hidden="1" customHeight="1" thickBot="1" x14ac:dyDescent="0.35">
      <c r="A16" s="989" t="s">
        <v>810</v>
      </c>
      <c r="B16" s="990" t="e">
        <f>IF(L13=0,"Not Applicable",L16)</f>
        <v>#N/A</v>
      </c>
      <c r="C16" s="990" t="e">
        <f>IF(M13=0,"Not Applicable",M16)</f>
        <v>#N/A</v>
      </c>
      <c r="D16" s="990" t="e">
        <f>IF(N13=0,"Not Applicable",N16)</f>
        <v>#N/A</v>
      </c>
      <c r="E16" s="991" t="s">
        <v>1367</v>
      </c>
      <c r="F16" s="990" t="e">
        <f>D16</f>
        <v>#N/A</v>
      </c>
      <c r="G16" s="992" t="s">
        <v>811</v>
      </c>
      <c r="H16" s="1047" t="s">
        <v>1368</v>
      </c>
      <c r="I16" s="1061" t="s">
        <v>1398</v>
      </c>
      <c r="J16" s="1064"/>
      <c r="K16" s="949"/>
      <c r="L16" s="994" t="e">
        <f>HLOOKUP(B5,'2019 Data(H)'!E2:BZ305,300,FALSE)</f>
        <v>#N/A</v>
      </c>
      <c r="M16" s="994" t="e">
        <f>HLOOKUP(B4,'2020 Data(H)'!F1:CC426,348,FALSE)</f>
        <v>#N/A</v>
      </c>
      <c r="N16" s="960">
        <f>+Import!$L$153-Import!$L$155+Import!$L$154-Import!$L$182</f>
        <v>0</v>
      </c>
    </row>
    <row r="17" spans="1:81" ht="109.95" hidden="1" customHeight="1" thickBot="1" x14ac:dyDescent="0.35">
      <c r="A17" s="989" t="s">
        <v>833</v>
      </c>
      <c r="B17" s="995" t="e">
        <f>IF(L13=0,"Not Applicable",L17)</f>
        <v>#N/A</v>
      </c>
      <c r="C17" s="995" t="e">
        <f t="shared" ref="C17:D17" si="0">IF(M13=0,"Not Applicable",M17)</f>
        <v>#N/A</v>
      </c>
      <c r="D17" s="995" t="e">
        <f t="shared" si="0"/>
        <v>#N/A</v>
      </c>
      <c r="E17" s="991" t="s">
        <v>1286</v>
      </c>
      <c r="F17" s="996" t="e">
        <f>D17</f>
        <v>#N/A</v>
      </c>
      <c r="G17" s="992" t="s">
        <v>812</v>
      </c>
      <c r="H17" s="1047" t="s">
        <v>1369</v>
      </c>
      <c r="I17" s="1061" t="s">
        <v>812</v>
      </c>
      <c r="J17" s="1063"/>
      <c r="K17" s="949"/>
      <c r="L17" s="997" t="e">
        <f>HLOOKUP(B5,'2019 Data(H)'!E2:BZ305,301,FALSE)</f>
        <v>#N/A</v>
      </c>
      <c r="M17" s="997" t="e">
        <f>HLOOKUP(B4,'2020 Data(H)'!F1:CC426,349,FALSE)</f>
        <v>#N/A</v>
      </c>
      <c r="N17" s="997" t="e">
        <f>+Import!L116/(Import!L155+Import!L158-Import!L154+Import!L182)</f>
        <v>#DIV/0!</v>
      </c>
      <c r="O17" s="947"/>
    </row>
    <row r="18" spans="1:81" ht="75" hidden="1" customHeight="1" thickBot="1" x14ac:dyDescent="0.4">
      <c r="A18" s="1348" t="s">
        <v>1287</v>
      </c>
      <c r="B18" s="1349"/>
      <c r="C18" s="1350"/>
      <c r="D18" s="998" t="str">
        <f>IF(M18&lt;0,"Yes","No")</f>
        <v>No</v>
      </c>
      <c r="E18" s="999"/>
      <c r="F18" s="1000" t="str">
        <f>D18</f>
        <v>No</v>
      </c>
      <c r="G18" s="993" t="s">
        <v>1370</v>
      </c>
      <c r="H18" s="1047" t="s">
        <v>1371</v>
      </c>
      <c r="I18" s="1062" t="s">
        <v>1288</v>
      </c>
      <c r="J18" s="1064"/>
      <c r="K18" s="949"/>
      <c r="L18" s="1001"/>
      <c r="M18" s="1001">
        <f>((Import!L158+Import!L155)*0.03)-Import!L161</f>
        <v>0</v>
      </c>
      <c r="N18" s="270">
        <f>L18*0.03</f>
        <v>0</v>
      </c>
    </row>
    <row r="19" spans="1:81" ht="15" hidden="1" thickBot="1" x14ac:dyDescent="0.35">
      <c r="A19" s="1002"/>
      <c r="B19" s="1003"/>
      <c r="C19" s="1003"/>
      <c r="D19" s="1003"/>
      <c r="E19" s="1004"/>
      <c r="F19" s="1003"/>
      <c r="G19" s="1005"/>
      <c r="H19" s="1003"/>
      <c r="I19" s="1042"/>
      <c r="J19" s="1042"/>
    </row>
    <row r="20" spans="1:81" ht="27.75" hidden="1" customHeight="1" thickBot="1" x14ac:dyDescent="0.35">
      <c r="A20" s="1358" t="s">
        <v>1372</v>
      </c>
      <c r="B20" s="1359"/>
      <c r="C20" s="1359"/>
      <c r="D20" s="1359"/>
      <c r="E20" s="962" t="s">
        <v>1049</v>
      </c>
      <c r="F20" s="962" t="s">
        <v>1360</v>
      </c>
      <c r="G20" s="1006" t="s">
        <v>832</v>
      </c>
      <c r="H20" s="1007"/>
      <c r="I20" s="1046"/>
      <c r="J20" s="1046"/>
      <c r="K20" s="949"/>
      <c r="L20" s="976" t="e">
        <f>HLOOKUP(B5,'2019 Data(H)'!E2:BZ310,243,FALSE)</f>
        <v>#N/A</v>
      </c>
      <c r="M20" s="1008" t="e">
        <f>HLOOKUP(B5,'2020 Data(H)'!E2:CZ350,243,FALSE)</f>
        <v>#N/A</v>
      </c>
      <c r="N20" s="1009" t="e">
        <f>+Import!L267</f>
        <v>#N/A</v>
      </c>
    </row>
    <row r="21" spans="1:81" ht="202.5" hidden="1" customHeight="1" thickBot="1" x14ac:dyDescent="0.35">
      <c r="A21" s="1375"/>
      <c r="B21" s="1376"/>
      <c r="C21" s="1376"/>
      <c r="D21" s="1377"/>
      <c r="E21" s="991" t="s">
        <v>768</v>
      </c>
      <c r="F21" s="1041" t="str">
        <f>'PI series #'!F18</f>
        <v/>
      </c>
      <c r="G21" s="993"/>
      <c r="H21" s="1058" t="s">
        <v>1373</v>
      </c>
      <c r="I21" s="1048" t="s">
        <v>818</v>
      </c>
      <c r="J21" s="1065"/>
      <c r="K21" s="949"/>
      <c r="L21" s="1008" t="e">
        <f>HLOOKUP(B5,'2019 Data(H)'!E2:BZ310,302,FALSE)</f>
        <v>#N/A</v>
      </c>
      <c r="M21" s="976" t="e">
        <f>HLOOKUP(B4,'2020 Data(H)'!F1:CC426,350,FALSE)</f>
        <v>#N/A</v>
      </c>
      <c r="N21" s="976" t="e">
        <f>+(Import!L138-Import!L139-Import!L137-Import!L136)/(Import!L143-Import!L144-Import!L145-Import!L146-Import!L147-Import!L148-Import!L142)</f>
        <v>#DIV/0!</v>
      </c>
    </row>
    <row r="22" spans="1:81" ht="27.75" hidden="1" customHeight="1" thickBot="1" x14ac:dyDescent="0.35">
      <c r="A22" s="1011"/>
      <c r="B22" s="1012" t="s">
        <v>1364</v>
      </c>
      <c r="C22" s="1012" t="s">
        <v>1365</v>
      </c>
      <c r="D22" s="1012" t="s">
        <v>1366</v>
      </c>
      <c r="E22" s="962" t="s">
        <v>1049</v>
      </c>
      <c r="F22" s="962" t="s">
        <v>1360</v>
      </c>
      <c r="G22" s="993"/>
      <c r="H22" s="971"/>
      <c r="I22" s="1048"/>
      <c r="J22" s="971"/>
      <c r="K22" s="949"/>
      <c r="L22" s="1008"/>
      <c r="M22" s="976"/>
      <c r="N22" s="976"/>
    </row>
    <row r="23" spans="1:81" ht="71.25" hidden="1" customHeight="1" thickBot="1" x14ac:dyDescent="0.35">
      <c r="A23" s="989" t="s">
        <v>810</v>
      </c>
      <c r="B23" s="1013" t="e">
        <f>IF(L20=0,"N/A",L23)</f>
        <v>#N/A</v>
      </c>
      <c r="C23" s="1013" t="e">
        <f>IF(M20=0,"N/A",M23)</f>
        <v>#N/A</v>
      </c>
      <c r="D23" s="1013" t="e">
        <f>IF(N20=0,"N/A",N23)</f>
        <v>#N/A</v>
      </c>
      <c r="E23" s="991" t="s">
        <v>1054</v>
      </c>
      <c r="F23" s="1021" t="e">
        <f>D23</f>
        <v>#N/A</v>
      </c>
      <c r="G23" s="993"/>
      <c r="H23" s="1058" t="s">
        <v>1374</v>
      </c>
      <c r="I23" s="1066" t="s">
        <v>1399</v>
      </c>
      <c r="J23" s="1064"/>
      <c r="K23" s="949"/>
      <c r="L23" s="994" t="e">
        <f>HLOOKUP(B5,'2019 Data(H)'!E2:BZ310,303,FALSE)</f>
        <v>#N/A</v>
      </c>
      <c r="M23" s="994" t="e">
        <f>HLOOKUP(B4,'2020 Data(H)'!F1:CC426,351,FALSE)</f>
        <v>#N/A</v>
      </c>
      <c r="N23" s="994">
        <f>+Import!L168-Import!L171+Import!L170-Import!L185</f>
        <v>0</v>
      </c>
    </row>
    <row r="24" spans="1:81" s="270" customFormat="1" ht="102.75" hidden="1" customHeight="1" thickBot="1" x14ac:dyDescent="0.35">
      <c r="A24" s="989" t="s">
        <v>833</v>
      </c>
      <c r="B24" s="995" t="e">
        <f>IF(L20=0,"N/A",L24)</f>
        <v>#N/A</v>
      </c>
      <c r="C24" s="995" t="e">
        <f>IF(M20=0,"N/A",M24)</f>
        <v>#N/A</v>
      </c>
      <c r="D24" s="995" t="e">
        <f>IF(N20=0,"N/A",N24)</f>
        <v>#N/A</v>
      </c>
      <c r="E24" s="991" t="s">
        <v>1286</v>
      </c>
      <c r="F24" s="996" t="e">
        <f>D24</f>
        <v>#N/A</v>
      </c>
      <c r="G24" s="993"/>
      <c r="H24" s="1047" t="s">
        <v>1369</v>
      </c>
      <c r="I24" s="1066" t="s">
        <v>822</v>
      </c>
      <c r="J24" s="1063"/>
      <c r="K24" s="949"/>
      <c r="L24" s="997" t="e">
        <f>HLOOKUP(B5,'2019 Data(H)'!E2:BZ310,304,FALSE)</f>
        <v>#N/A</v>
      </c>
      <c r="M24" s="997" t="e">
        <f>HLOOKUP(B4,'2020 Data(H)'!F1:CC426,352,FALSE)</f>
        <v>#N/A</v>
      </c>
      <c r="N24" s="997" t="e">
        <f>+Import!L134/(Import!L174+Import!L171-Import!L170+Import!L185)</f>
        <v>#DIV/0!</v>
      </c>
      <c r="P24" s="950"/>
      <c r="Q24" s="951"/>
      <c r="R24" s="951"/>
      <c r="S24" s="951"/>
      <c r="T24" s="951"/>
      <c r="U24" s="951"/>
      <c r="V24" s="951"/>
      <c r="W24" s="951"/>
      <c r="X24" s="951"/>
      <c r="Y24" s="951"/>
      <c r="Z24" s="951"/>
      <c r="AA24" s="951"/>
      <c r="AB24" s="951"/>
      <c r="AC24" s="951"/>
      <c r="AD24" s="951"/>
      <c r="AE24" s="951"/>
      <c r="AF24" s="951"/>
      <c r="AG24" s="951"/>
      <c r="AH24" s="951"/>
      <c r="AI24" s="951"/>
      <c r="AJ24" s="951"/>
      <c r="AK24" s="951"/>
      <c r="AL24" s="951"/>
      <c r="AM24" s="951"/>
      <c r="AN24" s="951"/>
      <c r="AO24" s="951"/>
      <c r="AP24" s="951"/>
      <c r="AQ24" s="951"/>
      <c r="AR24" s="951"/>
      <c r="AS24" s="951"/>
      <c r="AT24" s="951"/>
      <c r="AU24" s="951"/>
      <c r="AV24" s="951"/>
      <c r="AW24" s="951"/>
      <c r="AX24" s="951"/>
      <c r="AY24" s="951"/>
      <c r="AZ24" s="951"/>
      <c r="BA24" s="951"/>
      <c r="BB24" s="951"/>
      <c r="BC24" s="951"/>
      <c r="BD24" s="951"/>
      <c r="BE24" s="951"/>
      <c r="BF24" s="951"/>
      <c r="BG24" s="951"/>
      <c r="BH24" s="951"/>
      <c r="BI24" s="951"/>
      <c r="BJ24" s="951"/>
      <c r="BK24" s="951"/>
      <c r="BL24" s="951"/>
      <c r="BM24" s="951"/>
      <c r="BN24" s="951"/>
      <c r="BO24" s="951"/>
      <c r="BP24" s="951"/>
      <c r="BQ24" s="951"/>
      <c r="BR24" s="951"/>
      <c r="BS24" s="951"/>
      <c r="BT24" s="951"/>
      <c r="BU24" s="951"/>
      <c r="BV24" s="951"/>
      <c r="BW24" s="951"/>
      <c r="BX24" s="951"/>
      <c r="BY24" s="951"/>
      <c r="BZ24" s="951"/>
      <c r="CA24" s="951"/>
      <c r="CB24" s="951"/>
      <c r="CC24" s="951"/>
    </row>
    <row r="25" spans="1:81" s="270" customFormat="1" ht="25.5" hidden="1" customHeight="1" thickBot="1" x14ac:dyDescent="0.35">
      <c r="A25" s="1049" t="s">
        <v>1052</v>
      </c>
      <c r="B25" s="1052"/>
      <c r="C25" s="1052"/>
      <c r="D25" s="1052"/>
      <c r="E25" s="1053"/>
      <c r="F25" s="1054"/>
      <c r="G25" s="1050"/>
      <c r="H25" s="1051"/>
      <c r="I25" s="1087"/>
      <c r="J25" s="1088"/>
      <c r="K25" s="949"/>
      <c r="L25" s="997"/>
      <c r="M25" s="997"/>
      <c r="N25" s="997"/>
      <c r="P25" s="950"/>
      <c r="Q25" s="951"/>
      <c r="R25" s="951"/>
      <c r="S25" s="951"/>
      <c r="T25" s="951"/>
      <c r="U25" s="951"/>
      <c r="V25" s="951"/>
      <c r="W25" s="951"/>
      <c r="X25" s="951"/>
      <c r="Y25" s="951"/>
      <c r="Z25" s="951"/>
      <c r="AA25" s="951"/>
      <c r="AB25" s="951"/>
      <c r="AC25" s="951"/>
      <c r="AD25" s="951"/>
      <c r="AE25" s="951"/>
      <c r="AF25" s="951"/>
      <c r="AG25" s="951"/>
      <c r="AH25" s="951"/>
      <c r="AI25" s="951"/>
      <c r="AJ25" s="951"/>
      <c r="AK25" s="951"/>
      <c r="AL25" s="951"/>
      <c r="AM25" s="951"/>
      <c r="AN25" s="951"/>
      <c r="AO25" s="951"/>
      <c r="AP25" s="951"/>
      <c r="AQ25" s="951"/>
      <c r="AR25" s="951"/>
      <c r="AS25" s="951"/>
      <c r="AT25" s="951"/>
      <c r="AU25" s="951"/>
      <c r="AV25" s="951"/>
      <c r="AW25" s="951"/>
      <c r="AX25" s="951"/>
      <c r="AY25" s="951"/>
      <c r="AZ25" s="951"/>
      <c r="BA25" s="951"/>
      <c r="BB25" s="951"/>
      <c r="BC25" s="951"/>
      <c r="BD25" s="951"/>
      <c r="BE25" s="951"/>
      <c r="BF25" s="951"/>
      <c r="BG25" s="951"/>
      <c r="BH25" s="951"/>
      <c r="BI25" s="951"/>
      <c r="BJ25" s="951"/>
      <c r="BK25" s="951"/>
      <c r="BL25" s="951"/>
      <c r="BM25" s="951"/>
      <c r="BN25" s="951"/>
      <c r="BO25" s="951"/>
      <c r="BP25" s="951"/>
      <c r="BQ25" s="951"/>
      <c r="BR25" s="951"/>
      <c r="BS25" s="951"/>
      <c r="BT25" s="951"/>
      <c r="BU25" s="951"/>
      <c r="BV25" s="951"/>
      <c r="BW25" s="951"/>
      <c r="BX25" s="951"/>
      <c r="BY25" s="951"/>
      <c r="BZ25" s="951"/>
      <c r="CA25" s="951"/>
      <c r="CB25" s="951"/>
      <c r="CC25" s="951"/>
    </row>
    <row r="26" spans="1:81" s="270" customFormat="1" ht="88.5" hidden="1" customHeight="1" thickBot="1" x14ac:dyDescent="0.35">
      <c r="A26" s="1049" t="s">
        <v>446</v>
      </c>
      <c r="B26" s="1052"/>
      <c r="C26" s="1052"/>
      <c r="D26" s="1089" t="str">
        <f>+N26</f>
        <v/>
      </c>
      <c r="E26" s="991" t="s">
        <v>768</v>
      </c>
      <c r="F26" s="1090" t="str">
        <f>+N26</f>
        <v/>
      </c>
      <c r="G26" s="1050"/>
      <c r="H26" s="1058" t="s">
        <v>1373</v>
      </c>
      <c r="I26" s="1048" t="s">
        <v>1295</v>
      </c>
      <c r="J26" s="1063"/>
      <c r="K26" s="949"/>
      <c r="L26" s="997"/>
      <c r="M26" s="997"/>
      <c r="N26" s="1078" t="str">
        <f>IFERROR((+Import!L94-Import!L93)/Import!L95,"")</f>
        <v/>
      </c>
      <c r="P26" s="950"/>
      <c r="Q26" s="951"/>
      <c r="R26" s="951"/>
      <c r="S26" s="951"/>
      <c r="T26" s="951"/>
      <c r="U26" s="951"/>
      <c r="V26" s="951"/>
      <c r="W26" s="951"/>
      <c r="X26" s="951"/>
      <c r="Y26" s="951"/>
      <c r="Z26" s="951"/>
      <c r="AA26" s="951"/>
      <c r="AB26" s="951"/>
      <c r="AC26" s="951"/>
      <c r="AD26" s="951"/>
      <c r="AE26" s="951"/>
      <c r="AF26" s="951"/>
      <c r="AG26" s="951"/>
      <c r="AH26" s="951"/>
      <c r="AI26" s="951"/>
      <c r="AJ26" s="951"/>
      <c r="AK26" s="951"/>
      <c r="AL26" s="951"/>
      <c r="AM26" s="951"/>
      <c r="AN26" s="951"/>
      <c r="AO26" s="951"/>
      <c r="AP26" s="951"/>
      <c r="AQ26" s="951"/>
      <c r="AR26" s="951"/>
      <c r="AS26" s="951"/>
      <c r="AT26" s="951"/>
      <c r="AU26" s="951"/>
      <c r="AV26" s="951"/>
      <c r="AW26" s="951"/>
      <c r="AX26" s="951"/>
      <c r="AY26" s="951"/>
      <c r="AZ26" s="951"/>
      <c r="BA26" s="951"/>
      <c r="BB26" s="951"/>
      <c r="BC26" s="951"/>
      <c r="BD26" s="951"/>
      <c r="BE26" s="951"/>
      <c r="BF26" s="951"/>
      <c r="BG26" s="951"/>
      <c r="BH26" s="951"/>
      <c r="BI26" s="951"/>
      <c r="BJ26" s="951"/>
      <c r="BK26" s="951"/>
      <c r="BL26" s="951"/>
      <c r="BM26" s="951"/>
      <c r="BN26" s="951"/>
      <c r="BO26" s="951"/>
      <c r="BP26" s="951"/>
      <c r="BQ26" s="951"/>
      <c r="BR26" s="951"/>
      <c r="BS26" s="951"/>
      <c r="BT26" s="951"/>
      <c r="BU26" s="951"/>
      <c r="BV26" s="951"/>
      <c r="BW26" s="951"/>
      <c r="BX26" s="951"/>
      <c r="BY26" s="951"/>
      <c r="BZ26" s="951"/>
      <c r="CA26" s="951"/>
      <c r="CB26" s="951"/>
      <c r="CC26" s="951"/>
    </row>
    <row r="27" spans="1:81" s="270" customFormat="1" ht="18.600000000000001" hidden="1" thickBot="1" x14ac:dyDescent="0.35">
      <c r="A27" s="1014"/>
      <c r="B27" s="1015"/>
      <c r="C27" s="1015"/>
      <c r="D27" s="1015"/>
      <c r="E27" s="1016"/>
      <c r="F27" s="1015"/>
      <c r="G27" s="1017"/>
      <c r="H27" s="1015"/>
      <c r="I27" s="1067"/>
      <c r="J27" s="1042"/>
      <c r="K27" s="952"/>
      <c r="N27" s="966"/>
      <c r="P27" s="950"/>
      <c r="Q27" s="951"/>
      <c r="R27" s="951"/>
      <c r="S27" s="951"/>
      <c r="T27" s="951"/>
      <c r="U27" s="951"/>
      <c r="V27" s="951"/>
      <c r="W27" s="951"/>
      <c r="X27" s="951"/>
      <c r="Y27" s="951"/>
      <c r="Z27" s="951"/>
      <c r="AA27" s="951"/>
      <c r="AB27" s="951"/>
      <c r="AC27" s="951"/>
      <c r="AD27" s="951"/>
      <c r="AE27" s="951"/>
      <c r="AF27" s="951"/>
      <c r="AG27" s="951"/>
      <c r="AH27" s="951"/>
      <c r="AI27" s="951"/>
      <c r="AJ27" s="951"/>
      <c r="AK27" s="951"/>
      <c r="AL27" s="951"/>
      <c r="AM27" s="951"/>
      <c r="AN27" s="951"/>
      <c r="AO27" s="951"/>
      <c r="AP27" s="951"/>
      <c r="AQ27" s="951"/>
      <c r="AR27" s="951"/>
      <c r="AS27" s="951"/>
      <c r="AT27" s="951"/>
      <c r="AU27" s="951"/>
      <c r="AV27" s="951"/>
      <c r="AW27" s="951"/>
      <c r="AX27" s="951"/>
      <c r="AY27" s="951"/>
      <c r="AZ27" s="951"/>
      <c r="BA27" s="951"/>
      <c r="BB27" s="951"/>
      <c r="BC27" s="951"/>
      <c r="BD27" s="951"/>
      <c r="BE27" s="951"/>
      <c r="BF27" s="951"/>
      <c r="BG27" s="951"/>
      <c r="BH27" s="951"/>
      <c r="BI27" s="951"/>
      <c r="BJ27" s="951"/>
      <c r="BK27" s="951"/>
      <c r="BL27" s="951"/>
      <c r="BM27" s="951"/>
      <c r="BN27" s="951"/>
      <c r="BO27" s="951"/>
      <c r="BP27" s="951"/>
      <c r="BQ27" s="951"/>
      <c r="BR27" s="951"/>
      <c r="BS27" s="951"/>
      <c r="BT27" s="951"/>
      <c r="BU27" s="951"/>
      <c r="BV27" s="951"/>
      <c r="BW27" s="951"/>
      <c r="BX27" s="951"/>
      <c r="BY27" s="951"/>
      <c r="BZ27" s="951"/>
      <c r="CA27" s="951"/>
      <c r="CB27" s="951"/>
      <c r="CC27" s="951"/>
    </row>
    <row r="28" spans="1:81" s="270" customFormat="1" ht="18.600000000000001" hidden="1" thickBot="1" x14ac:dyDescent="0.35">
      <c r="A28" s="1358" t="s">
        <v>1375</v>
      </c>
      <c r="B28" s="1359"/>
      <c r="C28" s="1361"/>
      <c r="D28" s="283" t="s">
        <v>1366</v>
      </c>
      <c r="E28" s="284" t="s">
        <v>1376</v>
      </c>
      <c r="F28" s="1018"/>
      <c r="G28" s="1019"/>
      <c r="H28" s="1020"/>
      <c r="I28" s="1069"/>
      <c r="J28" s="1020"/>
      <c r="K28" s="949"/>
      <c r="P28" s="950"/>
      <c r="Q28" s="951"/>
      <c r="R28" s="951"/>
      <c r="S28" s="951"/>
      <c r="T28" s="951"/>
      <c r="U28" s="951"/>
      <c r="V28" s="951"/>
      <c r="W28" s="951"/>
      <c r="X28" s="951"/>
      <c r="Y28" s="951"/>
      <c r="Z28" s="951"/>
      <c r="AA28" s="951"/>
      <c r="AB28" s="951"/>
      <c r="AC28" s="951"/>
      <c r="AD28" s="951"/>
      <c r="AE28" s="951"/>
      <c r="AF28" s="951"/>
      <c r="AG28" s="951"/>
      <c r="AH28" s="951"/>
      <c r="AI28" s="951"/>
      <c r="AJ28" s="951"/>
      <c r="AK28" s="951"/>
      <c r="AL28" s="951"/>
      <c r="AM28" s="951"/>
      <c r="AN28" s="951"/>
      <c r="AO28" s="951"/>
      <c r="AP28" s="951"/>
      <c r="AQ28" s="951"/>
      <c r="AR28" s="951"/>
      <c r="AS28" s="951"/>
      <c r="AT28" s="951"/>
      <c r="AU28" s="951"/>
      <c r="AV28" s="951"/>
      <c r="AW28" s="951"/>
      <c r="AX28" s="951"/>
      <c r="AY28" s="951"/>
      <c r="AZ28" s="951"/>
      <c r="BA28" s="951"/>
      <c r="BB28" s="951"/>
      <c r="BC28" s="951"/>
      <c r="BD28" s="951"/>
      <c r="BE28" s="951"/>
      <c r="BF28" s="951"/>
      <c r="BG28" s="951"/>
      <c r="BH28" s="951"/>
      <c r="BI28" s="951"/>
      <c r="BJ28" s="951"/>
      <c r="BK28" s="951"/>
      <c r="BL28" s="951"/>
      <c r="BM28" s="951"/>
      <c r="BN28" s="951"/>
      <c r="BO28" s="951"/>
      <c r="BP28" s="951"/>
      <c r="BQ28" s="951"/>
      <c r="BR28" s="951"/>
      <c r="BS28" s="951"/>
      <c r="BT28" s="951"/>
      <c r="BU28" s="951"/>
      <c r="BV28" s="951"/>
      <c r="BW28" s="951"/>
      <c r="BX28" s="951"/>
      <c r="BY28" s="951"/>
      <c r="BZ28" s="951"/>
      <c r="CA28" s="951"/>
      <c r="CB28" s="951"/>
      <c r="CC28" s="951"/>
    </row>
    <row r="29" spans="1:81" s="270" customFormat="1" ht="92.25" hidden="1" customHeight="1" thickBot="1" x14ac:dyDescent="0.35">
      <c r="A29" s="1340" t="s">
        <v>1396</v>
      </c>
      <c r="B29" s="1340"/>
      <c r="C29" s="1340"/>
      <c r="D29" s="1021" t="b">
        <f>IF(Import!L258=1,"Yes",IF(Import!L258=2,"No"))</f>
        <v>0</v>
      </c>
      <c r="E29" s="991" t="s">
        <v>1397</v>
      </c>
      <c r="F29" s="1021" t="b">
        <f>D29</f>
        <v>0</v>
      </c>
      <c r="G29" s="993"/>
      <c r="H29" s="1059" t="s">
        <v>1377</v>
      </c>
      <c r="I29" s="1066" t="s">
        <v>788</v>
      </c>
      <c r="J29" s="1068"/>
      <c r="K29" s="949"/>
      <c r="P29" s="950"/>
      <c r="Q29" s="951"/>
      <c r="R29" s="951"/>
      <c r="S29" s="951"/>
      <c r="T29" s="951"/>
      <c r="U29" s="951"/>
      <c r="V29" s="951"/>
      <c r="W29" s="951"/>
      <c r="X29" s="951"/>
      <c r="Y29" s="951"/>
      <c r="Z29" s="951"/>
      <c r="AA29" s="951"/>
      <c r="AB29" s="951"/>
      <c r="AC29" s="951"/>
      <c r="AD29" s="951"/>
      <c r="AE29" s="951"/>
      <c r="AF29" s="951"/>
      <c r="AG29" s="951"/>
      <c r="AH29" s="951"/>
      <c r="AI29" s="951"/>
      <c r="AJ29" s="951"/>
      <c r="AK29" s="951"/>
      <c r="AL29" s="951"/>
      <c r="AM29" s="951"/>
      <c r="AN29" s="951"/>
      <c r="AO29" s="951"/>
      <c r="AP29" s="951"/>
      <c r="AQ29" s="951"/>
      <c r="AR29" s="951"/>
      <c r="AS29" s="951"/>
      <c r="AT29" s="951"/>
      <c r="AU29" s="951"/>
      <c r="AV29" s="951"/>
      <c r="AW29" s="951"/>
      <c r="AX29" s="951"/>
      <c r="AY29" s="951"/>
      <c r="AZ29" s="951"/>
      <c r="BA29" s="951"/>
      <c r="BB29" s="951"/>
      <c r="BC29" s="951"/>
      <c r="BD29" s="951"/>
      <c r="BE29" s="951"/>
      <c r="BF29" s="951"/>
      <c r="BG29" s="951"/>
      <c r="BH29" s="951"/>
      <c r="BI29" s="951"/>
      <c r="BJ29" s="951"/>
      <c r="BK29" s="951"/>
      <c r="BL29" s="951"/>
      <c r="BM29" s="951"/>
      <c r="BN29" s="951"/>
      <c r="BO29" s="951"/>
      <c r="BP29" s="951"/>
      <c r="BQ29" s="951"/>
      <c r="BR29" s="951"/>
      <c r="BS29" s="951"/>
      <c r="BT29" s="951"/>
      <c r="BU29" s="951"/>
      <c r="BV29" s="951"/>
      <c r="BW29" s="951"/>
      <c r="BX29" s="951"/>
      <c r="BY29" s="951"/>
      <c r="BZ29" s="951"/>
      <c r="CA29" s="951"/>
      <c r="CB29" s="951"/>
      <c r="CC29" s="951"/>
    </row>
    <row r="30" spans="1:81" s="270" customFormat="1" ht="18" hidden="1" customHeight="1" thickBot="1" x14ac:dyDescent="0.35">
      <c r="A30" s="1351"/>
      <c r="B30" s="1352"/>
      <c r="C30" s="1353"/>
      <c r="D30" s="1023" t="s">
        <v>1366</v>
      </c>
      <c r="E30" s="284" t="s">
        <v>1376</v>
      </c>
      <c r="F30" s="1024"/>
      <c r="G30" s="993"/>
      <c r="H30" s="1024"/>
      <c r="I30" s="1070"/>
      <c r="J30" s="1073"/>
      <c r="K30" s="949"/>
      <c r="P30" s="950"/>
      <c r="Q30" s="951"/>
      <c r="R30" s="951"/>
      <c r="S30" s="951"/>
      <c r="T30" s="951"/>
      <c r="U30" s="951"/>
      <c r="V30" s="951"/>
      <c r="W30" s="951"/>
      <c r="X30" s="951"/>
      <c r="Y30" s="951"/>
      <c r="Z30" s="951"/>
      <c r="AA30" s="951"/>
      <c r="AB30" s="951"/>
      <c r="AC30" s="951"/>
      <c r="AD30" s="951"/>
      <c r="AE30" s="951"/>
      <c r="AF30" s="951"/>
      <c r="AG30" s="951"/>
      <c r="AH30" s="951"/>
      <c r="AI30" s="951"/>
      <c r="AJ30" s="951"/>
      <c r="AK30" s="951"/>
      <c r="AL30" s="951"/>
      <c r="AM30" s="951"/>
      <c r="AN30" s="951"/>
      <c r="AO30" s="951"/>
      <c r="AP30" s="951"/>
      <c r="AQ30" s="951"/>
      <c r="AR30" s="951"/>
      <c r="AS30" s="951"/>
      <c r="AT30" s="951"/>
      <c r="AU30" s="951"/>
      <c r="AV30" s="951"/>
      <c r="AW30" s="951"/>
      <c r="AX30" s="951"/>
      <c r="AY30" s="951"/>
      <c r="AZ30" s="951"/>
      <c r="BA30" s="951"/>
      <c r="BB30" s="951"/>
      <c r="BC30" s="951"/>
      <c r="BD30" s="951"/>
      <c r="BE30" s="951"/>
      <c r="BF30" s="951"/>
      <c r="BG30" s="951"/>
      <c r="BH30" s="951"/>
      <c r="BI30" s="951"/>
      <c r="BJ30" s="951"/>
      <c r="BK30" s="951"/>
      <c r="BL30" s="951"/>
      <c r="BM30" s="951"/>
      <c r="BN30" s="951"/>
      <c r="BO30" s="951"/>
      <c r="BP30" s="951"/>
      <c r="BQ30" s="951"/>
      <c r="BR30" s="951"/>
      <c r="BS30" s="951"/>
      <c r="BT30" s="951"/>
      <c r="BU30" s="951"/>
      <c r="BV30" s="951"/>
      <c r="BW30" s="951"/>
      <c r="BX30" s="951"/>
      <c r="BY30" s="951"/>
      <c r="BZ30" s="951"/>
      <c r="CA30" s="951"/>
      <c r="CB30" s="951"/>
      <c r="CC30" s="951"/>
    </row>
    <row r="31" spans="1:81" s="270" customFormat="1" ht="69.75" hidden="1" customHeight="1" thickBot="1" x14ac:dyDescent="0.35">
      <c r="A31" s="1340" t="s">
        <v>971</v>
      </c>
      <c r="B31" s="1340"/>
      <c r="C31" s="1340"/>
      <c r="D31" s="1025" t="str">
        <f>IFERROR((Import!L67-Import!L68)/Import!L68,"")</f>
        <v/>
      </c>
      <c r="E31" s="991" t="s">
        <v>770</v>
      </c>
      <c r="F31" s="1026" t="str">
        <f>+D31</f>
        <v/>
      </c>
      <c r="G31" s="993"/>
      <c r="H31" s="1047" t="s">
        <v>1378</v>
      </c>
      <c r="I31" s="1066" t="s">
        <v>793</v>
      </c>
      <c r="J31" s="1068"/>
      <c r="K31" s="949"/>
      <c r="P31" s="950"/>
      <c r="Q31" s="951"/>
      <c r="R31" s="951"/>
      <c r="S31" s="951"/>
      <c r="T31" s="951"/>
      <c r="U31" s="951"/>
      <c r="V31" s="951"/>
      <c r="W31" s="951"/>
      <c r="X31" s="951"/>
      <c r="Y31" s="951"/>
      <c r="Z31" s="951"/>
      <c r="AA31" s="951"/>
      <c r="AB31" s="951"/>
      <c r="AC31" s="951"/>
      <c r="AD31" s="951"/>
      <c r="AE31" s="951"/>
      <c r="AF31" s="951"/>
      <c r="AG31" s="951"/>
      <c r="AH31" s="951"/>
      <c r="AI31" s="951"/>
      <c r="AJ31" s="951"/>
      <c r="AK31" s="951"/>
      <c r="AL31" s="951"/>
      <c r="AM31" s="951"/>
      <c r="AN31" s="951"/>
      <c r="AO31" s="951"/>
      <c r="AP31" s="951"/>
      <c r="AQ31" s="951"/>
      <c r="AR31" s="951"/>
      <c r="AS31" s="951"/>
      <c r="AT31" s="951"/>
      <c r="AU31" s="951"/>
      <c r="AV31" s="951"/>
      <c r="AW31" s="951"/>
      <c r="AX31" s="951"/>
      <c r="AY31" s="951"/>
      <c r="AZ31" s="951"/>
      <c r="BA31" s="951"/>
      <c r="BB31" s="951"/>
      <c r="BC31" s="951"/>
      <c r="BD31" s="951"/>
      <c r="BE31" s="951"/>
      <c r="BF31" s="951"/>
      <c r="BG31" s="951"/>
      <c r="BH31" s="951"/>
      <c r="BI31" s="951"/>
      <c r="BJ31" s="951"/>
      <c r="BK31" s="951"/>
      <c r="BL31" s="951"/>
      <c r="BM31" s="951"/>
      <c r="BN31" s="951"/>
      <c r="BO31" s="951"/>
      <c r="BP31" s="951"/>
      <c r="BQ31" s="951"/>
      <c r="BR31" s="951"/>
      <c r="BS31" s="951"/>
      <c r="BT31" s="951"/>
      <c r="BU31" s="951"/>
      <c r="BV31" s="951"/>
      <c r="BW31" s="951"/>
      <c r="BX31" s="951"/>
      <c r="BY31" s="951"/>
      <c r="BZ31" s="951"/>
      <c r="CA31" s="951"/>
      <c r="CB31" s="951"/>
      <c r="CC31" s="951"/>
    </row>
    <row r="32" spans="1:81" s="270" customFormat="1" ht="18" hidden="1" customHeight="1" thickBot="1" x14ac:dyDescent="0.35">
      <c r="A32" s="1351"/>
      <c r="B32" s="1352"/>
      <c r="C32" s="1353"/>
      <c r="D32" s="1023" t="s">
        <v>1366</v>
      </c>
      <c r="E32" s="284" t="s">
        <v>1376</v>
      </c>
      <c r="F32" s="1024"/>
      <c r="G32" s="993"/>
      <c r="H32" s="1024"/>
      <c r="I32" s="1070"/>
      <c r="J32" s="1073"/>
      <c r="K32" s="1027"/>
      <c r="P32" s="950"/>
      <c r="Q32" s="951"/>
      <c r="R32" s="951"/>
      <c r="S32" s="951"/>
      <c r="T32" s="951"/>
      <c r="U32" s="951"/>
      <c r="V32" s="951"/>
      <c r="W32" s="951"/>
      <c r="X32" s="951"/>
      <c r="Y32" s="951"/>
      <c r="Z32" s="951"/>
      <c r="AA32" s="951"/>
      <c r="AB32" s="951"/>
      <c r="AC32" s="951"/>
      <c r="AD32" s="951"/>
      <c r="AE32" s="951"/>
      <c r="AF32" s="951"/>
      <c r="AG32" s="951"/>
      <c r="AH32" s="951"/>
      <c r="AI32" s="951"/>
      <c r="AJ32" s="951"/>
      <c r="AK32" s="951"/>
      <c r="AL32" s="951"/>
      <c r="AM32" s="951"/>
      <c r="AN32" s="951"/>
      <c r="AO32" s="951"/>
      <c r="AP32" s="951"/>
      <c r="AQ32" s="951"/>
      <c r="AR32" s="951"/>
      <c r="AS32" s="951"/>
      <c r="AT32" s="951"/>
      <c r="AU32" s="951"/>
      <c r="AV32" s="951"/>
      <c r="AW32" s="951"/>
      <c r="AX32" s="951"/>
      <c r="AY32" s="951"/>
      <c r="AZ32" s="951"/>
      <c r="BA32" s="951"/>
      <c r="BB32" s="951"/>
      <c r="BC32" s="951"/>
      <c r="BD32" s="951"/>
      <c r="BE32" s="951"/>
      <c r="BF32" s="951"/>
      <c r="BG32" s="951"/>
      <c r="BH32" s="951"/>
      <c r="BI32" s="951"/>
      <c r="BJ32" s="951"/>
      <c r="BK32" s="951"/>
      <c r="BL32" s="951"/>
      <c r="BM32" s="951"/>
      <c r="BN32" s="951"/>
      <c r="BO32" s="951"/>
      <c r="BP32" s="951"/>
      <c r="BQ32" s="951"/>
      <c r="BR32" s="951"/>
      <c r="BS32" s="951"/>
      <c r="BT32" s="951"/>
      <c r="BU32" s="951"/>
      <c r="BV32" s="951"/>
      <c r="BW32" s="951"/>
      <c r="BX32" s="951"/>
      <c r="BY32" s="951"/>
      <c r="BZ32" s="951"/>
      <c r="CA32" s="951"/>
      <c r="CB32" s="951"/>
      <c r="CC32" s="951"/>
    </row>
    <row r="33" spans="1:81" s="270" customFormat="1" ht="74.25" hidden="1" customHeight="1" thickBot="1" x14ac:dyDescent="0.35">
      <c r="A33" s="1340" t="s">
        <v>1379</v>
      </c>
      <c r="B33" s="1340"/>
      <c r="C33" s="1340"/>
      <c r="D33" s="1021" t="b">
        <f>IF(Import!L244=20,"Increase",IF(Import!L244=21,"Decrease",IF(Import!L244=22,"No Change",IF(Import!L244=23,"N/A"))))</f>
        <v>0</v>
      </c>
      <c r="E33" s="991" t="s">
        <v>1380</v>
      </c>
      <c r="F33" s="1021" t="b">
        <f>D33</f>
        <v>0</v>
      </c>
      <c r="G33" s="993"/>
      <c r="H33" s="1047" t="s">
        <v>1381</v>
      </c>
      <c r="I33" s="1066" t="s">
        <v>794</v>
      </c>
      <c r="J33" s="1068"/>
      <c r="K33" s="1028"/>
      <c r="P33" s="950"/>
      <c r="Q33" s="951"/>
      <c r="R33" s="951"/>
      <c r="S33" s="951"/>
      <c r="T33" s="951"/>
      <c r="U33" s="951"/>
      <c r="V33" s="951"/>
      <c r="W33" s="951"/>
      <c r="X33" s="951"/>
      <c r="Y33" s="951"/>
      <c r="Z33" s="951"/>
      <c r="AA33" s="951"/>
      <c r="AB33" s="951"/>
      <c r="AC33" s="951"/>
      <c r="AD33" s="951"/>
      <c r="AE33" s="951"/>
      <c r="AF33" s="951"/>
      <c r="AG33" s="951"/>
      <c r="AH33" s="951"/>
      <c r="AI33" s="951"/>
      <c r="AJ33" s="951"/>
      <c r="AK33" s="951"/>
      <c r="AL33" s="951"/>
      <c r="AM33" s="951"/>
      <c r="AN33" s="951"/>
      <c r="AO33" s="951"/>
      <c r="AP33" s="951"/>
      <c r="AQ33" s="951"/>
      <c r="AR33" s="951"/>
      <c r="AS33" s="951"/>
      <c r="AT33" s="951"/>
      <c r="AU33" s="951"/>
      <c r="AV33" s="951"/>
      <c r="AW33" s="951"/>
      <c r="AX33" s="951"/>
      <c r="AY33" s="951"/>
      <c r="AZ33" s="951"/>
      <c r="BA33" s="951"/>
      <c r="BB33" s="951"/>
      <c r="BC33" s="951"/>
      <c r="BD33" s="951"/>
      <c r="BE33" s="951"/>
      <c r="BF33" s="951"/>
      <c r="BG33" s="951"/>
      <c r="BH33" s="951"/>
      <c r="BI33" s="951"/>
      <c r="BJ33" s="951"/>
      <c r="BK33" s="951"/>
      <c r="BL33" s="951"/>
      <c r="BM33" s="951"/>
      <c r="BN33" s="951"/>
      <c r="BO33" s="951"/>
      <c r="BP33" s="951"/>
      <c r="BQ33" s="951"/>
      <c r="BR33" s="951"/>
      <c r="BS33" s="951"/>
      <c r="BT33" s="951"/>
      <c r="BU33" s="951"/>
      <c r="BV33" s="951"/>
      <c r="BW33" s="951"/>
      <c r="BX33" s="951"/>
      <c r="BY33" s="951"/>
      <c r="BZ33" s="951"/>
      <c r="CA33" s="951"/>
      <c r="CB33" s="951"/>
      <c r="CC33" s="951"/>
    </row>
    <row r="34" spans="1:81" s="270" customFormat="1" ht="18" hidden="1" customHeight="1" thickBot="1" x14ac:dyDescent="0.35">
      <c r="A34" s="1351"/>
      <c r="B34" s="1352"/>
      <c r="C34" s="1353"/>
      <c r="D34" s="1023" t="s">
        <v>1366</v>
      </c>
      <c r="E34" s="284" t="s">
        <v>1376</v>
      </c>
      <c r="F34" s="1024"/>
      <c r="G34" s="993"/>
      <c r="H34" s="1057"/>
      <c r="I34" s="1070"/>
      <c r="J34" s="1073"/>
      <c r="K34" s="1029"/>
      <c r="P34" s="950"/>
      <c r="Q34" s="951"/>
      <c r="R34" s="951"/>
      <c r="S34" s="951"/>
      <c r="T34" s="951"/>
      <c r="U34" s="951"/>
      <c r="V34" s="951"/>
      <c r="W34" s="951"/>
      <c r="X34" s="951"/>
      <c r="Y34" s="951"/>
      <c r="Z34" s="951"/>
      <c r="AA34" s="951"/>
      <c r="AB34" s="951"/>
      <c r="AC34" s="951"/>
      <c r="AD34" s="951"/>
      <c r="AE34" s="951"/>
      <c r="AF34" s="951"/>
      <c r="AG34" s="951"/>
      <c r="AH34" s="951"/>
      <c r="AI34" s="951"/>
      <c r="AJ34" s="951"/>
      <c r="AK34" s="951"/>
      <c r="AL34" s="951"/>
      <c r="AM34" s="951"/>
      <c r="AN34" s="951"/>
      <c r="AO34" s="951"/>
      <c r="AP34" s="951"/>
      <c r="AQ34" s="951"/>
      <c r="AR34" s="951"/>
      <c r="AS34" s="951"/>
      <c r="AT34" s="951"/>
      <c r="AU34" s="951"/>
      <c r="AV34" s="951"/>
      <c r="AW34" s="951"/>
      <c r="AX34" s="951"/>
      <c r="AY34" s="951"/>
      <c r="AZ34" s="951"/>
      <c r="BA34" s="951"/>
      <c r="BB34" s="951"/>
      <c r="BC34" s="951"/>
      <c r="BD34" s="951"/>
      <c r="BE34" s="951"/>
      <c r="BF34" s="951"/>
      <c r="BG34" s="951"/>
      <c r="BH34" s="951"/>
      <c r="BI34" s="951"/>
      <c r="BJ34" s="951"/>
      <c r="BK34" s="951"/>
      <c r="BL34" s="951"/>
      <c r="BM34" s="951"/>
      <c r="BN34" s="951"/>
      <c r="BO34" s="951"/>
      <c r="BP34" s="951"/>
      <c r="BQ34" s="951"/>
      <c r="BR34" s="951"/>
      <c r="BS34" s="951"/>
      <c r="BT34" s="951"/>
      <c r="BU34" s="951"/>
      <c r="BV34" s="951"/>
      <c r="BW34" s="951"/>
      <c r="BX34" s="951"/>
      <c r="BY34" s="951"/>
      <c r="BZ34" s="951"/>
      <c r="CA34" s="951"/>
      <c r="CB34" s="951"/>
      <c r="CC34" s="951"/>
    </row>
    <row r="35" spans="1:81" s="270" customFormat="1" ht="71.25" hidden="1" customHeight="1" thickBot="1" x14ac:dyDescent="0.35">
      <c r="A35" s="1348" t="s">
        <v>1021</v>
      </c>
      <c r="B35" s="1349"/>
      <c r="C35" s="1350"/>
      <c r="D35" s="1030" t="str">
        <f>IF(Import!L256=1,"Yes",IF(Import!L256=2,"No",IF(Import!L256=0,"Question required to be answered")))</f>
        <v>Question required to be answered</v>
      </c>
      <c r="E35" s="991" t="s">
        <v>798</v>
      </c>
      <c r="F35" s="1031" t="str">
        <f>+D35</f>
        <v>Question required to be answered</v>
      </c>
      <c r="G35" s="993"/>
      <c r="H35" s="1047" t="s">
        <v>1382</v>
      </c>
      <c r="I35" s="1066" t="s">
        <v>789</v>
      </c>
      <c r="J35" s="1068"/>
      <c r="K35" s="949"/>
      <c r="P35" s="950"/>
      <c r="Q35" s="951"/>
      <c r="R35" s="951"/>
      <c r="S35" s="951"/>
      <c r="T35" s="951"/>
      <c r="U35" s="951"/>
      <c r="V35" s="951"/>
      <c r="W35" s="951"/>
      <c r="X35" s="951"/>
      <c r="Y35" s="951"/>
      <c r="Z35" s="951"/>
      <c r="AA35" s="951"/>
      <c r="AB35" s="951"/>
      <c r="AC35" s="951"/>
      <c r="AD35" s="951"/>
      <c r="AE35" s="951"/>
      <c r="AF35" s="951"/>
      <c r="AG35" s="951"/>
      <c r="AH35" s="951"/>
      <c r="AI35" s="951"/>
      <c r="AJ35" s="951"/>
      <c r="AK35" s="951"/>
      <c r="AL35" s="951"/>
      <c r="AM35" s="951"/>
      <c r="AN35" s="951"/>
      <c r="AO35" s="951"/>
      <c r="AP35" s="951"/>
      <c r="AQ35" s="951"/>
      <c r="AR35" s="951"/>
      <c r="AS35" s="951"/>
      <c r="AT35" s="951"/>
      <c r="AU35" s="951"/>
      <c r="AV35" s="951"/>
      <c r="AW35" s="951"/>
      <c r="AX35" s="951"/>
      <c r="AY35" s="951"/>
      <c r="AZ35" s="951"/>
      <c r="BA35" s="951"/>
      <c r="BB35" s="951"/>
      <c r="BC35" s="951"/>
      <c r="BD35" s="951"/>
      <c r="BE35" s="951"/>
      <c r="BF35" s="951"/>
      <c r="BG35" s="951"/>
      <c r="BH35" s="951"/>
      <c r="BI35" s="951"/>
      <c r="BJ35" s="951"/>
      <c r="BK35" s="951"/>
      <c r="BL35" s="951"/>
      <c r="BM35" s="951"/>
      <c r="BN35" s="951"/>
      <c r="BO35" s="951"/>
      <c r="BP35" s="951"/>
      <c r="BQ35" s="951"/>
      <c r="BR35" s="951"/>
      <c r="BS35" s="951"/>
      <c r="BT35" s="951"/>
      <c r="BU35" s="951"/>
      <c r="BV35" s="951"/>
      <c r="BW35" s="951"/>
      <c r="BX35" s="951"/>
      <c r="BY35" s="951"/>
      <c r="BZ35" s="951"/>
      <c r="CA35" s="951"/>
      <c r="CB35" s="951"/>
      <c r="CC35" s="951"/>
    </row>
    <row r="36" spans="1:81" s="270" customFormat="1" ht="18" hidden="1" customHeight="1" thickBot="1" x14ac:dyDescent="0.35">
      <c r="A36" s="1351"/>
      <c r="B36" s="1352"/>
      <c r="C36" s="1353"/>
      <c r="D36" s="1023" t="s">
        <v>1366</v>
      </c>
      <c r="E36" s="284" t="s">
        <v>1376</v>
      </c>
      <c r="F36" s="1032"/>
      <c r="G36" s="993"/>
      <c r="H36" s="1057"/>
      <c r="I36" s="1070"/>
      <c r="J36" s="1073"/>
      <c r="K36" s="949"/>
      <c r="P36" s="950"/>
      <c r="Q36" s="951"/>
      <c r="R36" s="951"/>
      <c r="S36" s="951"/>
      <c r="T36" s="951"/>
      <c r="U36" s="951"/>
      <c r="V36" s="951"/>
      <c r="W36" s="951"/>
      <c r="X36" s="951"/>
      <c r="Y36" s="951"/>
      <c r="Z36" s="951"/>
      <c r="AA36" s="951"/>
      <c r="AB36" s="951"/>
      <c r="AC36" s="951"/>
      <c r="AD36" s="951"/>
      <c r="AE36" s="951"/>
      <c r="AF36" s="951"/>
      <c r="AG36" s="951"/>
      <c r="AH36" s="951"/>
      <c r="AI36" s="951"/>
      <c r="AJ36" s="951"/>
      <c r="AK36" s="951"/>
      <c r="AL36" s="951"/>
      <c r="AM36" s="951"/>
      <c r="AN36" s="951"/>
      <c r="AO36" s="951"/>
      <c r="AP36" s="951"/>
      <c r="AQ36" s="951"/>
      <c r="AR36" s="951"/>
      <c r="AS36" s="951"/>
      <c r="AT36" s="951"/>
      <c r="AU36" s="951"/>
      <c r="AV36" s="951"/>
      <c r="AW36" s="951"/>
      <c r="AX36" s="951"/>
      <c r="AY36" s="951"/>
      <c r="AZ36" s="951"/>
      <c r="BA36" s="951"/>
      <c r="BB36" s="951"/>
      <c r="BC36" s="951"/>
      <c r="BD36" s="951"/>
      <c r="BE36" s="951"/>
      <c r="BF36" s="951"/>
      <c r="BG36" s="951"/>
      <c r="BH36" s="951"/>
      <c r="BI36" s="951"/>
      <c r="BJ36" s="951"/>
      <c r="BK36" s="951"/>
      <c r="BL36" s="951"/>
      <c r="BM36" s="951"/>
      <c r="BN36" s="951"/>
      <c r="BO36" s="951"/>
      <c r="BP36" s="951"/>
      <c r="BQ36" s="951"/>
      <c r="BR36" s="951"/>
      <c r="BS36" s="951"/>
      <c r="BT36" s="951"/>
      <c r="BU36" s="951"/>
      <c r="BV36" s="951"/>
      <c r="BW36" s="951"/>
      <c r="BX36" s="951"/>
      <c r="BY36" s="951"/>
      <c r="BZ36" s="951"/>
      <c r="CA36" s="951"/>
      <c r="CB36" s="951"/>
      <c r="CC36" s="951"/>
    </row>
    <row r="37" spans="1:81" s="270" customFormat="1" ht="81" hidden="1" customHeight="1" thickBot="1" x14ac:dyDescent="0.35">
      <c r="A37" s="1348" t="s">
        <v>972</v>
      </c>
      <c r="B37" s="1349"/>
      <c r="C37" s="1350"/>
      <c r="D37" s="1025" t="str">
        <f>IF(Import!L191&gt;(Import!L155+Import!L158)*0.03,"Yes","No")</f>
        <v>No</v>
      </c>
      <c r="E37" s="1033"/>
      <c r="F37" s="1025" t="str">
        <f>+D37</f>
        <v>No</v>
      </c>
      <c r="G37" s="993"/>
      <c r="H37" s="971" t="s">
        <v>1383</v>
      </c>
      <c r="I37" s="1066" t="s">
        <v>795</v>
      </c>
      <c r="J37" s="1068"/>
      <c r="K37" s="949"/>
      <c r="P37" s="950"/>
      <c r="Q37" s="951"/>
      <c r="R37" s="951"/>
      <c r="S37" s="951"/>
      <c r="T37" s="951"/>
      <c r="U37" s="951"/>
      <c r="V37" s="951"/>
      <c r="W37" s="951"/>
      <c r="X37" s="951"/>
      <c r="Y37" s="951"/>
      <c r="Z37" s="951"/>
      <c r="AA37" s="951"/>
      <c r="AB37" s="951"/>
      <c r="AC37" s="951"/>
      <c r="AD37" s="951"/>
      <c r="AE37" s="951"/>
      <c r="AF37" s="951"/>
      <c r="AG37" s="951"/>
      <c r="AH37" s="951"/>
      <c r="AI37" s="951"/>
      <c r="AJ37" s="951"/>
      <c r="AK37" s="951"/>
      <c r="AL37" s="951"/>
      <c r="AM37" s="951"/>
      <c r="AN37" s="951"/>
      <c r="AO37" s="951"/>
      <c r="AP37" s="951"/>
      <c r="AQ37" s="951"/>
      <c r="AR37" s="951"/>
      <c r="AS37" s="951"/>
      <c r="AT37" s="951"/>
      <c r="AU37" s="951"/>
      <c r="AV37" s="951"/>
      <c r="AW37" s="951"/>
      <c r="AX37" s="951"/>
      <c r="AY37" s="951"/>
      <c r="AZ37" s="951"/>
      <c r="BA37" s="951"/>
      <c r="BB37" s="951"/>
      <c r="BC37" s="951"/>
      <c r="BD37" s="951"/>
      <c r="BE37" s="951"/>
      <c r="BF37" s="951"/>
      <c r="BG37" s="951"/>
      <c r="BH37" s="951"/>
      <c r="BI37" s="951"/>
      <c r="BJ37" s="951"/>
      <c r="BK37" s="951"/>
      <c r="BL37" s="951"/>
      <c r="BM37" s="951"/>
      <c r="BN37" s="951"/>
      <c r="BO37" s="951"/>
      <c r="BP37" s="951"/>
      <c r="BQ37" s="951"/>
      <c r="BR37" s="951"/>
      <c r="BS37" s="951"/>
      <c r="BT37" s="951"/>
      <c r="BU37" s="951"/>
      <c r="BV37" s="951"/>
      <c r="BW37" s="951"/>
      <c r="BX37" s="951"/>
      <c r="BY37" s="951"/>
      <c r="BZ37" s="951"/>
      <c r="CA37" s="951"/>
      <c r="CB37" s="951"/>
      <c r="CC37" s="951"/>
    </row>
    <row r="38" spans="1:81" s="270" customFormat="1" ht="18" hidden="1" customHeight="1" thickBot="1" x14ac:dyDescent="0.35">
      <c r="A38" s="1351"/>
      <c r="B38" s="1352"/>
      <c r="C38" s="1353"/>
      <c r="D38" s="1023" t="s">
        <v>1366</v>
      </c>
      <c r="E38" s="284" t="s">
        <v>1376</v>
      </c>
      <c r="F38" s="1024"/>
      <c r="G38" s="993"/>
      <c r="H38" s="1024"/>
      <c r="I38" s="1070"/>
      <c r="J38" s="1073"/>
      <c r="K38" s="949"/>
      <c r="P38" s="950"/>
      <c r="Q38" s="951"/>
      <c r="R38" s="951"/>
      <c r="S38" s="951"/>
      <c r="T38" s="951"/>
      <c r="U38" s="951"/>
      <c r="V38" s="951"/>
      <c r="W38" s="951"/>
      <c r="X38" s="951"/>
      <c r="Y38" s="951"/>
      <c r="Z38" s="951"/>
      <c r="AA38" s="951"/>
      <c r="AB38" s="951"/>
      <c r="AC38" s="951"/>
      <c r="AD38" s="951"/>
      <c r="AE38" s="951"/>
      <c r="AF38" s="951"/>
      <c r="AG38" s="951"/>
      <c r="AH38" s="951"/>
      <c r="AI38" s="951"/>
      <c r="AJ38" s="951"/>
      <c r="AK38" s="951"/>
      <c r="AL38" s="951"/>
      <c r="AM38" s="951"/>
      <c r="AN38" s="951"/>
      <c r="AO38" s="951"/>
      <c r="AP38" s="951"/>
      <c r="AQ38" s="951"/>
      <c r="AR38" s="951"/>
      <c r="AS38" s="951"/>
      <c r="AT38" s="951"/>
      <c r="AU38" s="951"/>
      <c r="AV38" s="951"/>
      <c r="AW38" s="951"/>
      <c r="AX38" s="951"/>
      <c r="AY38" s="951"/>
      <c r="AZ38" s="951"/>
      <c r="BA38" s="951"/>
      <c r="BB38" s="951"/>
      <c r="BC38" s="951"/>
      <c r="BD38" s="951"/>
      <c r="BE38" s="951"/>
      <c r="BF38" s="951"/>
      <c r="BG38" s="951"/>
      <c r="BH38" s="951"/>
      <c r="BI38" s="951"/>
      <c r="BJ38" s="951"/>
      <c r="BK38" s="951"/>
      <c r="BL38" s="951"/>
      <c r="BM38" s="951"/>
      <c r="BN38" s="951"/>
      <c r="BO38" s="951"/>
      <c r="BP38" s="951"/>
      <c r="BQ38" s="951"/>
      <c r="BR38" s="951"/>
      <c r="BS38" s="951"/>
      <c r="BT38" s="951"/>
      <c r="BU38" s="951"/>
      <c r="BV38" s="951"/>
      <c r="BW38" s="951"/>
      <c r="BX38" s="951"/>
      <c r="BY38" s="951"/>
      <c r="BZ38" s="951"/>
      <c r="CA38" s="951"/>
      <c r="CB38" s="951"/>
      <c r="CC38" s="951"/>
    </row>
    <row r="39" spans="1:81" s="270" customFormat="1" ht="128.25" hidden="1" customHeight="1" thickBot="1" x14ac:dyDescent="0.35">
      <c r="A39" s="1357" t="s">
        <v>1384</v>
      </c>
      <c r="B39" s="1357"/>
      <c r="C39" s="1357"/>
      <c r="D39" s="991" t="str">
        <f>IFERROR(VLOOKUP(B5,UAL!A3:D141,4,FALSE),"Unit is not on the Unit Assistance List at this time")</f>
        <v>Unit is not on the Unit Assistance List at this time</v>
      </c>
      <c r="E39" s="991" t="s">
        <v>1291</v>
      </c>
      <c r="F39" s="991" t="str">
        <f>D39</f>
        <v>Unit is not on the Unit Assistance List at this time</v>
      </c>
      <c r="G39" s="1010"/>
      <c r="H39" s="1058" t="str">
        <f>IF(D39="Unit is not on the Unit Assistance List at this time","N/A-Unit is not on the Unit Assistance List.",L39)</f>
        <v>N/A-Unit is not on the Unit Assistance List.</v>
      </c>
      <c r="I39" s="1071"/>
      <c r="J39" s="1068"/>
      <c r="K39" s="949"/>
      <c r="L39" s="270" t="s">
        <v>1048</v>
      </c>
      <c r="P39" s="950"/>
      <c r="Q39" s="951"/>
      <c r="R39" s="951"/>
      <c r="S39" s="951"/>
      <c r="T39" s="951"/>
      <c r="U39" s="951"/>
      <c r="V39" s="951"/>
      <c r="W39" s="951"/>
      <c r="X39" s="951"/>
      <c r="Y39" s="951"/>
      <c r="Z39" s="951"/>
      <c r="AA39" s="951"/>
      <c r="AB39" s="951"/>
      <c r="AC39" s="951"/>
      <c r="AD39" s="951"/>
      <c r="AE39" s="951"/>
      <c r="AF39" s="951"/>
      <c r="AG39" s="951"/>
      <c r="AH39" s="951"/>
      <c r="AI39" s="951"/>
      <c r="AJ39" s="951"/>
      <c r="AK39" s="951"/>
      <c r="AL39" s="951"/>
      <c r="AM39" s="951"/>
      <c r="AN39" s="951"/>
      <c r="AO39" s="951"/>
      <c r="AP39" s="951"/>
      <c r="AQ39" s="951"/>
      <c r="AR39" s="951"/>
      <c r="AS39" s="951"/>
      <c r="AT39" s="951"/>
      <c r="AU39" s="951"/>
      <c r="AV39" s="951"/>
      <c r="AW39" s="951"/>
      <c r="AX39" s="951"/>
      <c r="AY39" s="951"/>
      <c r="AZ39" s="951"/>
      <c r="BA39" s="951"/>
      <c r="BB39" s="951"/>
      <c r="BC39" s="951"/>
      <c r="BD39" s="951"/>
      <c r="BE39" s="951"/>
      <c r="BF39" s="951"/>
      <c r="BG39" s="951"/>
      <c r="BH39" s="951"/>
      <c r="BI39" s="951"/>
      <c r="BJ39" s="951"/>
      <c r="BK39" s="951"/>
      <c r="BL39" s="951"/>
      <c r="BM39" s="951"/>
      <c r="BN39" s="951"/>
      <c r="BO39" s="951"/>
      <c r="BP39" s="951"/>
      <c r="BQ39" s="951"/>
      <c r="BR39" s="951"/>
      <c r="BS39" s="951"/>
      <c r="BT39" s="951"/>
      <c r="BU39" s="951"/>
      <c r="BV39" s="951"/>
      <c r="BW39" s="951"/>
      <c r="BX39" s="951"/>
      <c r="BY39" s="951"/>
      <c r="BZ39" s="951"/>
      <c r="CA39" s="951"/>
      <c r="CB39" s="951"/>
      <c r="CC39" s="951"/>
    </row>
    <row r="40" spans="1:81" s="270" customFormat="1" ht="18" hidden="1" customHeight="1" thickBot="1" x14ac:dyDescent="0.35">
      <c r="A40" s="1351"/>
      <c r="B40" s="1352"/>
      <c r="C40" s="1353"/>
      <c r="D40" s="1023" t="s">
        <v>1366</v>
      </c>
      <c r="E40" s="284" t="s">
        <v>1376</v>
      </c>
      <c r="F40" s="1024"/>
      <c r="G40" s="993"/>
      <c r="H40" s="1057"/>
      <c r="I40" s="1070"/>
      <c r="J40" s="1073"/>
      <c r="K40" s="949"/>
      <c r="P40" s="950"/>
      <c r="Q40" s="951"/>
      <c r="R40" s="951"/>
      <c r="S40" s="951"/>
      <c r="T40" s="951"/>
      <c r="U40" s="951"/>
      <c r="V40" s="951"/>
      <c r="W40" s="951"/>
      <c r="X40" s="951"/>
      <c r="Y40" s="951"/>
      <c r="Z40" s="951"/>
      <c r="AA40" s="951"/>
      <c r="AB40" s="951"/>
      <c r="AC40" s="951"/>
      <c r="AD40" s="951"/>
      <c r="AE40" s="951"/>
      <c r="AF40" s="951"/>
      <c r="AG40" s="951"/>
      <c r="AH40" s="951"/>
      <c r="AI40" s="951"/>
      <c r="AJ40" s="951"/>
      <c r="AK40" s="951"/>
      <c r="AL40" s="951"/>
      <c r="AM40" s="951"/>
      <c r="AN40" s="951"/>
      <c r="AO40" s="951"/>
      <c r="AP40" s="951"/>
      <c r="AQ40" s="951"/>
      <c r="AR40" s="951"/>
      <c r="AS40" s="951"/>
      <c r="AT40" s="951"/>
      <c r="AU40" s="951"/>
      <c r="AV40" s="951"/>
      <c r="AW40" s="951"/>
      <c r="AX40" s="951"/>
      <c r="AY40" s="951"/>
      <c r="AZ40" s="951"/>
      <c r="BA40" s="951"/>
      <c r="BB40" s="951"/>
      <c r="BC40" s="951"/>
      <c r="BD40" s="951"/>
      <c r="BE40" s="951"/>
      <c r="BF40" s="951"/>
      <c r="BG40" s="951"/>
      <c r="BH40" s="951"/>
      <c r="BI40" s="951"/>
      <c r="BJ40" s="951"/>
      <c r="BK40" s="951"/>
      <c r="BL40" s="951"/>
      <c r="BM40" s="951"/>
      <c r="BN40" s="951"/>
      <c r="BO40" s="951"/>
      <c r="BP40" s="951"/>
      <c r="BQ40" s="951"/>
      <c r="BR40" s="951"/>
      <c r="BS40" s="951"/>
      <c r="BT40" s="951"/>
      <c r="BU40" s="951"/>
      <c r="BV40" s="951"/>
      <c r="BW40" s="951"/>
      <c r="BX40" s="951"/>
      <c r="BY40" s="951"/>
      <c r="BZ40" s="951"/>
      <c r="CA40" s="951"/>
      <c r="CB40" s="951"/>
      <c r="CC40" s="951"/>
    </row>
    <row r="41" spans="1:81" s="270" customFormat="1" ht="59.25" hidden="1" customHeight="1" thickBot="1" x14ac:dyDescent="0.35">
      <c r="A41" s="1358" t="s">
        <v>1023</v>
      </c>
      <c r="B41" s="1359"/>
      <c r="C41" s="1360"/>
      <c r="D41" s="998" t="str">
        <f>IF(Import!L257=1,"Yes",IF(Import!L257=2,"No",IF(Import!L257="0","This questions must be answered")))</f>
        <v>This questions must be answered</v>
      </c>
      <c r="E41" s="1034"/>
      <c r="F41" s="998" t="str">
        <f>+D41</f>
        <v>This questions must be answered</v>
      </c>
      <c r="G41" s="993"/>
      <c r="H41" s="1047" t="s">
        <v>1385</v>
      </c>
      <c r="I41" s="1072" t="s">
        <v>796</v>
      </c>
      <c r="J41" s="1068"/>
      <c r="K41" s="949"/>
      <c r="P41" s="950"/>
      <c r="Q41" s="951"/>
      <c r="R41" s="951"/>
      <c r="S41" s="951"/>
      <c r="T41" s="951"/>
      <c r="U41" s="951"/>
      <c r="V41" s="951"/>
      <c r="W41" s="951"/>
      <c r="X41" s="951"/>
      <c r="Y41" s="951"/>
      <c r="Z41" s="951"/>
      <c r="AA41" s="951"/>
      <c r="AB41" s="951"/>
      <c r="AC41" s="951"/>
      <c r="AD41" s="951"/>
      <c r="AE41" s="951"/>
      <c r="AF41" s="951"/>
      <c r="AG41" s="951"/>
      <c r="AH41" s="951"/>
      <c r="AI41" s="951"/>
      <c r="AJ41" s="951"/>
      <c r="AK41" s="951"/>
      <c r="AL41" s="951"/>
      <c r="AM41" s="951"/>
      <c r="AN41" s="951"/>
      <c r="AO41" s="951"/>
      <c r="AP41" s="951"/>
      <c r="AQ41" s="951"/>
      <c r="AR41" s="951"/>
      <c r="AS41" s="951"/>
      <c r="AT41" s="951"/>
      <c r="AU41" s="951"/>
      <c r="AV41" s="951"/>
      <c r="AW41" s="951"/>
      <c r="AX41" s="951"/>
      <c r="AY41" s="951"/>
      <c r="AZ41" s="951"/>
      <c r="BA41" s="951"/>
      <c r="BB41" s="951"/>
      <c r="BC41" s="951"/>
      <c r="BD41" s="951"/>
      <c r="BE41" s="951"/>
      <c r="BF41" s="951"/>
      <c r="BG41" s="951"/>
      <c r="BH41" s="951"/>
      <c r="BI41" s="951"/>
      <c r="BJ41" s="951"/>
      <c r="BK41" s="951"/>
      <c r="BL41" s="951"/>
      <c r="BM41" s="951"/>
      <c r="BN41" s="951"/>
      <c r="BO41" s="951"/>
      <c r="BP41" s="951"/>
      <c r="BQ41" s="951"/>
      <c r="BR41" s="951"/>
      <c r="BS41" s="951"/>
      <c r="BT41" s="951"/>
      <c r="BU41" s="951"/>
      <c r="BV41" s="951"/>
      <c r="BW41" s="951"/>
      <c r="BX41" s="951"/>
      <c r="BY41" s="951"/>
      <c r="BZ41" s="951"/>
      <c r="CA41" s="951"/>
      <c r="CB41" s="951"/>
      <c r="CC41" s="951"/>
    </row>
    <row r="42" spans="1:81" s="270" customFormat="1" ht="18" hidden="1" customHeight="1" thickBot="1" x14ac:dyDescent="0.35">
      <c r="A42" s="1358" t="s">
        <v>1375</v>
      </c>
      <c r="B42" s="1359"/>
      <c r="C42" s="1361"/>
      <c r="D42" s="1023" t="s">
        <v>1366</v>
      </c>
      <c r="E42" s="284" t="s">
        <v>1376</v>
      </c>
      <c r="F42" s="1032"/>
      <c r="G42" s="993"/>
      <c r="H42" s="1024"/>
      <c r="I42" s="1066"/>
      <c r="J42" s="1073"/>
      <c r="K42" s="949"/>
      <c r="P42" s="950"/>
      <c r="Q42" s="951"/>
      <c r="R42" s="951"/>
      <c r="S42" s="951"/>
      <c r="T42" s="951"/>
      <c r="U42" s="951"/>
      <c r="V42" s="951"/>
      <c r="W42" s="951"/>
      <c r="X42" s="951"/>
      <c r="Y42" s="951"/>
      <c r="Z42" s="951"/>
      <c r="AA42" s="951"/>
      <c r="AB42" s="951"/>
      <c r="AC42" s="951"/>
      <c r="AD42" s="951"/>
      <c r="AE42" s="951"/>
      <c r="AF42" s="951"/>
      <c r="AG42" s="951"/>
      <c r="AH42" s="951"/>
      <c r="AI42" s="951"/>
      <c r="AJ42" s="951"/>
      <c r="AK42" s="951"/>
      <c r="AL42" s="951"/>
      <c r="AM42" s="951"/>
      <c r="AN42" s="951"/>
      <c r="AO42" s="951"/>
      <c r="AP42" s="951"/>
      <c r="AQ42" s="951"/>
      <c r="AR42" s="951"/>
      <c r="AS42" s="951"/>
      <c r="AT42" s="951"/>
      <c r="AU42" s="951"/>
      <c r="AV42" s="951"/>
      <c r="AW42" s="951"/>
      <c r="AX42" s="951"/>
      <c r="AY42" s="951"/>
      <c r="AZ42" s="951"/>
      <c r="BA42" s="951"/>
      <c r="BB42" s="951"/>
      <c r="BC42" s="951"/>
      <c r="BD42" s="951"/>
      <c r="BE42" s="951"/>
      <c r="BF42" s="951"/>
      <c r="BG42" s="951"/>
      <c r="BH42" s="951"/>
      <c r="BI42" s="951"/>
      <c r="BJ42" s="951"/>
      <c r="BK42" s="951"/>
      <c r="BL42" s="951"/>
      <c r="BM42" s="951"/>
      <c r="BN42" s="951"/>
      <c r="BO42" s="951"/>
      <c r="BP42" s="951"/>
      <c r="BQ42" s="951"/>
      <c r="BR42" s="951"/>
      <c r="BS42" s="951"/>
      <c r="BT42" s="951"/>
      <c r="BU42" s="951"/>
      <c r="BV42" s="951"/>
      <c r="BW42" s="951"/>
      <c r="BX42" s="951"/>
      <c r="BY42" s="951"/>
      <c r="BZ42" s="951"/>
      <c r="CA42" s="951"/>
      <c r="CB42" s="951"/>
      <c r="CC42" s="951"/>
    </row>
    <row r="43" spans="1:81" s="270" customFormat="1" ht="57.75" hidden="1" customHeight="1" thickBot="1" x14ac:dyDescent="0.35">
      <c r="A43" s="1348" t="s">
        <v>1040</v>
      </c>
      <c r="B43" s="1349"/>
      <c r="C43" s="1350"/>
      <c r="D43" s="998" t="str">
        <f>IF(Import!L253=1,"Yes",IF(Import!L253=2,"No",IF(Import!L253=3,"N/A",IF(Import!L253=0,"This questions must be answered"))))</f>
        <v>This questions must be answered</v>
      </c>
      <c r="E43" s="1034"/>
      <c r="F43" s="1021" t="str">
        <f>D43</f>
        <v>This questions must be answered</v>
      </c>
      <c r="G43" s="993"/>
      <c r="H43" s="1047" t="s">
        <v>1386</v>
      </c>
      <c r="I43" s="1066" t="s">
        <v>1041</v>
      </c>
      <c r="J43" s="1068"/>
      <c r="K43" s="949"/>
      <c r="P43" s="950"/>
      <c r="Q43" s="951"/>
      <c r="R43" s="951"/>
      <c r="S43" s="951"/>
      <c r="T43" s="951"/>
      <c r="U43" s="951"/>
      <c r="V43" s="951"/>
      <c r="W43" s="951"/>
      <c r="X43" s="951"/>
      <c r="Y43" s="951"/>
      <c r="Z43" s="951"/>
      <c r="AA43" s="951"/>
      <c r="AB43" s="951"/>
      <c r="AC43" s="951"/>
      <c r="AD43" s="951"/>
      <c r="AE43" s="951"/>
      <c r="AF43" s="951"/>
      <c r="AG43" s="951"/>
      <c r="AH43" s="951"/>
      <c r="AI43" s="951"/>
      <c r="AJ43" s="951"/>
      <c r="AK43" s="951"/>
      <c r="AL43" s="951"/>
      <c r="AM43" s="951"/>
      <c r="AN43" s="951"/>
      <c r="AO43" s="951"/>
      <c r="AP43" s="951"/>
      <c r="AQ43" s="951"/>
      <c r="AR43" s="951"/>
      <c r="AS43" s="951"/>
      <c r="AT43" s="951"/>
      <c r="AU43" s="951"/>
      <c r="AV43" s="951"/>
      <c r="AW43" s="951"/>
      <c r="AX43" s="951"/>
      <c r="AY43" s="951"/>
      <c r="AZ43" s="951"/>
      <c r="BA43" s="951"/>
      <c r="BB43" s="951"/>
      <c r="BC43" s="951"/>
      <c r="BD43" s="951"/>
      <c r="BE43" s="951"/>
      <c r="BF43" s="951"/>
      <c r="BG43" s="951"/>
      <c r="BH43" s="951"/>
      <c r="BI43" s="951"/>
      <c r="BJ43" s="951"/>
      <c r="BK43" s="951"/>
      <c r="BL43" s="951"/>
      <c r="BM43" s="951"/>
      <c r="BN43" s="951"/>
      <c r="BO43" s="951"/>
      <c r="BP43" s="951"/>
      <c r="BQ43" s="951"/>
      <c r="BR43" s="951"/>
      <c r="BS43" s="951"/>
      <c r="BT43" s="951"/>
      <c r="BU43" s="951"/>
      <c r="BV43" s="951"/>
      <c r="BW43" s="951"/>
      <c r="BX43" s="951"/>
      <c r="BY43" s="951"/>
      <c r="BZ43" s="951"/>
      <c r="CA43" s="951"/>
      <c r="CB43" s="951"/>
      <c r="CC43" s="951"/>
    </row>
    <row r="44" spans="1:81" s="270" customFormat="1" ht="18" hidden="1" customHeight="1" thickBot="1" x14ac:dyDescent="0.35">
      <c r="A44" s="1351"/>
      <c r="B44" s="1352"/>
      <c r="C44" s="1353"/>
      <c r="D44" s="1023" t="s">
        <v>1366</v>
      </c>
      <c r="E44" s="284" t="s">
        <v>1376</v>
      </c>
      <c r="F44" s="1024"/>
      <c r="G44" s="993"/>
      <c r="H44" s="1057"/>
      <c r="I44" s="1066"/>
      <c r="J44" s="1073"/>
      <c r="K44" s="949"/>
      <c r="P44" s="950"/>
      <c r="Q44" s="951"/>
      <c r="R44" s="951"/>
      <c r="S44" s="951"/>
      <c r="T44" s="951"/>
      <c r="U44" s="951"/>
      <c r="V44" s="951"/>
      <c r="W44" s="951"/>
      <c r="X44" s="951"/>
      <c r="Y44" s="951"/>
      <c r="Z44" s="951"/>
      <c r="AA44" s="951"/>
      <c r="AB44" s="951"/>
      <c r="AC44" s="951"/>
      <c r="AD44" s="951"/>
      <c r="AE44" s="951"/>
      <c r="AF44" s="951"/>
      <c r="AG44" s="951"/>
      <c r="AH44" s="951"/>
      <c r="AI44" s="951"/>
      <c r="AJ44" s="951"/>
      <c r="AK44" s="951"/>
      <c r="AL44" s="951"/>
      <c r="AM44" s="951"/>
      <c r="AN44" s="951"/>
      <c r="AO44" s="951"/>
      <c r="AP44" s="951"/>
      <c r="AQ44" s="951"/>
      <c r="AR44" s="951"/>
      <c r="AS44" s="951"/>
      <c r="AT44" s="951"/>
      <c r="AU44" s="951"/>
      <c r="AV44" s="951"/>
      <c r="AW44" s="951"/>
      <c r="AX44" s="951"/>
      <c r="AY44" s="951"/>
      <c r="AZ44" s="951"/>
      <c r="BA44" s="951"/>
      <c r="BB44" s="951"/>
      <c r="BC44" s="951"/>
      <c r="BD44" s="951"/>
      <c r="BE44" s="951"/>
      <c r="BF44" s="951"/>
      <c r="BG44" s="951"/>
      <c r="BH44" s="951"/>
      <c r="BI44" s="951"/>
      <c r="BJ44" s="951"/>
      <c r="BK44" s="951"/>
      <c r="BL44" s="951"/>
      <c r="BM44" s="951"/>
      <c r="BN44" s="951"/>
      <c r="BO44" s="951"/>
      <c r="BP44" s="951"/>
      <c r="BQ44" s="951"/>
      <c r="BR44" s="951"/>
      <c r="BS44" s="951"/>
      <c r="BT44" s="951"/>
      <c r="BU44" s="951"/>
      <c r="BV44" s="951"/>
      <c r="BW44" s="951"/>
      <c r="BX44" s="951"/>
      <c r="BY44" s="951"/>
      <c r="BZ44" s="951"/>
      <c r="CA44" s="951"/>
      <c r="CB44" s="951"/>
      <c r="CC44" s="951"/>
    </row>
    <row r="45" spans="1:81" s="270" customFormat="1" ht="67.5" hidden="1" customHeight="1" thickBot="1" x14ac:dyDescent="0.35">
      <c r="A45" s="1348" t="s">
        <v>1292</v>
      </c>
      <c r="B45" s="1349"/>
      <c r="C45" s="1350"/>
      <c r="D45" s="1021" t="b">
        <f>IF(Import!L193=1,"Yes",IF(Import!L193=2,"No",IF(Import!L193=3,"N/A")))</f>
        <v>0</v>
      </c>
      <c r="E45" s="1034"/>
      <c r="F45" s="1021" t="b">
        <f>+D45</f>
        <v>0</v>
      </c>
      <c r="G45" s="993"/>
      <c r="H45" s="1047" t="s">
        <v>1387</v>
      </c>
      <c r="I45" s="1066" t="s">
        <v>831</v>
      </c>
      <c r="J45" s="1068"/>
      <c r="K45" s="949"/>
      <c r="P45" s="950"/>
      <c r="Q45" s="951"/>
      <c r="R45" s="951"/>
      <c r="S45" s="951"/>
      <c r="T45" s="951"/>
      <c r="U45" s="951"/>
      <c r="V45" s="951"/>
      <c r="W45" s="951"/>
      <c r="X45" s="951"/>
      <c r="Y45" s="951"/>
      <c r="Z45" s="951"/>
      <c r="AA45" s="951"/>
      <c r="AB45" s="951"/>
      <c r="AC45" s="951"/>
      <c r="AD45" s="951"/>
      <c r="AE45" s="951"/>
      <c r="AF45" s="951"/>
      <c r="AG45" s="951"/>
      <c r="AH45" s="951"/>
      <c r="AI45" s="951"/>
      <c r="AJ45" s="951"/>
      <c r="AK45" s="951"/>
      <c r="AL45" s="951"/>
      <c r="AM45" s="951"/>
      <c r="AN45" s="951"/>
      <c r="AO45" s="951"/>
      <c r="AP45" s="951"/>
      <c r="AQ45" s="951"/>
      <c r="AR45" s="951"/>
      <c r="AS45" s="951"/>
      <c r="AT45" s="951"/>
      <c r="AU45" s="951"/>
      <c r="AV45" s="951"/>
      <c r="AW45" s="951"/>
      <c r="AX45" s="951"/>
      <c r="AY45" s="951"/>
      <c r="AZ45" s="951"/>
      <c r="BA45" s="951"/>
      <c r="BB45" s="951"/>
      <c r="BC45" s="951"/>
      <c r="BD45" s="951"/>
      <c r="BE45" s="951"/>
      <c r="BF45" s="951"/>
      <c r="BG45" s="951"/>
      <c r="BH45" s="951"/>
      <c r="BI45" s="951"/>
      <c r="BJ45" s="951"/>
      <c r="BK45" s="951"/>
      <c r="BL45" s="951"/>
      <c r="BM45" s="951"/>
      <c r="BN45" s="951"/>
      <c r="BO45" s="951"/>
      <c r="BP45" s="951"/>
      <c r="BQ45" s="951"/>
      <c r="BR45" s="951"/>
      <c r="BS45" s="951"/>
      <c r="BT45" s="951"/>
      <c r="BU45" s="951"/>
      <c r="BV45" s="951"/>
      <c r="BW45" s="951"/>
      <c r="BX45" s="951"/>
      <c r="BY45" s="951"/>
      <c r="BZ45" s="951"/>
      <c r="CA45" s="951"/>
      <c r="CB45" s="951"/>
      <c r="CC45" s="951"/>
    </row>
    <row r="46" spans="1:81" s="270" customFormat="1" ht="18" hidden="1" customHeight="1" thickBot="1" x14ac:dyDescent="0.35">
      <c r="A46" s="1351"/>
      <c r="B46" s="1352"/>
      <c r="C46" s="1353"/>
      <c r="D46" s="1023" t="s">
        <v>1366</v>
      </c>
      <c r="E46" s="284" t="s">
        <v>1376</v>
      </c>
      <c r="F46" s="1024"/>
      <c r="G46" s="993"/>
      <c r="H46" s="1057"/>
      <c r="I46" s="1070"/>
      <c r="J46" s="1073"/>
      <c r="K46" s="949"/>
      <c r="P46" s="950"/>
      <c r="Q46" s="951"/>
      <c r="R46" s="951"/>
      <c r="S46" s="951"/>
      <c r="T46" s="951"/>
      <c r="U46" s="951"/>
      <c r="V46" s="951"/>
      <c r="W46" s="951"/>
      <c r="X46" s="951"/>
      <c r="Y46" s="951"/>
      <c r="Z46" s="951"/>
      <c r="AA46" s="951"/>
      <c r="AB46" s="951"/>
      <c r="AC46" s="951"/>
      <c r="AD46" s="951"/>
      <c r="AE46" s="951"/>
      <c r="AF46" s="951"/>
      <c r="AG46" s="951"/>
      <c r="AH46" s="951"/>
      <c r="AI46" s="951"/>
      <c r="AJ46" s="951"/>
      <c r="AK46" s="951"/>
      <c r="AL46" s="951"/>
      <c r="AM46" s="951"/>
      <c r="AN46" s="951"/>
      <c r="AO46" s="951"/>
      <c r="AP46" s="951"/>
      <c r="AQ46" s="951"/>
      <c r="AR46" s="951"/>
      <c r="AS46" s="951"/>
      <c r="AT46" s="951"/>
      <c r="AU46" s="951"/>
      <c r="AV46" s="951"/>
      <c r="AW46" s="951"/>
      <c r="AX46" s="951"/>
      <c r="AY46" s="951"/>
      <c r="AZ46" s="951"/>
      <c r="BA46" s="951"/>
      <c r="BB46" s="951"/>
      <c r="BC46" s="951"/>
      <c r="BD46" s="951"/>
      <c r="BE46" s="951"/>
      <c r="BF46" s="951"/>
      <c r="BG46" s="951"/>
      <c r="BH46" s="951"/>
      <c r="BI46" s="951"/>
      <c r="BJ46" s="951"/>
      <c r="BK46" s="951"/>
      <c r="BL46" s="951"/>
      <c r="BM46" s="951"/>
      <c r="BN46" s="951"/>
      <c r="BO46" s="951"/>
      <c r="BP46" s="951"/>
      <c r="BQ46" s="951"/>
      <c r="BR46" s="951"/>
      <c r="BS46" s="951"/>
      <c r="BT46" s="951"/>
      <c r="BU46" s="951"/>
      <c r="BV46" s="951"/>
      <c r="BW46" s="951"/>
      <c r="BX46" s="951"/>
      <c r="BY46" s="951"/>
      <c r="BZ46" s="951"/>
      <c r="CA46" s="951"/>
      <c r="CB46" s="951"/>
      <c r="CC46" s="951"/>
    </row>
    <row r="47" spans="1:81" s="270" customFormat="1" ht="68.25" hidden="1" customHeight="1" thickBot="1" x14ac:dyDescent="0.35">
      <c r="A47" s="1348" t="s">
        <v>769</v>
      </c>
      <c r="B47" s="1349"/>
      <c r="C47" s="1350"/>
      <c r="D47" s="1035" t="e">
        <f>+M47+N47+O47+Import!L250+Import!L251+Import!L254</f>
        <v>#VALUE!</v>
      </c>
      <c r="E47" s="1034"/>
      <c r="F47" s="1036"/>
      <c r="G47" s="993"/>
      <c r="H47" s="1047" t="s">
        <v>1388</v>
      </c>
      <c r="I47" s="1066" t="s">
        <v>790</v>
      </c>
      <c r="J47" s="1068"/>
      <c r="K47" s="949"/>
      <c r="L47" s="976">
        <f>IF(Import!L247=1,1,0)</f>
        <v>0</v>
      </c>
      <c r="M47" s="976">
        <f>IF(Import!L248=1,1,0)</f>
        <v>0</v>
      </c>
      <c r="N47" s="976">
        <f>IF(Import!L249=1,1,0)</f>
        <v>0</v>
      </c>
      <c r="P47" s="950"/>
      <c r="Q47" s="951"/>
      <c r="R47" s="951"/>
      <c r="S47" s="951"/>
      <c r="T47" s="951"/>
      <c r="U47" s="951"/>
      <c r="V47" s="951"/>
      <c r="W47" s="951"/>
      <c r="X47" s="951"/>
      <c r="Y47" s="951"/>
      <c r="Z47" s="951"/>
      <c r="AA47" s="951"/>
      <c r="AB47" s="951"/>
      <c r="AC47" s="951"/>
      <c r="AD47" s="951"/>
      <c r="AE47" s="951"/>
      <c r="AF47" s="951"/>
      <c r="AG47" s="951"/>
      <c r="AH47" s="951"/>
      <c r="AI47" s="951"/>
      <c r="AJ47" s="951"/>
      <c r="AK47" s="951"/>
      <c r="AL47" s="951"/>
      <c r="AM47" s="951"/>
      <c r="AN47" s="951"/>
      <c r="AO47" s="951"/>
      <c r="AP47" s="951"/>
      <c r="AQ47" s="951"/>
      <c r="AR47" s="951"/>
      <c r="AS47" s="951"/>
      <c r="AT47" s="951"/>
      <c r="AU47" s="951"/>
      <c r="AV47" s="951"/>
      <c r="AW47" s="951"/>
      <c r="AX47" s="951"/>
      <c r="AY47" s="951"/>
      <c r="AZ47" s="951"/>
      <c r="BA47" s="951"/>
      <c r="BB47" s="951"/>
      <c r="BC47" s="951"/>
      <c r="BD47" s="951"/>
      <c r="BE47" s="951"/>
      <c r="BF47" s="951"/>
      <c r="BG47" s="951"/>
      <c r="BH47" s="951"/>
      <c r="BI47" s="951"/>
      <c r="BJ47" s="951"/>
      <c r="BK47" s="951"/>
      <c r="BL47" s="951"/>
      <c r="BM47" s="951"/>
      <c r="BN47" s="951"/>
      <c r="BO47" s="951"/>
      <c r="BP47" s="951"/>
      <c r="BQ47" s="951"/>
      <c r="BR47" s="951"/>
      <c r="BS47" s="951"/>
      <c r="BT47" s="951"/>
      <c r="BU47" s="951"/>
      <c r="BV47" s="951"/>
      <c r="BW47" s="951"/>
      <c r="BX47" s="951"/>
      <c r="BY47" s="951"/>
      <c r="BZ47" s="951"/>
      <c r="CA47" s="951"/>
      <c r="CB47" s="951"/>
      <c r="CC47" s="951"/>
    </row>
    <row r="48" spans="1:81" s="270" customFormat="1" ht="18" hidden="1" customHeight="1" thickBot="1" x14ac:dyDescent="0.35">
      <c r="A48" s="1351"/>
      <c r="B48" s="1352"/>
      <c r="C48" s="1353"/>
      <c r="D48" s="1023" t="s">
        <v>1366</v>
      </c>
      <c r="E48" s="284" t="s">
        <v>1376</v>
      </c>
      <c r="F48" s="1024"/>
      <c r="G48" s="993"/>
      <c r="H48" s="1057"/>
      <c r="I48" s="1066"/>
      <c r="J48" s="1073"/>
      <c r="K48" s="949"/>
      <c r="P48" s="950"/>
      <c r="Q48" s="951"/>
      <c r="R48" s="951"/>
      <c r="S48" s="951"/>
      <c r="T48" s="951"/>
      <c r="U48" s="951"/>
      <c r="V48" s="951"/>
      <c r="W48" s="951"/>
      <c r="X48" s="951"/>
      <c r="Y48" s="951"/>
      <c r="Z48" s="951"/>
      <c r="AA48" s="951"/>
      <c r="AB48" s="951"/>
      <c r="AC48" s="951"/>
      <c r="AD48" s="951"/>
      <c r="AE48" s="951"/>
      <c r="AF48" s="951"/>
      <c r="AG48" s="951"/>
      <c r="AH48" s="951"/>
      <c r="AI48" s="951"/>
      <c r="AJ48" s="951"/>
      <c r="AK48" s="951"/>
      <c r="AL48" s="951"/>
      <c r="AM48" s="951"/>
      <c r="AN48" s="951"/>
      <c r="AO48" s="951"/>
      <c r="AP48" s="951"/>
      <c r="AQ48" s="951"/>
      <c r="AR48" s="951"/>
      <c r="AS48" s="951"/>
      <c r="AT48" s="951"/>
      <c r="AU48" s="951"/>
      <c r="AV48" s="951"/>
      <c r="AW48" s="951"/>
      <c r="AX48" s="951"/>
      <c r="AY48" s="951"/>
      <c r="AZ48" s="951"/>
      <c r="BA48" s="951"/>
      <c r="BB48" s="951"/>
      <c r="BC48" s="951"/>
      <c r="BD48" s="951"/>
      <c r="BE48" s="951"/>
      <c r="BF48" s="951"/>
      <c r="BG48" s="951"/>
      <c r="BH48" s="951"/>
      <c r="BI48" s="951"/>
      <c r="BJ48" s="951"/>
      <c r="BK48" s="951"/>
      <c r="BL48" s="951"/>
      <c r="BM48" s="951"/>
      <c r="BN48" s="951"/>
      <c r="BO48" s="951"/>
      <c r="BP48" s="951"/>
      <c r="BQ48" s="951"/>
      <c r="BR48" s="951"/>
      <c r="BS48" s="951"/>
      <c r="BT48" s="951"/>
      <c r="BU48" s="951"/>
      <c r="BV48" s="951"/>
      <c r="BW48" s="951"/>
      <c r="BX48" s="951"/>
      <c r="BY48" s="951"/>
      <c r="BZ48" s="951"/>
      <c r="CA48" s="951"/>
      <c r="CB48" s="951"/>
      <c r="CC48" s="951"/>
    </row>
    <row r="49" spans="1:81" s="270" customFormat="1" ht="114.75" hidden="1" customHeight="1" thickBot="1" x14ac:dyDescent="0.35">
      <c r="A49" s="1340" t="s">
        <v>797</v>
      </c>
      <c r="B49" s="1340"/>
      <c r="C49" s="1340"/>
      <c r="D49" s="1031" t="e">
        <f>IF('Electric trans'!F29="No, unit exceeds limit by:","Yes","No")</f>
        <v>#N/A</v>
      </c>
      <c r="E49" s="1034"/>
      <c r="F49" s="1031" t="e">
        <f>+D49</f>
        <v>#N/A</v>
      </c>
      <c r="G49" s="993"/>
      <c r="H49" s="1047" t="s">
        <v>1389</v>
      </c>
      <c r="I49" s="1066" t="s">
        <v>840</v>
      </c>
      <c r="J49" s="1068"/>
      <c r="K49" s="949"/>
      <c r="P49" s="950"/>
      <c r="Q49" s="951"/>
      <c r="R49" s="951"/>
      <c r="S49" s="951"/>
      <c r="T49" s="951"/>
      <c r="U49" s="951"/>
      <c r="V49" s="951"/>
      <c r="W49" s="951"/>
      <c r="X49" s="951"/>
      <c r="Y49" s="951"/>
      <c r="Z49" s="951"/>
      <c r="AA49" s="951"/>
      <c r="AB49" s="951"/>
      <c r="AC49" s="951"/>
      <c r="AD49" s="951"/>
      <c r="AE49" s="951"/>
      <c r="AF49" s="951"/>
      <c r="AG49" s="951"/>
      <c r="AH49" s="951"/>
      <c r="AI49" s="951"/>
      <c r="AJ49" s="951"/>
      <c r="AK49" s="951"/>
      <c r="AL49" s="951"/>
      <c r="AM49" s="951"/>
      <c r="AN49" s="951"/>
      <c r="AO49" s="951"/>
      <c r="AP49" s="951"/>
      <c r="AQ49" s="951"/>
      <c r="AR49" s="951"/>
      <c r="AS49" s="951"/>
      <c r="AT49" s="951"/>
      <c r="AU49" s="951"/>
      <c r="AV49" s="951"/>
      <c r="AW49" s="951"/>
      <c r="AX49" s="951"/>
      <c r="AY49" s="951"/>
      <c r="AZ49" s="951"/>
      <c r="BA49" s="951"/>
      <c r="BB49" s="951"/>
      <c r="BC49" s="951"/>
      <c r="BD49" s="951"/>
      <c r="BE49" s="951"/>
      <c r="BF49" s="951"/>
      <c r="BG49" s="951"/>
      <c r="BH49" s="951"/>
      <c r="BI49" s="951"/>
      <c r="BJ49" s="951"/>
      <c r="BK49" s="951"/>
      <c r="BL49" s="951"/>
      <c r="BM49" s="951"/>
      <c r="BN49" s="951"/>
      <c r="BO49" s="951"/>
      <c r="BP49" s="951"/>
      <c r="BQ49" s="951"/>
      <c r="BR49" s="951"/>
      <c r="BS49" s="951"/>
      <c r="BT49" s="951"/>
      <c r="BU49" s="951"/>
      <c r="BV49" s="951"/>
      <c r="BW49" s="951"/>
      <c r="BX49" s="951"/>
      <c r="BY49" s="951"/>
      <c r="BZ49" s="951"/>
      <c r="CA49" s="951"/>
      <c r="CB49" s="951"/>
      <c r="CC49" s="951"/>
    </row>
    <row r="50" spans="1:81" s="270" customFormat="1" ht="18" hidden="1" customHeight="1" thickBot="1" x14ac:dyDescent="0.35">
      <c r="A50" s="1354"/>
      <c r="B50" s="1355"/>
      <c r="C50" s="1356"/>
      <c r="D50" s="1023" t="s">
        <v>1366</v>
      </c>
      <c r="E50" s="284" t="s">
        <v>1376</v>
      </c>
      <c r="F50" s="1032"/>
      <c r="G50" s="993"/>
      <c r="H50" s="1024"/>
      <c r="I50" s="1070"/>
      <c r="J50" s="1073"/>
      <c r="K50" s="949"/>
      <c r="P50" s="950"/>
      <c r="Q50" s="951"/>
      <c r="R50" s="951"/>
      <c r="S50" s="951"/>
      <c r="T50" s="951"/>
      <c r="U50" s="951"/>
      <c r="V50" s="951"/>
      <c r="W50" s="951"/>
      <c r="X50" s="951"/>
      <c r="Y50" s="951"/>
      <c r="Z50" s="951"/>
      <c r="AA50" s="951"/>
      <c r="AB50" s="951"/>
      <c r="AC50" s="951"/>
      <c r="AD50" s="951"/>
      <c r="AE50" s="951"/>
      <c r="AF50" s="951"/>
      <c r="AG50" s="951"/>
      <c r="AH50" s="951"/>
      <c r="AI50" s="951"/>
      <c r="AJ50" s="951"/>
      <c r="AK50" s="951"/>
      <c r="AL50" s="951"/>
      <c r="AM50" s="951"/>
      <c r="AN50" s="951"/>
      <c r="AO50" s="951"/>
      <c r="AP50" s="951"/>
      <c r="AQ50" s="951"/>
      <c r="AR50" s="951"/>
      <c r="AS50" s="951"/>
      <c r="AT50" s="951"/>
      <c r="AU50" s="951"/>
      <c r="AV50" s="951"/>
      <c r="AW50" s="951"/>
      <c r="AX50" s="951"/>
      <c r="AY50" s="951"/>
      <c r="AZ50" s="951"/>
      <c r="BA50" s="951"/>
      <c r="BB50" s="951"/>
      <c r="BC50" s="951"/>
      <c r="BD50" s="951"/>
      <c r="BE50" s="951"/>
      <c r="BF50" s="951"/>
      <c r="BG50" s="951"/>
      <c r="BH50" s="951"/>
      <c r="BI50" s="951"/>
      <c r="BJ50" s="951"/>
      <c r="BK50" s="951"/>
      <c r="BL50" s="951"/>
      <c r="BM50" s="951"/>
      <c r="BN50" s="951"/>
      <c r="BO50" s="951"/>
      <c r="BP50" s="951"/>
      <c r="BQ50" s="951"/>
      <c r="BR50" s="951"/>
      <c r="BS50" s="951"/>
      <c r="BT50" s="951"/>
      <c r="BU50" s="951"/>
      <c r="BV50" s="951"/>
      <c r="BW50" s="951"/>
      <c r="BX50" s="951"/>
      <c r="BY50" s="951"/>
      <c r="BZ50" s="951"/>
      <c r="CA50" s="951"/>
      <c r="CB50" s="951"/>
      <c r="CC50" s="951"/>
    </row>
    <row r="51" spans="1:81" s="270" customFormat="1" ht="114.75" hidden="1" customHeight="1" thickBot="1" x14ac:dyDescent="0.4">
      <c r="A51" s="1340" t="s">
        <v>839</v>
      </c>
      <c r="B51" s="1340"/>
      <c r="C51" s="1340"/>
      <c r="D51" s="1021">
        <f>+Import!L254</f>
        <v>0</v>
      </c>
      <c r="E51" s="1034"/>
      <c r="F51" s="1036">
        <f>D51</f>
        <v>0</v>
      </c>
      <c r="G51" s="993"/>
      <c r="H51" s="1047" t="s">
        <v>1391</v>
      </c>
      <c r="I51" s="1084" t="s">
        <v>1390</v>
      </c>
      <c r="J51" s="1068"/>
      <c r="K51" s="949"/>
      <c r="M51" s="1037" t="e">
        <f>'PI series #'!#REF!</f>
        <v>#REF!</v>
      </c>
      <c r="P51" s="950"/>
      <c r="Q51" s="951"/>
      <c r="R51" s="951"/>
      <c r="S51" s="951"/>
      <c r="T51" s="951"/>
      <c r="U51" s="951"/>
      <c r="V51" s="951"/>
      <c r="W51" s="951"/>
      <c r="X51" s="951"/>
      <c r="Y51" s="951"/>
      <c r="Z51" s="951"/>
      <c r="AA51" s="951"/>
      <c r="AB51" s="951"/>
      <c r="AC51" s="951"/>
      <c r="AD51" s="951"/>
      <c r="AE51" s="951"/>
      <c r="AF51" s="951"/>
      <c r="AG51" s="951"/>
      <c r="AH51" s="951"/>
      <c r="AI51" s="951"/>
      <c r="AJ51" s="951"/>
      <c r="AK51" s="951"/>
      <c r="AL51" s="951"/>
      <c r="AM51" s="951"/>
      <c r="AN51" s="951"/>
      <c r="AO51" s="951"/>
      <c r="AP51" s="951"/>
      <c r="AQ51" s="951"/>
      <c r="AR51" s="951"/>
      <c r="AS51" s="951"/>
      <c r="AT51" s="951"/>
      <c r="AU51" s="951"/>
      <c r="AV51" s="951"/>
      <c r="AW51" s="951"/>
      <c r="AX51" s="951"/>
      <c r="AY51" s="951"/>
      <c r="AZ51" s="951"/>
      <c r="BA51" s="951"/>
      <c r="BB51" s="951"/>
      <c r="BC51" s="951"/>
      <c r="BD51" s="951"/>
      <c r="BE51" s="951"/>
      <c r="BF51" s="951"/>
      <c r="BG51" s="951"/>
      <c r="BH51" s="951"/>
      <c r="BI51" s="951"/>
      <c r="BJ51" s="951"/>
      <c r="BK51" s="951"/>
      <c r="BL51" s="951"/>
      <c r="BM51" s="951"/>
      <c r="BN51" s="951"/>
      <c r="BO51" s="951"/>
      <c r="BP51" s="951"/>
      <c r="BQ51" s="951"/>
      <c r="BR51" s="951"/>
      <c r="BS51" s="951"/>
      <c r="BT51" s="951"/>
      <c r="BU51" s="951"/>
      <c r="BV51" s="951"/>
      <c r="BW51" s="951"/>
      <c r="BX51" s="951"/>
      <c r="BY51" s="951"/>
      <c r="BZ51" s="951"/>
      <c r="CA51" s="951"/>
      <c r="CB51" s="951"/>
      <c r="CC51" s="951"/>
    </row>
    <row r="52" spans="1:81" s="952" customFormat="1" hidden="1" x14ac:dyDescent="0.3">
      <c r="A52" s="1038"/>
      <c r="B52" s="1038"/>
      <c r="C52" s="1038"/>
      <c r="D52" s="1038"/>
      <c r="E52" s="1038"/>
      <c r="F52" s="1038"/>
      <c r="G52" s="1039"/>
      <c r="H52" s="1038"/>
      <c r="I52" s="1043"/>
      <c r="J52" s="1043"/>
      <c r="L52" s="270"/>
      <c r="M52" s="270"/>
      <c r="N52" s="270"/>
      <c r="O52" s="270"/>
      <c r="P52" s="950"/>
      <c r="Q52" s="951"/>
      <c r="R52" s="951"/>
      <c r="S52" s="951"/>
      <c r="T52" s="951"/>
      <c r="U52" s="951"/>
      <c r="V52" s="951"/>
      <c r="W52" s="951"/>
      <c r="X52" s="951"/>
      <c r="Y52" s="951"/>
      <c r="Z52" s="951"/>
      <c r="AA52" s="951"/>
      <c r="AB52" s="951"/>
      <c r="AC52" s="951"/>
      <c r="AD52" s="951"/>
      <c r="AE52" s="951"/>
      <c r="AF52" s="951"/>
      <c r="AG52" s="951"/>
      <c r="AH52" s="951"/>
      <c r="AI52" s="951"/>
      <c r="AJ52" s="951"/>
      <c r="AK52" s="951"/>
      <c r="AL52" s="951"/>
      <c r="AM52" s="951"/>
      <c r="AN52" s="951"/>
      <c r="AO52" s="951"/>
      <c r="AP52" s="951"/>
      <c r="AQ52" s="951"/>
      <c r="AR52" s="951"/>
      <c r="AS52" s="951"/>
      <c r="AT52" s="951"/>
      <c r="AU52" s="951"/>
      <c r="AV52" s="951"/>
      <c r="AW52" s="951"/>
      <c r="AX52" s="951"/>
      <c r="AY52" s="951"/>
      <c r="AZ52" s="951"/>
      <c r="BA52" s="951"/>
      <c r="BB52" s="951"/>
      <c r="BC52" s="951"/>
      <c r="BD52" s="951"/>
      <c r="BE52" s="951"/>
      <c r="BF52" s="951"/>
      <c r="BG52" s="951"/>
      <c r="BH52" s="951"/>
      <c r="BI52" s="951"/>
      <c r="BJ52" s="951"/>
      <c r="BK52" s="951"/>
      <c r="BL52" s="951"/>
      <c r="BM52" s="951"/>
      <c r="BN52" s="951"/>
      <c r="BO52" s="951"/>
      <c r="BP52" s="951"/>
      <c r="BQ52" s="951"/>
      <c r="BR52" s="951"/>
      <c r="BS52" s="951"/>
      <c r="BT52" s="951"/>
      <c r="BU52" s="951"/>
      <c r="BV52" s="951"/>
      <c r="BW52" s="951"/>
      <c r="BX52" s="951"/>
      <c r="BY52" s="951"/>
      <c r="BZ52" s="951"/>
      <c r="CA52" s="951"/>
      <c r="CB52" s="951"/>
      <c r="CC52" s="951"/>
    </row>
    <row r="53" spans="1:81" hidden="1" x14ac:dyDescent="0.3"/>
    <row r="65" spans="1:9" ht="147" customHeight="1" x14ac:dyDescent="0.85">
      <c r="A65" s="1336" t="s">
        <v>1427</v>
      </c>
      <c r="B65" s="1337"/>
      <c r="C65" s="1337"/>
      <c r="D65" s="1337"/>
      <c r="E65" s="1337"/>
      <c r="F65" s="1337"/>
      <c r="G65" s="1337"/>
      <c r="H65" s="1337"/>
      <c r="I65" s="1338"/>
    </row>
  </sheetData>
  <sheetProtection algorithmName="SHA-512" hashValue="w6ndhMb3ngWWsrz/6elo71O/uRWOCABsJ5NfluVSedBvnG+/3RDVhMCxKbPZfvgzT9wsxAnDJjKGKRnTe2h50Q==" saltValue="BlT/pvn50Ue8HkDcIQl7Jw==" spinCount="100000" sheet="1" objects="1" scenarios="1"/>
  <mergeCells count="45">
    <mergeCell ref="A1:H1"/>
    <mergeCell ref="A2:H2"/>
    <mergeCell ref="G3:H3"/>
    <mergeCell ref="B4:D4"/>
    <mergeCell ref="E4:F5"/>
    <mergeCell ref="H4:H5"/>
    <mergeCell ref="B5:D5"/>
    <mergeCell ref="A32:C32"/>
    <mergeCell ref="A6:F7"/>
    <mergeCell ref="H6:H8"/>
    <mergeCell ref="A8:D8"/>
    <mergeCell ref="A9:D9"/>
    <mergeCell ref="A18:C18"/>
    <mergeCell ref="A20:D20"/>
    <mergeCell ref="A10:D10"/>
    <mergeCell ref="A11:D11"/>
    <mergeCell ref="A21:D21"/>
    <mergeCell ref="A28:C28"/>
    <mergeCell ref="A29:C29"/>
    <mergeCell ref="A30:C30"/>
    <mergeCell ref="A31:C31"/>
    <mergeCell ref="A43:C43"/>
    <mergeCell ref="A44:C44"/>
    <mergeCell ref="A33:C33"/>
    <mergeCell ref="A34:C34"/>
    <mergeCell ref="A35:C35"/>
    <mergeCell ref="A36:C36"/>
    <mergeCell ref="A37:C37"/>
    <mergeCell ref="A38:C38"/>
    <mergeCell ref="A65:I65"/>
    <mergeCell ref="I1:J1"/>
    <mergeCell ref="A51:C51"/>
    <mergeCell ref="I2:I5"/>
    <mergeCell ref="J2:J5"/>
    <mergeCell ref="J6:J8"/>
    <mergeCell ref="A45:C45"/>
    <mergeCell ref="A46:C46"/>
    <mergeCell ref="A47:C47"/>
    <mergeCell ref="A48:C48"/>
    <mergeCell ref="A49:C49"/>
    <mergeCell ref="A50:C50"/>
    <mergeCell ref="A39:C39"/>
    <mergeCell ref="A40:C40"/>
    <mergeCell ref="A41:C41"/>
    <mergeCell ref="A42:C42"/>
  </mergeCells>
  <conditionalFormatting sqref="F14">
    <cfRule type="cellIs" dxfId="36" priority="27" operator="lessThan">
      <formula>1</formula>
    </cfRule>
  </conditionalFormatting>
  <conditionalFormatting sqref="F16">
    <cfRule type="cellIs" dxfId="35" priority="26" operator="lessThan">
      <formula>0</formula>
    </cfRule>
  </conditionalFormatting>
  <conditionalFormatting sqref="F17">
    <cfRule type="cellIs" dxfId="34" priority="25" operator="lessThan">
      <formula>0.16</formula>
    </cfRule>
  </conditionalFormatting>
  <conditionalFormatting sqref="F21">
    <cfRule type="cellIs" dxfId="33" priority="24" operator="lessThan">
      <formula>1</formula>
    </cfRule>
  </conditionalFormatting>
  <conditionalFormatting sqref="F23">
    <cfRule type="cellIs" dxfId="32" priority="23" operator="lessThan">
      <formula>0</formula>
    </cfRule>
  </conditionalFormatting>
  <conditionalFormatting sqref="F24">
    <cfRule type="cellIs" dxfId="31" priority="22" operator="lessThan">
      <formula>0.16</formula>
    </cfRule>
  </conditionalFormatting>
  <conditionalFormatting sqref="F29">
    <cfRule type="cellIs" dxfId="30" priority="21" operator="equal">
      <formula>"No"</formula>
    </cfRule>
  </conditionalFormatting>
  <conditionalFormatting sqref="F31">
    <cfRule type="cellIs" dxfId="29" priority="20" operator="lessThan">
      <formula>-0.03</formula>
    </cfRule>
  </conditionalFormatting>
  <conditionalFormatting sqref="F37">
    <cfRule type="cellIs" dxfId="28" priority="12" operator="equal">
      <formula>"Yes"</formula>
    </cfRule>
  </conditionalFormatting>
  <conditionalFormatting sqref="F39">
    <cfRule type="cellIs" dxfId="27" priority="19" operator="equal">
      <formula>"Yes"</formula>
    </cfRule>
  </conditionalFormatting>
  <conditionalFormatting sqref="F41">
    <cfRule type="cellIs" dxfId="26" priority="18" operator="equal">
      <formula>"Yes"</formula>
    </cfRule>
  </conditionalFormatting>
  <conditionalFormatting sqref="F43">
    <cfRule type="cellIs" dxfId="25" priority="17" operator="equal">
      <formula>"Yes"</formula>
    </cfRule>
  </conditionalFormatting>
  <conditionalFormatting sqref="F35">
    <cfRule type="cellIs" dxfId="24" priority="16" operator="equal">
      <formula>"No"</formula>
    </cfRule>
  </conditionalFormatting>
  <conditionalFormatting sqref="F50">
    <cfRule type="cellIs" dxfId="23" priority="14" operator="equal">
      <formula>"Yes"</formula>
    </cfRule>
  </conditionalFormatting>
  <conditionalFormatting sqref="F49">
    <cfRule type="cellIs" dxfId="22" priority="13" operator="equal">
      <formula>"Yes"</formula>
    </cfRule>
  </conditionalFormatting>
  <conditionalFormatting sqref="F45">
    <cfRule type="cellIs" dxfId="21" priority="11" operator="equal">
      <formula>"No"</formula>
    </cfRule>
  </conditionalFormatting>
  <conditionalFormatting sqref="F33">
    <cfRule type="cellIs" dxfId="20" priority="10" operator="equal">
      <formula>"Decrease"</formula>
    </cfRule>
  </conditionalFormatting>
  <conditionalFormatting sqref="F47">
    <cfRule type="expression" dxfId="19" priority="9">
      <formula>$D$47&gt;0</formula>
    </cfRule>
  </conditionalFormatting>
  <conditionalFormatting sqref="F51">
    <cfRule type="expression" dxfId="18" priority="8">
      <formula>M51&gt;0</formula>
    </cfRule>
  </conditionalFormatting>
  <conditionalFormatting sqref="F9">
    <cfRule type="cellIs" dxfId="17" priority="2" operator="lessThan">
      <formula>$L$9&lt;0%</formula>
    </cfRule>
    <cfRule type="expression" dxfId="16" priority="117">
      <formula>"$L$9&lt;0%"</formula>
    </cfRule>
  </conditionalFormatting>
  <conditionalFormatting sqref="F26">
    <cfRule type="cellIs" dxfId="15" priority="7" operator="lessThan">
      <formula>1</formula>
    </cfRule>
  </conditionalFormatting>
  <conditionalFormatting sqref="F10">
    <cfRule type="expression" dxfId="14" priority="6">
      <formula>$L$10&lt;0%</formula>
    </cfRule>
  </conditionalFormatting>
  <conditionalFormatting sqref="F11">
    <cfRule type="expression" dxfId="13" priority="4">
      <formula>$L$11&lt;8%</formula>
    </cfRule>
  </conditionalFormatting>
  <conditionalFormatting sqref="F12">
    <cfRule type="cellIs" dxfId="12" priority="1" operator="lessThan">
      <formula>0</formula>
    </cfRule>
  </conditionalFormatting>
  <pageMargins left="0.25" right="0.25" top="0.05" bottom="0.05" header="0.3" footer="0.3"/>
  <pageSetup scale="65" fitToHeight="0" orientation="landscape" r:id="rId1"/>
  <rowBreaks count="4" manualBreakCount="4">
    <brk id="12" max="7" man="1"/>
    <brk id="18" max="7" man="1"/>
    <brk id="26" max="7" man="1"/>
    <brk id="41" max="7" man="1"/>
  </rowBreaks>
  <drawing r:id="rId2"/>
  <extLst>
    <ext xmlns:x14="http://schemas.microsoft.com/office/spreadsheetml/2009/9/main" uri="{78C0D931-6437-407d-A8EE-F0AAD7539E65}">
      <x14:conditionalFormattings>
        <x14:conditionalFormatting xmlns:xm="http://schemas.microsoft.com/office/excel/2006/main">
          <x14:cfRule type="iconSet" priority="29" id="{EB8AC468-E013-4496-8E39-B59C2B47B4BD}">
            <x14:iconSet iconSet="3Symbols2" custom="1">
              <x14:cfvo type="percent">
                <xm:f>0</xm:f>
              </x14:cfvo>
              <x14:cfvo type="percent">
                <xm:f>0</xm:f>
              </x14:cfvo>
              <x14:cfvo type="percent">
                <xm:f>34</xm:f>
              </x14:cfvo>
              <x14:cfIcon iconSet="NoIcons" iconId="0"/>
              <x14:cfIcon iconSet="3Symbols2" iconId="0"/>
              <x14:cfIcon iconSet="3Symbols2" iconId="2"/>
            </x14:iconSet>
          </x14:cfRule>
          <xm:sqref>P8:P9</xm:sqref>
        </x14:conditionalFormatting>
        <x14:conditionalFormatting xmlns:xm="http://schemas.microsoft.com/office/excel/2006/main">
          <x14:cfRule type="iconSet" priority="5" id="{C037EB33-F080-4012-B202-3E2DBCBD6EF5}">
            <x14:iconSet iconSet="3Symbols2" custom="1">
              <x14:cfvo type="percent">
                <xm:f>0</xm:f>
              </x14:cfvo>
              <x14:cfvo type="percent">
                <xm:f>0</xm:f>
              </x14:cfvo>
              <x14:cfvo type="percent">
                <xm:f>34</xm:f>
              </x14:cfvo>
              <x14:cfIcon iconSet="NoIcons" iconId="0"/>
              <x14:cfIcon iconSet="3Symbols2" iconId="0"/>
              <x14:cfIcon iconSet="3Symbols2" iconId="2"/>
            </x14:iconSet>
          </x14:cfRule>
          <xm:sqref>P10</xm:sqref>
        </x14:conditionalFormatting>
        <x14:conditionalFormatting xmlns:xm="http://schemas.microsoft.com/office/excel/2006/main">
          <x14:cfRule type="iconSet" priority="3" id="{83BC780B-F2F4-4977-A706-E84D55E3CA9C}">
            <x14:iconSet iconSet="3Symbols2" custom="1">
              <x14:cfvo type="percent">
                <xm:f>0</xm:f>
              </x14:cfvo>
              <x14:cfvo type="percent">
                <xm:f>0</xm:f>
              </x14:cfvo>
              <x14:cfvo type="percent">
                <xm:f>34</xm:f>
              </x14:cfvo>
              <x14:cfIcon iconSet="NoIcons" iconId="0"/>
              <x14:cfIcon iconSet="3Symbols2" iconId="0"/>
              <x14:cfIcon iconSet="3Symbols2" iconId="2"/>
            </x14:iconSet>
          </x14:cfRule>
          <xm:sqref>P11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ED8F8-0789-47C5-8DBB-AB7B88D9B55C}">
  <sheetPr codeName="Sheet6">
    <tabColor theme="3" tint="0.79998168889431442"/>
    <pageSetUpPr fitToPage="1"/>
  </sheetPr>
  <dimension ref="A1:BZ24"/>
  <sheetViews>
    <sheetView showGridLines="0" zoomScale="80" zoomScaleNormal="80" workbookViewId="0">
      <pane ySplit="4" topLeftCell="A11" activePane="bottomLeft" state="frozen"/>
      <selection activeCell="A12" sqref="A12"/>
      <selection pane="bottomLeft" activeCell="A12" sqref="A12"/>
    </sheetView>
  </sheetViews>
  <sheetFormatPr defaultColWidth="9.109375" defaultRowHeight="14.4" x14ac:dyDescent="0.3"/>
  <cols>
    <col min="1" max="1" width="44.5546875" style="487" customWidth="1"/>
    <col min="2" max="2" width="17.33203125" style="487" customWidth="1"/>
    <col min="3" max="3" width="17.88671875" style="487" customWidth="1"/>
    <col min="4" max="4" width="20.88671875" style="487" customWidth="1"/>
    <col min="5" max="5" width="16.109375" style="487" customWidth="1"/>
    <col min="6" max="6" width="14.88671875" style="487" customWidth="1"/>
    <col min="7" max="7" width="46.109375" style="494" customWidth="1"/>
    <col min="8" max="8" width="77.5546875" style="487" customWidth="1"/>
    <col min="9" max="9" width="34" style="487" customWidth="1"/>
    <col min="10" max="10" width="9.109375" style="487" customWidth="1"/>
    <col min="11" max="11" width="36.88671875" style="487" customWidth="1"/>
    <col min="12" max="12" width="15" style="487" customWidth="1"/>
    <col min="13" max="13" width="11.88671875" style="487" customWidth="1"/>
    <col min="14" max="24" width="9.109375" style="487" customWidth="1"/>
    <col min="25" max="25" width="9.109375" style="296" customWidth="1"/>
    <col min="26" max="26" width="36.88671875" style="545" hidden="1" customWidth="1"/>
    <col min="27" max="16384" width="9.109375" style="487"/>
  </cols>
  <sheetData>
    <row r="1" spans="1:78" x14ac:dyDescent="0.3">
      <c r="A1" s="488" t="s">
        <v>764</v>
      </c>
      <c r="B1" s="489"/>
      <c r="C1" s="489"/>
      <c r="D1" s="489"/>
      <c r="E1" s="490" t="s">
        <v>765</v>
      </c>
      <c r="F1" s="490">
        <v>2021</v>
      </c>
      <c r="G1" s="1389"/>
      <c r="H1" s="1390"/>
      <c r="I1" s="491"/>
      <c r="Z1" s="538" t="s">
        <v>1044</v>
      </c>
    </row>
    <row r="2" spans="1:78" ht="98.25" customHeight="1" x14ac:dyDescent="0.3">
      <c r="A2" s="492" t="s">
        <v>843</v>
      </c>
      <c r="B2" s="1391" t="str">
        <f>'Unit Data from Audit Worksheet'!D2</f>
        <v>Select Unit Name from Drop Down List</v>
      </c>
      <c r="C2" s="1391"/>
      <c r="D2" s="1391"/>
      <c r="E2" s="1395" t="s">
        <v>1289</v>
      </c>
      <c r="F2" s="1395"/>
      <c r="G2" s="1395"/>
      <c r="H2" s="1392" t="s">
        <v>1051</v>
      </c>
      <c r="I2" s="493"/>
      <c r="J2" s="494"/>
      <c r="K2" s="495"/>
      <c r="Z2" s="162"/>
    </row>
    <row r="3" spans="1:78" ht="38.25" customHeight="1" x14ac:dyDescent="0.3">
      <c r="A3" s="496" t="s">
        <v>766</v>
      </c>
      <c r="B3" s="1394" t="e">
        <f>'Unit Data from Audit Worksheet'!D3</f>
        <v>#N/A</v>
      </c>
      <c r="C3" s="1394"/>
      <c r="D3" s="1394"/>
      <c r="E3" s="1396"/>
      <c r="F3" s="1396"/>
      <c r="G3" s="1396"/>
      <c r="H3" s="1393"/>
      <c r="I3" s="491"/>
      <c r="K3" s="497" t="s">
        <v>805</v>
      </c>
      <c r="Z3" s="162"/>
    </row>
    <row r="4" spans="1:78" ht="106.5" customHeight="1" x14ac:dyDescent="0.3">
      <c r="A4" s="552"/>
      <c r="B4" s="553">
        <v>2019</v>
      </c>
      <c r="C4" s="553">
        <v>2020</v>
      </c>
      <c r="D4" s="553">
        <v>2021</v>
      </c>
      <c r="E4" s="554" t="s">
        <v>1049</v>
      </c>
      <c r="F4" s="553" t="s">
        <v>771</v>
      </c>
      <c r="G4" s="555"/>
      <c r="H4" s="553" t="s">
        <v>767</v>
      </c>
      <c r="I4" s="554" t="s">
        <v>1088</v>
      </c>
      <c r="J4" s="498"/>
      <c r="Z4" s="162"/>
    </row>
    <row r="5" spans="1:78" x14ac:dyDescent="0.3">
      <c r="A5" s="548" t="s">
        <v>447</v>
      </c>
      <c r="B5" s="549"/>
      <c r="C5" s="549"/>
      <c r="D5" s="549"/>
      <c r="E5" s="550"/>
      <c r="F5" s="547"/>
      <c r="G5" s="550"/>
      <c r="H5" s="549"/>
      <c r="I5" s="551"/>
      <c r="J5" s="498"/>
      <c r="K5" s="500">
        <f>+(Import!$L$72+Import!$L$77+Import!$L$74-Import!$L$75-Import!$L$76)</f>
        <v>0</v>
      </c>
      <c r="L5" s="487" t="s">
        <v>852</v>
      </c>
      <c r="Z5" s="540"/>
    </row>
    <row r="6" spans="1:78" ht="143.25" customHeight="1" x14ac:dyDescent="0.3">
      <c r="A6" s="392" t="s">
        <v>592</v>
      </c>
      <c r="B6" s="388" t="e">
        <f>HLOOKUP($B$3,'2019 Data(H)'!$E$2:$CX$299,291,FALSE)</f>
        <v>#N/A</v>
      </c>
      <c r="C6" s="388" t="e">
        <f>HLOOKUP($B$2,'2020 Data(H)'!$E$1:$CZ$426,339,FALSE)</f>
        <v>#N/A</v>
      </c>
      <c r="D6" s="388" t="str">
        <f>IFERROR((Import!$L$52+Import!$L$53-Import!$L$57-Import!$L$58-Import!$L$230-Import!$L$62+Import!$L$89)/(Import!$L$72+Import!$L$77+Import!$L$74-Import!$L$75-Import!$L$76),"")</f>
        <v/>
      </c>
      <c r="E6" s="525" t="b">
        <f>IF(K5&gt;10000000,"25% -- Average of similar units is 46%",IF(K5&gt;999999,"34% -- Average of similar units is 63%",IF(K5&gt;99999,"71% -- Average of similar units is 132%",IF(K5&gt;1,"100 %-- Average of similar units is 260%"))))</f>
        <v>0</v>
      </c>
      <c r="F6" s="923"/>
      <c r="G6" s="932" t="s">
        <v>1250</v>
      </c>
      <c r="H6" s="912" t="s">
        <v>1290</v>
      </c>
      <c r="I6" s="524"/>
      <c r="J6" s="498"/>
      <c r="K6" s="501" t="b">
        <f>IF($K$5&gt;10000000,"25%",IF($K$5&gt;999999,"34%",IF($K$5&gt;99999,"71%",IF($K$5&gt;1,"100%"))))</f>
        <v>0</v>
      </c>
      <c r="L6" s="502" t="e">
        <f>+D6-K6</f>
        <v>#VALUE!</v>
      </c>
      <c r="Z6" s="162" t="s">
        <v>1045</v>
      </c>
    </row>
    <row r="7" spans="1:78" ht="22.5" customHeight="1" x14ac:dyDescent="0.3">
      <c r="A7" s="392"/>
      <c r="B7" s="390"/>
      <c r="C7" s="390"/>
      <c r="D7" s="390"/>
      <c r="E7" s="525"/>
      <c r="F7" s="391"/>
      <c r="G7" s="523"/>
      <c r="H7" s="521"/>
      <c r="I7" s="941"/>
      <c r="J7" s="498"/>
      <c r="K7" s="526"/>
      <c r="L7" s="502"/>
      <c r="Z7" s="162"/>
    </row>
    <row r="8" spans="1:78" ht="137.25" customHeight="1" x14ac:dyDescent="0.3">
      <c r="A8" s="921" t="s">
        <v>1296</v>
      </c>
      <c r="B8" s="922" t="e">
        <f>HLOOKUP($B$3,'2019 Data(H)'!$E$2:$CX$299,291,FALSE)</f>
        <v>#N/A</v>
      </c>
      <c r="C8" s="922" t="e">
        <f>HLOOKUP($B$2,'2020 Data(H)'!$E$1:$CZ$426,339,FALSE)</f>
        <v>#N/A</v>
      </c>
      <c r="D8" s="922" t="str">
        <f>IFERROR((Import!$L$52+Import!$L$53-Import!$L$57-Import!$L$58-Import!$L$230-Import!$L$62+Import!$L$89)/(Import!$L$72+Import!$L$77+Import!$L$74-Import!$L$75-Import!$L$76),"")</f>
        <v/>
      </c>
      <c r="E8" s="938" t="str">
        <f>IF($K$5&gt;99999999,"16%--Median of simiar units is 32%","20%--Median of similar units is 39%")</f>
        <v>20%--Median of similar units is 39%</v>
      </c>
      <c r="F8" s="923"/>
      <c r="G8" s="933" t="s">
        <v>772</v>
      </c>
      <c r="H8" s="934" t="s">
        <v>1016</v>
      </c>
      <c r="I8" s="924"/>
      <c r="J8" s="498"/>
      <c r="K8" s="541">
        <f>IF($K$5&gt;99999999,16%,20%)</f>
        <v>0.2</v>
      </c>
      <c r="L8" s="502" t="e">
        <f>+D8-K8</f>
        <v>#VALUE!</v>
      </c>
      <c r="Z8" s="162" t="s">
        <v>1251</v>
      </c>
    </row>
    <row r="9" spans="1:78" ht="120" customHeight="1" x14ac:dyDescent="0.3">
      <c r="A9" s="920" t="s">
        <v>1298</v>
      </c>
      <c r="B9" s="922" t="e">
        <f>HLOOKUP($B$3,'2019 Data(H)'!$E$2:$CX$299,291,FALSE)</f>
        <v>#N/A</v>
      </c>
      <c r="C9" s="922" t="e">
        <f>HLOOKUP($B$2,'2020 Data(H)'!$E$1:$CZ$426,339,FALSE)</f>
        <v>#N/A</v>
      </c>
      <c r="D9" s="922" t="str">
        <f>IFERROR((Import!$L$52+Import!$L$53-Import!$L$57-Import!$L$58-Import!$L$230-Import!$L$62+Import!$L$89)/(Import!$L$72+Import!$L$77+Import!$L$74-Import!$L$75-Import!$L$76),"")</f>
        <v/>
      </c>
      <c r="E9" s="938">
        <v>0.08</v>
      </c>
      <c r="F9" s="923" t="str">
        <f>+K9</f>
        <v/>
      </c>
      <c r="G9" s="933" t="s">
        <v>772</v>
      </c>
      <c r="H9" s="934" t="s">
        <v>1294</v>
      </c>
      <c r="I9" s="520"/>
      <c r="J9" s="498"/>
      <c r="K9" s="922" t="str">
        <f>+IF(D9&gt;7.9999%,D9,"Less than 8%")</f>
        <v/>
      </c>
      <c r="L9" s="502"/>
      <c r="Z9" s="162"/>
    </row>
    <row r="10" spans="1:78" ht="152.25" customHeight="1" thickBot="1" x14ac:dyDescent="0.35">
      <c r="A10" s="920" t="s">
        <v>799</v>
      </c>
      <c r="B10" s="552"/>
      <c r="C10" s="552"/>
      <c r="D10" s="925">
        <f>+Import!L65</f>
        <v>0</v>
      </c>
      <c r="E10" s="926"/>
      <c r="F10" s="925">
        <f>+D10</f>
        <v>0</v>
      </c>
      <c r="G10" s="531" t="s">
        <v>800</v>
      </c>
      <c r="H10" s="531" t="s">
        <v>1018</v>
      </c>
      <c r="I10" s="519"/>
      <c r="J10" s="498"/>
      <c r="Z10" s="162" t="s">
        <v>1252</v>
      </c>
    </row>
    <row r="11" spans="1:78" ht="78" customHeight="1" x14ac:dyDescent="0.3">
      <c r="A11" s="539" t="s">
        <v>449</v>
      </c>
      <c r="B11" s="289">
        <f>+B4</f>
        <v>2019</v>
      </c>
      <c r="C11" s="289">
        <f>+C4</f>
        <v>2020</v>
      </c>
      <c r="D11" s="289">
        <f>+D4</f>
        <v>2021</v>
      </c>
      <c r="E11" s="506"/>
      <c r="F11" s="507"/>
      <c r="G11" s="1397" t="s">
        <v>1050</v>
      </c>
      <c r="H11" s="1398"/>
      <c r="I11" s="522"/>
      <c r="J11" s="498"/>
      <c r="K11" s="508" t="e">
        <f>HLOOKUP($B$3,'2019 Data(H)'!$E$2:$CX$305,244,FALSE)</f>
        <v>#N/A</v>
      </c>
      <c r="L11" s="508" t="e">
        <f>HLOOKUP(B3,'2020 Data(H)'!E2:CZ350,244,FALSE)</f>
        <v>#N/A</v>
      </c>
      <c r="M11" s="508" t="e">
        <f>Import!L268</f>
        <v>#N/A</v>
      </c>
      <c r="N11" s="509"/>
      <c r="O11" s="509"/>
      <c r="P11" s="509"/>
      <c r="Q11" s="509"/>
      <c r="R11" s="509"/>
      <c r="S11" s="509"/>
      <c r="T11" s="509"/>
      <c r="U11" s="509"/>
      <c r="V11" s="509"/>
      <c r="W11" s="509"/>
      <c r="X11" s="509"/>
      <c r="Z11" s="162"/>
      <c r="AA11" s="509"/>
      <c r="AB11" s="509"/>
      <c r="AC11" s="509"/>
      <c r="AD11" s="509"/>
      <c r="AE11" s="509"/>
      <c r="AF11" s="509"/>
      <c r="AG11" s="509"/>
      <c r="AH11" s="509"/>
      <c r="AI11" s="509"/>
      <c r="AJ11" s="509"/>
      <c r="AK11" s="509"/>
      <c r="AL11" s="509"/>
      <c r="AM11" s="509"/>
      <c r="AN11" s="509"/>
      <c r="AO11" s="509"/>
      <c r="AP11" s="509"/>
      <c r="AQ11" s="509"/>
      <c r="AR11" s="509"/>
      <c r="AS11" s="509"/>
      <c r="AT11" s="509"/>
      <c r="AU11" s="509"/>
      <c r="AV11" s="509"/>
      <c r="AW11" s="509"/>
      <c r="AX11" s="509"/>
      <c r="AY11" s="509"/>
      <c r="AZ11" s="509"/>
      <c r="BA11" s="509"/>
      <c r="BB11" s="509"/>
      <c r="BC11" s="509"/>
      <c r="BD11" s="509"/>
      <c r="BE11" s="509"/>
      <c r="BF11" s="509"/>
      <c r="BG11" s="509"/>
      <c r="BH11" s="509"/>
      <c r="BI11" s="509"/>
      <c r="BJ11" s="509"/>
      <c r="BK11" s="509"/>
      <c r="BL11" s="509"/>
      <c r="BM11" s="509"/>
      <c r="BN11" s="509"/>
      <c r="BO11" s="509"/>
      <c r="BP11" s="509"/>
      <c r="BQ11" s="509"/>
      <c r="BR11" s="509"/>
      <c r="BS11" s="509"/>
      <c r="BT11" s="509"/>
      <c r="BU11" s="509"/>
      <c r="BV11" s="509"/>
      <c r="BW11" s="509"/>
      <c r="BX11" s="509"/>
      <c r="BY11" s="509"/>
      <c r="BZ11" s="509"/>
    </row>
    <row r="12" spans="1:78" ht="119.4" customHeight="1" x14ac:dyDescent="0.3">
      <c r="A12" s="396" t="s">
        <v>446</v>
      </c>
      <c r="B12" s="529" t="e">
        <f>IF(K11=0,"Not Applicable",(K12))</f>
        <v>#N/A</v>
      </c>
      <c r="C12" s="529" t="e">
        <f>IF(L11=0,"Not Applicable",(L12))</f>
        <v>#N/A</v>
      </c>
      <c r="D12" s="529" t="e">
        <f>IF(M11=0,"Not Applicable",M12)</f>
        <v>#N/A</v>
      </c>
      <c r="E12" s="530" t="s">
        <v>768</v>
      </c>
      <c r="F12" s="915" t="str">
        <f>M12</f>
        <v/>
      </c>
      <c r="G12" s="530" t="s">
        <v>773</v>
      </c>
      <c r="H12" s="531" t="s">
        <v>802</v>
      </c>
      <c r="I12" s="524"/>
      <c r="J12" s="498"/>
      <c r="K12" s="508" t="e">
        <f>HLOOKUP($B$3,'2019 Data(H)'!$E$2:$CX$305,299,FALSE)</f>
        <v>#N/A</v>
      </c>
      <c r="L12" s="508" t="e">
        <f>HLOOKUP(B2,'2020 Data(H)'!E1:CB426,347,FALSE)</f>
        <v>#N/A</v>
      </c>
      <c r="M12" s="510" t="str">
        <f>IFERROR((Import!$L$120-Import!$L$121-Import!$L$118-Import!$L$119)/(Import!$L$124-Import!$L$125-Import!$L$126-Import!$L$127-Import!$L$128-Import!$L$129-Import!$L$123),"")</f>
        <v/>
      </c>
      <c r="Z12" s="162" t="s">
        <v>1046</v>
      </c>
    </row>
    <row r="13" spans="1:78" ht="69.599999999999994" customHeight="1" x14ac:dyDescent="0.3">
      <c r="A13" s="396" t="s">
        <v>810</v>
      </c>
      <c r="B13" s="532" t="e">
        <f>IF(K11=0,"Not Applicable",K13)</f>
        <v>#N/A</v>
      </c>
      <c r="C13" s="394" t="e">
        <f>IF(L11=0,"Not Applicable",L13)</f>
        <v>#N/A</v>
      </c>
      <c r="D13" s="533" t="e">
        <f>IF(M11=0,"Not Applicable",M13)</f>
        <v>#N/A</v>
      </c>
      <c r="E13" s="530" t="s">
        <v>1054</v>
      </c>
      <c r="F13" s="916" t="e">
        <f>D13</f>
        <v>#N/A</v>
      </c>
      <c r="G13" s="530" t="s">
        <v>1398</v>
      </c>
      <c r="H13" s="531" t="s">
        <v>803</v>
      </c>
      <c r="I13" s="524"/>
      <c r="J13" s="498"/>
      <c r="K13" s="268" t="e">
        <f>HLOOKUP(B3,'2019 Data(H)'!E2:BZ305,300,FALSE)</f>
        <v>#N/A</v>
      </c>
      <c r="L13" s="268" t="e">
        <f>HLOOKUP(B2,'2020 Data(H)'!F1:CZ426,348,FALSE)</f>
        <v>#N/A</v>
      </c>
      <c r="M13" s="908">
        <f>+Import!$L$153-Import!$L$155+Import!$L$154-Import!$L$182</f>
        <v>0</v>
      </c>
      <c r="Z13" s="162" t="s">
        <v>1046</v>
      </c>
    </row>
    <row r="14" spans="1:78" ht="109.95" customHeight="1" x14ac:dyDescent="0.3">
      <c r="A14" s="396" t="s">
        <v>833</v>
      </c>
      <c r="B14" s="395" t="e">
        <f>IF(K11=0,"Not Applicable",K14)</f>
        <v>#N/A</v>
      </c>
      <c r="C14" s="395" t="e">
        <f>IF(L11=0,"Not Applicable",L14)</f>
        <v>#N/A</v>
      </c>
      <c r="D14" s="395" t="e">
        <f>IF(M11=0,"Not Applicable",M14)</f>
        <v>#N/A</v>
      </c>
      <c r="E14" s="530" t="s">
        <v>1286</v>
      </c>
      <c r="F14" s="389" t="e">
        <f>D14</f>
        <v>#N/A</v>
      </c>
      <c r="G14" s="530" t="s">
        <v>812</v>
      </c>
      <c r="H14" s="531" t="s">
        <v>1017</v>
      </c>
      <c r="I14" s="524"/>
      <c r="J14" s="498"/>
      <c r="K14" s="269" t="e">
        <f>HLOOKUP(B3,'2019 Data(H)'!E2:CX305,301,FALSE)</f>
        <v>#N/A</v>
      </c>
      <c r="L14" s="269" t="e">
        <f>HLOOKUP(B2,'2020 Data(H)'!F1:CZ426,349,FALSE)</f>
        <v>#N/A</v>
      </c>
      <c r="M14" s="269" t="str">
        <f>IFERROR(Import!L116/(Import!L155+Import!L158-Import!L154+Import!L182),"")</f>
        <v/>
      </c>
      <c r="Z14" s="162" t="s">
        <v>1046</v>
      </c>
    </row>
    <row r="15" spans="1:78" ht="99.75" customHeight="1" thickBot="1" x14ac:dyDescent="0.35">
      <c r="A15" s="1387" t="s">
        <v>1287</v>
      </c>
      <c r="B15" s="1388"/>
      <c r="C15" s="1388"/>
      <c r="D15" s="909" t="str">
        <f>IF(K15&lt;0,"Yes","No")</f>
        <v>No</v>
      </c>
      <c r="E15" s="940"/>
      <c r="F15" s="910" t="str">
        <f>D15</f>
        <v>No</v>
      </c>
      <c r="G15" s="527" t="s">
        <v>1288</v>
      </c>
      <c r="H15" s="534" t="s">
        <v>804</v>
      </c>
      <c r="I15" s="528"/>
      <c r="J15" s="498"/>
      <c r="K15" s="288">
        <f>((Import!L158+Import!L155)*0.03)-Import!L161</f>
        <v>0</v>
      </c>
      <c r="Z15" s="162" t="s">
        <v>1046</v>
      </c>
    </row>
    <row r="16" spans="1:78" ht="37.5" customHeight="1" thickBot="1" x14ac:dyDescent="0.35">
      <c r="A16" s="287"/>
      <c r="B16" s="503"/>
      <c r="C16" s="503"/>
      <c r="D16" s="503"/>
      <c r="E16" s="504"/>
      <c r="F16" s="503"/>
      <c r="G16" s="505"/>
      <c r="H16" s="503"/>
      <c r="I16" s="503"/>
      <c r="Z16" s="542"/>
    </row>
    <row r="17" spans="1:26" ht="116.25" customHeight="1" thickBot="1" x14ac:dyDescent="0.35">
      <c r="A17" s="499" t="s">
        <v>448</v>
      </c>
      <c r="B17" s="290">
        <f>+B4</f>
        <v>2019</v>
      </c>
      <c r="C17" s="290">
        <f>+C4</f>
        <v>2020</v>
      </c>
      <c r="D17" s="290">
        <f>+D4</f>
        <v>2021</v>
      </c>
      <c r="E17" s="511"/>
      <c r="F17" s="512"/>
      <c r="G17" s="546" t="s">
        <v>832</v>
      </c>
      <c r="H17" s="913" t="s">
        <v>801</v>
      </c>
      <c r="I17" s="513"/>
      <c r="J17" s="498"/>
      <c r="K17" s="508" t="e">
        <f>HLOOKUP(B3,'2019 Data(H)'!E2:CX310,243,FALSE)</f>
        <v>#N/A</v>
      </c>
      <c r="L17" s="271" t="e">
        <f>HLOOKUP(B3,'2020 Data(H)'!E2:CZ350,243,FALSE)</f>
        <v>#N/A</v>
      </c>
      <c r="M17" s="514" t="e">
        <f>+Import!L267</f>
        <v>#N/A</v>
      </c>
      <c r="Z17" s="540"/>
    </row>
    <row r="18" spans="1:26" ht="78" customHeight="1" x14ac:dyDescent="0.3">
      <c r="A18" s="291" t="s">
        <v>446</v>
      </c>
      <c r="B18" s="515" t="e">
        <f>IF(K17=0,"Not Applicable",K18)</f>
        <v>#N/A</v>
      </c>
      <c r="C18" s="515" t="e">
        <f>IF(L17=0,"Not Applicable",L18)</f>
        <v>#N/A</v>
      </c>
      <c r="D18" s="515" t="e">
        <f>IF(M17=0,"Not Applicable",M18)</f>
        <v>#N/A</v>
      </c>
      <c r="E18" s="530" t="s">
        <v>768</v>
      </c>
      <c r="F18" s="917" t="str">
        <f>+M18</f>
        <v/>
      </c>
      <c r="G18" s="928" t="s">
        <v>818</v>
      </c>
      <c r="H18" s="929" t="s">
        <v>802</v>
      </c>
      <c r="I18" s="524"/>
      <c r="J18" s="498"/>
      <c r="K18" s="271" t="e">
        <f>HLOOKUP(B3,'2019 Data(H)'!E2:CX310,302,FALSE)</f>
        <v>#N/A</v>
      </c>
      <c r="L18" s="508" t="e">
        <f>HLOOKUP(B2,'2020 Data(H)'!F1:CZ426,350,FALSE)</f>
        <v>#N/A</v>
      </c>
      <c r="M18" s="508" t="str">
        <f>IFERROR((Import!L138-Import!L139-Import!L137-Import!L136)/(Import!L143-Import!L144-Import!L145-Import!L146-Import!L147-Import!L148-Import!L142),"")</f>
        <v/>
      </c>
      <c r="Z18" s="543" t="s">
        <v>1047</v>
      </c>
    </row>
    <row r="19" spans="1:26" ht="60.75" customHeight="1" x14ac:dyDescent="0.3">
      <c r="A19" s="285" t="s">
        <v>810</v>
      </c>
      <c r="B19" s="376" t="e">
        <f>IF(K17=0,"Not Applicable",K19)</f>
        <v>#N/A</v>
      </c>
      <c r="C19" s="376" t="e">
        <f>IF(L17=0,"Not Applicable",L19)</f>
        <v>#N/A</v>
      </c>
      <c r="D19" s="376" t="e">
        <f>IF(M17=0,"Not Applicable",M19)</f>
        <v>#N/A</v>
      </c>
      <c r="E19" s="530" t="s">
        <v>1054</v>
      </c>
      <c r="F19" s="918" t="e">
        <f>D19</f>
        <v>#N/A</v>
      </c>
      <c r="G19" s="928" t="s">
        <v>1399</v>
      </c>
      <c r="H19" s="929" t="s">
        <v>803</v>
      </c>
      <c r="I19" s="524"/>
      <c r="J19" s="498"/>
      <c r="K19" s="268" t="e">
        <f>HLOOKUP(B3,'2019 Data(H)'!E2:CX310,303,FALSE)</f>
        <v>#N/A</v>
      </c>
      <c r="L19" s="268" t="e">
        <f>HLOOKUP(B2,'2020 Data(H)'!F1:CZ426,351,FALSE)</f>
        <v>#N/A</v>
      </c>
      <c r="M19" s="268">
        <f>+Import!L168-Import!L171+Import!L170-Import!L185</f>
        <v>0</v>
      </c>
      <c r="Z19" s="543" t="s">
        <v>1047</v>
      </c>
    </row>
    <row r="20" spans="1:26" ht="88.5" customHeight="1" thickBot="1" x14ac:dyDescent="0.35">
      <c r="A20" s="292" t="s">
        <v>833</v>
      </c>
      <c r="B20" s="377" t="e">
        <f>IF(K17=0,"Not Applicable",K20)</f>
        <v>#N/A</v>
      </c>
      <c r="C20" s="377" t="e">
        <f>IF(L17=0,"Not Applicable",L20)</f>
        <v>#N/A</v>
      </c>
      <c r="D20" s="377" t="e">
        <f>IF(M17=0,"Not Applicable",M20)</f>
        <v>#N/A</v>
      </c>
      <c r="E20" s="939" t="s">
        <v>1286</v>
      </c>
      <c r="F20" s="919" t="str">
        <f>+M20</f>
        <v/>
      </c>
      <c r="G20" s="931" t="s">
        <v>822</v>
      </c>
      <c r="H20" s="930" t="s">
        <v>1017</v>
      </c>
      <c r="I20" s="528"/>
      <c r="J20" s="498"/>
      <c r="K20" s="269" t="e">
        <f>HLOOKUP(B3,'2019 Data(H)'!E2:CX310,304,FALSE)</f>
        <v>#N/A</v>
      </c>
      <c r="L20" s="269" t="e">
        <f>HLOOKUP(B2,'2020 Data(H)'!F1:CZ426,352,FALSE)</f>
        <v>#N/A</v>
      </c>
      <c r="M20" s="269" t="str">
        <f>IFERROR(Import!L134/(Import!L174+Import!L171-Import!L170+Import!L185),"")</f>
        <v/>
      </c>
      <c r="Z20" s="543" t="s">
        <v>1047</v>
      </c>
    </row>
    <row r="21" spans="1:26" ht="15.75" customHeight="1" x14ac:dyDescent="0.3">
      <c r="A21" s="397"/>
      <c r="B21" s="398"/>
      <c r="C21" s="398"/>
      <c r="D21" s="398"/>
      <c r="E21" s="535"/>
      <c r="F21" s="536"/>
      <c r="G21" s="537"/>
      <c r="H21" s="537"/>
      <c r="I21" s="936"/>
      <c r="J21" s="498"/>
      <c r="K21" s="269"/>
      <c r="L21" s="269"/>
      <c r="M21" s="269"/>
      <c r="Z21" s="543"/>
    </row>
    <row r="22" spans="1:26" ht="50.25" customHeight="1" x14ac:dyDescent="0.3">
      <c r="A22" s="937" t="s">
        <v>1052</v>
      </c>
      <c r="B22" s="398"/>
      <c r="C22" s="398"/>
      <c r="D22" s="398"/>
      <c r="E22" s="535"/>
      <c r="F22" s="536"/>
      <c r="G22" s="537"/>
      <c r="H22" s="537"/>
      <c r="I22" s="936"/>
      <c r="J22" s="498"/>
      <c r="K22" s="269"/>
      <c r="L22" s="269"/>
      <c r="M22" s="269"/>
      <c r="Z22" s="543"/>
    </row>
    <row r="23" spans="1:26" ht="88.5" customHeight="1" x14ac:dyDescent="0.3">
      <c r="A23" s="393" t="s">
        <v>446</v>
      </c>
      <c r="B23" s="399"/>
      <c r="C23" s="399"/>
      <c r="D23" s="943" t="str">
        <f>+M23</f>
        <v/>
      </c>
      <c r="E23" s="530" t="s">
        <v>768</v>
      </c>
      <c r="F23" s="942" t="str">
        <f>+M23</f>
        <v/>
      </c>
      <c r="G23" s="531" t="s">
        <v>1295</v>
      </c>
      <c r="H23" s="531" t="s">
        <v>802</v>
      </c>
      <c r="I23" s="520"/>
      <c r="J23" s="498"/>
      <c r="K23" s="269">
        <v>1000</v>
      </c>
      <c r="L23" s="269"/>
      <c r="M23" s="935" t="str">
        <f>IFERROR((+Import!L94-Import!L93)/Import!L95,"")</f>
        <v/>
      </c>
      <c r="Z23" s="543" t="s">
        <v>1053</v>
      </c>
    </row>
    <row r="24" spans="1:26" x14ac:dyDescent="0.3">
      <c r="A24" s="286"/>
      <c r="B24" s="516"/>
      <c r="C24" s="516"/>
      <c r="D24" s="516"/>
      <c r="E24" s="517"/>
      <c r="F24" s="516"/>
      <c r="G24" s="518"/>
      <c r="H24" s="516"/>
      <c r="I24" s="516"/>
      <c r="M24" s="275"/>
      <c r="Z24" s="544"/>
    </row>
  </sheetData>
  <sheetProtection algorithmName="SHA-512" hashValue="/1085DqSErXim7/GK9Xbi3XKku1MrklaIvRPOeT7MXFWpWuxV9llaFsCoex0Tst0fvrPYMGx5+o/vKlMOAsNyQ==" saltValue="kLRbuxgjqJ3OYIAs3ZfVnA==" spinCount="100000" sheet="1" objects="1" scenarios="1"/>
  <mergeCells count="7">
    <mergeCell ref="A15:C15"/>
    <mergeCell ref="G1:H1"/>
    <mergeCell ref="B2:D2"/>
    <mergeCell ref="H2:H3"/>
    <mergeCell ref="B3:D3"/>
    <mergeCell ref="E2:G3"/>
    <mergeCell ref="G11:H11"/>
  </mergeCells>
  <conditionalFormatting sqref="F12">
    <cfRule type="cellIs" dxfId="11" priority="50" operator="lessThan">
      <formula>1</formula>
    </cfRule>
  </conditionalFormatting>
  <conditionalFormatting sqref="F13">
    <cfRule type="cellIs" dxfId="10" priority="49" operator="lessThan">
      <formula>0</formula>
    </cfRule>
  </conditionalFormatting>
  <conditionalFormatting sqref="F14">
    <cfRule type="cellIs" dxfId="9" priority="48" operator="lessThan">
      <formula>0.16</formula>
    </cfRule>
  </conditionalFormatting>
  <conditionalFormatting sqref="F18">
    <cfRule type="cellIs" dxfId="8" priority="43" operator="lessThan">
      <formula>1</formula>
    </cfRule>
  </conditionalFormatting>
  <conditionalFormatting sqref="F19">
    <cfRule type="cellIs" dxfId="7" priority="42" operator="lessThan">
      <formula>0</formula>
    </cfRule>
  </conditionalFormatting>
  <conditionalFormatting sqref="F20">
    <cfRule type="cellIs" dxfId="6" priority="41" operator="lessThan">
      <formula>0.16</formula>
    </cfRule>
  </conditionalFormatting>
  <conditionalFormatting sqref="F10">
    <cfRule type="cellIs" dxfId="5" priority="30" operator="lessThan">
      <formula>0</formula>
    </cfRule>
  </conditionalFormatting>
  <conditionalFormatting sqref="F15">
    <cfRule type="cellIs" dxfId="4" priority="8" operator="equal">
      <formula>"Yes"</formula>
    </cfRule>
  </conditionalFormatting>
  <conditionalFormatting sqref="F9">
    <cfRule type="cellIs" dxfId="3" priority="6" operator="equal">
      <formula>"Less than 8%"</formula>
    </cfRule>
  </conditionalFormatting>
  <conditionalFormatting sqref="F23">
    <cfRule type="cellIs" dxfId="2" priority="5" operator="lessThan">
      <formula>1</formula>
    </cfRule>
  </conditionalFormatting>
  <conditionalFormatting sqref="F8">
    <cfRule type="cellIs" dxfId="1" priority="3" operator="lessThan">
      <formula>$L$8&lt;0%</formula>
    </cfRule>
  </conditionalFormatting>
  <conditionalFormatting sqref="F6">
    <cfRule type="cellIs" dxfId="0" priority="1" operator="lessThan">
      <formula>$L$8&lt;0%</formula>
    </cfRule>
  </conditionalFormatting>
  <pageMargins left="0.25" right="0.25" top="0.75" bottom="0.75" header="0.3" footer="0.3"/>
  <pageSetup scale="4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3" tint="0.79998168889431442"/>
  </sheetPr>
  <dimension ref="A2:H41"/>
  <sheetViews>
    <sheetView showGridLines="0" workbookViewId="0">
      <selection activeCell="A12" sqref="A12"/>
    </sheetView>
  </sheetViews>
  <sheetFormatPr defaultColWidth="9.109375" defaultRowHeight="14.4" x14ac:dyDescent="0.3"/>
  <cols>
    <col min="1" max="1" width="9.109375" style="296"/>
    <col min="2" max="2" width="10.44140625" style="296" bestFit="1" customWidth="1"/>
    <col min="3" max="3" width="29.88671875" style="296" customWidth="1"/>
    <col min="4" max="4" width="40.5546875" style="296" customWidth="1"/>
    <col min="5" max="5" width="3.6640625" style="296" customWidth="1"/>
    <col min="6" max="6" width="13.44140625" style="296" customWidth="1"/>
    <col min="7" max="7" width="3.5546875" style="296" customWidth="1"/>
    <col min="8" max="8" width="14.109375" style="296" customWidth="1"/>
    <col min="9" max="16384" width="9.109375" style="296"/>
  </cols>
  <sheetData>
    <row r="2" spans="1:8" ht="54.75" customHeight="1" x14ac:dyDescent="0.3">
      <c r="A2" s="1402" t="s">
        <v>112</v>
      </c>
      <c r="B2" s="1402"/>
      <c r="C2" s="1402"/>
      <c r="D2" s="1402"/>
      <c r="E2" s="1402"/>
      <c r="F2" s="448"/>
      <c r="G2" s="448"/>
      <c r="H2" s="449"/>
    </row>
    <row r="4" spans="1:8" ht="15.6" x14ac:dyDescent="0.3">
      <c r="A4" s="449"/>
      <c r="B4" s="450" t="str">
        <f>'Unit Data from Audit Worksheet'!D2</f>
        <v>Select Unit Name from Drop Down List</v>
      </c>
      <c r="C4" s="451"/>
      <c r="D4" s="19"/>
      <c r="E4" s="20"/>
      <c r="F4" s="452">
        <f>'Unit Data from Audit Worksheet'!F5</f>
        <v>2021</v>
      </c>
      <c r="G4" s="449"/>
      <c r="H4" s="452">
        <f>'Unit Data from Audit Worksheet'!F5</f>
        <v>2021</v>
      </c>
    </row>
    <row r="5" spans="1:8" ht="41.4" x14ac:dyDescent="0.4">
      <c r="A5" s="453"/>
      <c r="B5" s="454" t="s">
        <v>72</v>
      </c>
      <c r="C5" s="453"/>
      <c r="D5" s="453"/>
      <c r="E5" s="453"/>
      <c r="F5" s="452" t="s">
        <v>73</v>
      </c>
      <c r="G5" s="453"/>
      <c r="H5" s="455" t="s">
        <v>74</v>
      </c>
    </row>
    <row r="6" spans="1:8" x14ac:dyDescent="0.3">
      <c r="A6" s="449"/>
      <c r="B6" s="456" t="s">
        <v>75</v>
      </c>
      <c r="C6" s="449"/>
      <c r="D6" s="457"/>
      <c r="E6" s="457"/>
      <c r="F6" s="457"/>
      <c r="G6" s="457"/>
      <c r="H6" s="457"/>
    </row>
    <row r="7" spans="1:8" x14ac:dyDescent="0.3">
      <c r="A7" s="449"/>
      <c r="B7" s="457" t="s">
        <v>76</v>
      </c>
      <c r="C7" s="449"/>
      <c r="D7" s="457"/>
      <c r="E7" s="457" t="s">
        <v>31</v>
      </c>
      <c r="F7" s="458">
        <f>Import!L52</f>
        <v>0</v>
      </c>
      <c r="G7" s="459"/>
      <c r="H7" s="458">
        <f>F7</f>
        <v>0</v>
      </c>
    </row>
    <row r="8" spans="1:8" ht="44.25" customHeight="1" x14ac:dyDescent="0.3">
      <c r="A8" s="449"/>
      <c r="B8" s="1399" t="s">
        <v>77</v>
      </c>
      <c r="C8" s="1399"/>
      <c r="D8" s="1399"/>
      <c r="E8" s="457" t="s">
        <v>31</v>
      </c>
      <c r="F8" s="460">
        <f>Import!L53</f>
        <v>0</v>
      </c>
      <c r="G8" s="461"/>
      <c r="H8" s="461"/>
    </row>
    <row r="9" spans="1:8" x14ac:dyDescent="0.3">
      <c r="A9" s="449"/>
      <c r="B9" s="449"/>
      <c r="C9" s="457" t="s">
        <v>181</v>
      </c>
      <c r="D9" s="449"/>
      <c r="E9" s="457" t="s">
        <v>31</v>
      </c>
      <c r="F9" s="462">
        <f>Import!L57</f>
        <v>0</v>
      </c>
      <c r="G9" s="461"/>
      <c r="H9" s="447">
        <f>F9</f>
        <v>0</v>
      </c>
    </row>
    <row r="10" spans="1:8" x14ac:dyDescent="0.3">
      <c r="A10" s="449"/>
      <c r="B10" s="449"/>
      <c r="C10" s="457" t="s">
        <v>78</v>
      </c>
      <c r="D10" s="449"/>
      <c r="E10" s="457" t="s">
        <v>31</v>
      </c>
      <c r="F10" s="447">
        <f>Import!L230</f>
        <v>0</v>
      </c>
      <c r="G10" s="461"/>
      <c r="H10" s="447">
        <f>F10</f>
        <v>0</v>
      </c>
    </row>
    <row r="11" spans="1:8" x14ac:dyDescent="0.3">
      <c r="A11" s="449"/>
      <c r="B11" s="449"/>
      <c r="C11" s="457" t="s">
        <v>79</v>
      </c>
      <c r="D11" s="449"/>
      <c r="E11" s="457" t="s">
        <v>31</v>
      </c>
      <c r="F11" s="463">
        <f>Import!L58</f>
        <v>0</v>
      </c>
      <c r="G11" s="464"/>
      <c r="H11" s="463">
        <f>F11</f>
        <v>0</v>
      </c>
    </row>
    <row r="12" spans="1:8" x14ac:dyDescent="0.3">
      <c r="A12" s="449"/>
      <c r="B12" s="21" t="s">
        <v>80</v>
      </c>
      <c r="C12" s="465" t="s">
        <v>81</v>
      </c>
      <c r="D12" s="466"/>
      <c r="E12" s="467" t="s">
        <v>31</v>
      </c>
      <c r="F12" s="468">
        <f>F7+F8-SUM(F9:F11)</f>
        <v>0</v>
      </c>
      <c r="G12" s="469"/>
      <c r="H12" s="468">
        <f>H7+H8-SUM(H9:H11)</f>
        <v>0</v>
      </c>
    </row>
    <row r="13" spans="1:8" x14ac:dyDescent="0.3">
      <c r="A13" s="449"/>
      <c r="B13" s="449"/>
      <c r="C13" s="457"/>
      <c r="D13" s="457"/>
      <c r="E13" s="457" t="s">
        <v>31</v>
      </c>
      <c r="F13" s="457"/>
      <c r="G13" s="457"/>
      <c r="H13" s="457"/>
    </row>
    <row r="14" spans="1:8" x14ac:dyDescent="0.3">
      <c r="A14" s="449"/>
      <c r="B14" s="457" t="s">
        <v>82</v>
      </c>
      <c r="C14" s="449"/>
      <c r="D14" s="457"/>
      <c r="E14" s="457" t="s">
        <v>31</v>
      </c>
      <c r="F14" s="470">
        <f>Import!L65</f>
        <v>0</v>
      </c>
      <c r="G14" s="457"/>
      <c r="H14" s="457"/>
    </row>
    <row r="15" spans="1:8" x14ac:dyDescent="0.3">
      <c r="A15" s="449"/>
      <c r="B15" s="457" t="s">
        <v>83</v>
      </c>
      <c r="C15" s="449"/>
      <c r="D15" s="457"/>
      <c r="E15" s="457" t="s">
        <v>31</v>
      </c>
      <c r="F15" s="471">
        <f>F14-F12</f>
        <v>0</v>
      </c>
      <c r="G15" s="457"/>
      <c r="H15" s="457"/>
    </row>
    <row r="16" spans="1:8" x14ac:dyDescent="0.3">
      <c r="A16" s="449"/>
      <c r="B16" s="472" t="s">
        <v>84</v>
      </c>
      <c r="C16" s="449"/>
      <c r="D16" s="457"/>
      <c r="E16" s="457"/>
      <c r="F16" s="457"/>
      <c r="G16" s="457"/>
      <c r="H16" s="457"/>
    </row>
    <row r="17" spans="2:8" x14ac:dyDescent="0.3">
      <c r="B17" s="473" t="s">
        <v>85</v>
      </c>
      <c r="C17" s="457" t="s">
        <v>86</v>
      </c>
      <c r="D17" s="449"/>
      <c r="E17" s="457" t="s">
        <v>31</v>
      </c>
      <c r="F17" s="474">
        <f>Import!L61</f>
        <v>0</v>
      </c>
      <c r="G17" s="457"/>
      <c r="H17" s="457"/>
    </row>
    <row r="18" spans="2:8" ht="15" thickBot="1" x14ac:dyDescent="0.35">
      <c r="B18" s="21" t="s">
        <v>80</v>
      </c>
      <c r="C18" s="465" t="s">
        <v>87</v>
      </c>
      <c r="D18" s="466"/>
      <c r="E18" s="467" t="s">
        <v>31</v>
      </c>
      <c r="F18" s="475">
        <f>(F15-SUM(F17:F17))</f>
        <v>0</v>
      </c>
      <c r="G18" s="457"/>
      <c r="H18" s="457"/>
    </row>
    <row r="19" spans="2:8" ht="15" thickTop="1" x14ac:dyDescent="0.3">
      <c r="B19" s="449"/>
      <c r="C19" s="457"/>
      <c r="D19" s="457"/>
      <c r="E19" s="457"/>
      <c r="F19" s="457"/>
      <c r="G19" s="457"/>
      <c r="H19" s="457"/>
    </row>
    <row r="20" spans="2:8" ht="15" thickBot="1" x14ac:dyDescent="0.35">
      <c r="B20" s="457" t="s">
        <v>88</v>
      </c>
      <c r="C20" s="449"/>
      <c r="D20" s="457"/>
      <c r="E20" s="457" t="s">
        <v>31</v>
      </c>
      <c r="F20" s="476">
        <f>Import!L60</f>
        <v>0</v>
      </c>
      <c r="G20" s="457"/>
      <c r="H20" s="457"/>
    </row>
    <row r="21" spans="2:8" ht="15.6" thickTop="1" thickBot="1" x14ac:dyDescent="0.35">
      <c r="B21" s="449"/>
      <c r="C21" s="477"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449"/>
      <c r="E21" s="457" t="s">
        <v>31</v>
      </c>
      <c r="F21" s="478">
        <f>ABS(F18-F20)</f>
        <v>0</v>
      </c>
      <c r="G21" s="457"/>
      <c r="H21" s="457"/>
    </row>
    <row r="22" spans="2:8" ht="50.25" customHeight="1" thickTop="1" x14ac:dyDescent="0.3">
      <c r="B22" s="449"/>
      <c r="C22" s="1400" t="str">
        <f>IF(F18&gt;F20,"Since Restricted-Stabilization by State Statute was understated, verfiy that the unit did not appropriate fund balance in excess of legal amount available in row 12 above.","")</f>
        <v/>
      </c>
      <c r="D22" s="1400"/>
      <c r="E22" s="1400"/>
      <c r="F22" s="1400"/>
      <c r="G22" s="457"/>
      <c r="H22" s="457"/>
    </row>
    <row r="23" spans="2:8" x14ac:dyDescent="0.3">
      <c r="B23" s="449"/>
      <c r="C23" s="1401" t="s">
        <v>89</v>
      </c>
      <c r="D23" s="457"/>
      <c r="E23" s="457"/>
      <c r="F23" s="457"/>
      <c r="G23" s="457"/>
      <c r="H23" s="479" t="s">
        <v>90</v>
      </c>
    </row>
    <row r="24" spans="2:8" x14ac:dyDescent="0.3">
      <c r="B24" s="449"/>
      <c r="C24" s="1401"/>
      <c r="D24" s="457"/>
      <c r="E24" s="457"/>
      <c r="F24" s="452" t="s">
        <v>91</v>
      </c>
      <c r="G24" s="457"/>
      <c r="H24" s="452" t="s">
        <v>99</v>
      </c>
    </row>
    <row r="25" spans="2:8" x14ac:dyDescent="0.3">
      <c r="B25" s="449"/>
      <c r="C25" s="456" t="s">
        <v>92</v>
      </c>
      <c r="D25" s="457"/>
      <c r="E25" s="457"/>
      <c r="F25" s="457"/>
      <c r="G25" s="457"/>
      <c r="H25" s="457"/>
    </row>
    <row r="26" spans="2:8" ht="25.2" customHeight="1" x14ac:dyDescent="0.3">
      <c r="B26" s="449"/>
      <c r="C26" s="457" t="s">
        <v>93</v>
      </c>
      <c r="D26" s="457"/>
      <c r="E26" s="457" t="s">
        <v>31</v>
      </c>
      <c r="F26" s="458">
        <f>Import!L72</f>
        <v>0</v>
      </c>
      <c r="G26" s="459"/>
      <c r="H26" s="480">
        <f>F26</f>
        <v>0</v>
      </c>
    </row>
    <row r="27" spans="2:8" x14ac:dyDescent="0.3">
      <c r="B27" s="449"/>
      <c r="C27" s="473" t="s">
        <v>94</v>
      </c>
      <c r="D27" s="457"/>
      <c r="E27" s="457"/>
      <c r="F27" s="457"/>
      <c r="G27" s="457"/>
      <c r="H27" s="457"/>
    </row>
    <row r="28" spans="2:8" x14ac:dyDescent="0.3">
      <c r="B28" s="449"/>
      <c r="C28" s="457" t="s">
        <v>95</v>
      </c>
      <c r="D28" s="449"/>
      <c r="E28" s="457" t="s">
        <v>31</v>
      </c>
      <c r="F28" s="481">
        <f>Import!L74</f>
        <v>0</v>
      </c>
      <c r="G28" s="461"/>
      <c r="H28" s="482">
        <f>F28</f>
        <v>0</v>
      </c>
    </row>
    <row r="29" spans="2:8" x14ac:dyDescent="0.3">
      <c r="B29" s="449"/>
      <c r="C29" s="457" t="s">
        <v>96</v>
      </c>
      <c r="D29" s="449"/>
      <c r="E29" s="457" t="s">
        <v>31</v>
      </c>
      <c r="F29" s="483">
        <f>Import!L75+Import!L76</f>
        <v>0</v>
      </c>
      <c r="G29" s="461"/>
      <c r="H29" s="484">
        <f>F29</f>
        <v>0</v>
      </c>
    </row>
    <row r="30" spans="2:8" ht="15" thickBot="1" x14ac:dyDescent="0.35">
      <c r="B30" s="449"/>
      <c r="C30" s="457" t="s">
        <v>97</v>
      </c>
      <c r="D30" s="457"/>
      <c r="E30" s="457" t="s">
        <v>31</v>
      </c>
      <c r="F30" s="485">
        <f>SUM(F26:F28)-F29</f>
        <v>0</v>
      </c>
      <c r="G30" s="459"/>
      <c r="H30" s="485">
        <f>SUM(H26:H28)-H29</f>
        <v>0</v>
      </c>
    </row>
    <row r="31" spans="2:8" ht="15" thickTop="1" x14ac:dyDescent="0.3">
      <c r="B31" s="449"/>
      <c r="C31" s="457"/>
      <c r="D31" s="457"/>
      <c r="E31" s="457"/>
      <c r="F31" s="457"/>
      <c r="G31" s="457"/>
      <c r="H31" s="457"/>
    </row>
    <row r="32" spans="2:8" ht="15" thickBot="1" x14ac:dyDescent="0.35">
      <c r="B32" s="21" t="s">
        <v>80</v>
      </c>
      <c r="C32" s="477" t="s">
        <v>98</v>
      </c>
      <c r="D32" s="21"/>
      <c r="E32" s="477" t="s">
        <v>31</v>
      </c>
      <c r="F32" s="486" t="e">
        <f>F12/F30</f>
        <v>#DIV/0!</v>
      </c>
      <c r="G32" s="457"/>
      <c r="H32" s="486" t="e">
        <f>H12/H30</f>
        <v>#DIV/0!</v>
      </c>
    </row>
    <row r="33" spans="1:8" ht="15" thickTop="1" x14ac:dyDescent="0.3">
      <c r="C33" s="457"/>
      <c r="D33" s="457"/>
      <c r="E33" s="457"/>
      <c r="F33" s="457"/>
      <c r="G33" s="457"/>
      <c r="H33" s="457"/>
    </row>
    <row r="34" spans="1:8" ht="15.6" x14ac:dyDescent="0.3">
      <c r="A34" s="23"/>
      <c r="C34" s="22"/>
    </row>
    <row r="36" spans="1:8" x14ac:dyDescent="0.3">
      <c r="F36" s="297"/>
    </row>
    <row r="37" spans="1:8" x14ac:dyDescent="0.3">
      <c r="F37" s="130"/>
    </row>
    <row r="38" spans="1:8" x14ac:dyDescent="0.3">
      <c r="F38" s="130"/>
    </row>
    <row r="39" spans="1:8" x14ac:dyDescent="0.3">
      <c r="F39" s="130"/>
    </row>
    <row r="40" spans="1:8" x14ac:dyDescent="0.3">
      <c r="F40" s="130"/>
    </row>
    <row r="41" spans="1:8" x14ac:dyDescent="0.3">
      <c r="F41" s="130"/>
    </row>
  </sheetData>
  <sheetProtection algorithmName="SHA-512" hashValue="uhfBl+lZAygvVgXMHQ2BmtW2G+cSdFryzwsr8mDm0R9N2tN20xM8R0A2xrbk2WbBBHPu0aJ8CDqkxYYTc95/AA==" saltValue="4BX0DA0NDQFR1osMfFRNtQ==" spinCount="100000" sheet="1" formatCells="0" formatColumns="0" formatRows="0"/>
  <mergeCells count="4">
    <mergeCell ref="B8:D8"/>
    <mergeCell ref="C22:F22"/>
    <mergeCell ref="C23:C24"/>
    <mergeCell ref="A2:E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sheetPr codeName="Sheet9"/>
  <dimension ref="A3:M27"/>
  <sheetViews>
    <sheetView workbookViewId="0">
      <pane xSplit="2" ySplit="4" topLeftCell="C5" activePane="bottomRight" state="frozen"/>
      <selection activeCell="A12" sqref="A12"/>
      <selection pane="topRight" activeCell="A12" sqref="A12"/>
      <selection pane="bottomLeft" activeCell="A12" sqref="A12"/>
      <selection pane="bottomRight" activeCell="A12" sqref="A12"/>
    </sheetView>
  </sheetViews>
  <sheetFormatPr defaultColWidth="9.109375" defaultRowHeight="14.4" x14ac:dyDescent="0.3"/>
  <cols>
    <col min="1" max="3" width="22.6640625" style="296" customWidth="1"/>
    <col min="4" max="4" width="18.6640625" style="686" customWidth="1"/>
    <col min="5" max="10" width="18.6640625" style="296" customWidth="1"/>
    <col min="11" max="16384" width="9.109375" style="296"/>
  </cols>
  <sheetData>
    <row r="3" spans="1:13" x14ac:dyDescent="0.3">
      <c r="D3" s="690">
        <v>2019</v>
      </c>
      <c r="E3" s="690">
        <v>2018</v>
      </c>
      <c r="F3" s="690">
        <v>2017</v>
      </c>
      <c r="G3" s="690">
        <v>2016</v>
      </c>
      <c r="H3" s="690">
        <v>2015</v>
      </c>
      <c r="I3" s="690">
        <v>2014</v>
      </c>
      <c r="J3" s="690">
        <v>2013</v>
      </c>
      <c r="K3" s="686"/>
      <c r="L3" s="686"/>
      <c r="M3" s="686"/>
    </row>
    <row r="4" spans="1:13" x14ac:dyDescent="0.3">
      <c r="A4" s="299" t="s">
        <v>499</v>
      </c>
      <c r="B4" s="299"/>
      <c r="C4" s="299" t="s">
        <v>500</v>
      </c>
      <c r="D4" s="689" t="s">
        <v>445</v>
      </c>
      <c r="E4" s="689" t="s">
        <v>445</v>
      </c>
      <c r="F4" s="689" t="s">
        <v>445</v>
      </c>
      <c r="G4" s="689" t="s">
        <v>445</v>
      </c>
      <c r="H4" s="689" t="s">
        <v>445</v>
      </c>
      <c r="I4" s="689" t="s">
        <v>445</v>
      </c>
      <c r="J4" s="689" t="s">
        <v>445</v>
      </c>
      <c r="K4" s="702"/>
    </row>
    <row r="5" spans="1:13" x14ac:dyDescent="0.3">
      <c r="A5" s="299">
        <v>5119</v>
      </c>
      <c r="B5" s="299" t="s">
        <v>476</v>
      </c>
      <c r="C5" s="299">
        <v>647</v>
      </c>
      <c r="D5" s="686">
        <v>20578691</v>
      </c>
      <c r="E5" s="686">
        <v>3249248</v>
      </c>
      <c r="F5" s="686">
        <v>2957570</v>
      </c>
      <c r="G5" s="686">
        <v>5709008</v>
      </c>
      <c r="H5" s="686">
        <v>5114434</v>
      </c>
      <c r="I5" s="686">
        <v>4562229</v>
      </c>
      <c r="J5" s="686">
        <v>4029652</v>
      </c>
    </row>
    <row r="6" spans="1:13" x14ac:dyDescent="0.3">
      <c r="A6" s="299">
        <v>5120</v>
      </c>
      <c r="B6" s="299" t="s">
        <v>477</v>
      </c>
      <c r="C6" s="299">
        <v>647</v>
      </c>
      <c r="D6" s="686">
        <v>0</v>
      </c>
      <c r="E6" s="686">
        <v>0</v>
      </c>
      <c r="F6" s="686">
        <v>0</v>
      </c>
      <c r="G6" s="686">
        <v>0</v>
      </c>
      <c r="H6" s="686">
        <v>0</v>
      </c>
      <c r="I6" s="686">
        <v>0</v>
      </c>
      <c r="J6" s="686">
        <v>0</v>
      </c>
    </row>
    <row r="7" spans="1:13" x14ac:dyDescent="0.3">
      <c r="A7" s="299">
        <v>5131</v>
      </c>
      <c r="B7" s="299" t="s">
        <v>478</v>
      </c>
      <c r="C7" s="299">
        <v>647</v>
      </c>
      <c r="D7" s="686">
        <v>37089245</v>
      </c>
      <c r="E7" s="686">
        <v>20299814</v>
      </c>
      <c r="F7" s="686">
        <v>8051571</v>
      </c>
      <c r="G7" s="686">
        <v>7371500</v>
      </c>
      <c r="H7" s="686">
        <v>5966665</v>
      </c>
      <c r="I7" s="686">
        <v>8207298</v>
      </c>
      <c r="J7" s="686">
        <v>7347048</v>
      </c>
    </row>
    <row r="8" spans="1:13" x14ac:dyDescent="0.3">
      <c r="A8" s="299">
        <v>5135</v>
      </c>
      <c r="B8" s="299" t="s">
        <v>479</v>
      </c>
      <c r="C8" s="299">
        <v>647</v>
      </c>
      <c r="D8" s="686">
        <v>0</v>
      </c>
      <c r="E8" s="686">
        <v>0</v>
      </c>
      <c r="F8" s="686">
        <v>4056482</v>
      </c>
      <c r="G8" s="686">
        <v>3922669</v>
      </c>
      <c r="H8" s="686">
        <v>3148233</v>
      </c>
      <c r="I8" s="686">
        <v>2755127</v>
      </c>
      <c r="J8" s="686">
        <v>2755127</v>
      </c>
    </row>
    <row r="9" spans="1:13" x14ac:dyDescent="0.3">
      <c r="A9" s="299">
        <v>5144</v>
      </c>
      <c r="B9" s="299" t="s">
        <v>480</v>
      </c>
      <c r="C9" s="299">
        <v>647</v>
      </c>
      <c r="D9" s="686">
        <v>7441890</v>
      </c>
      <c r="E9" s="686">
        <v>7441890</v>
      </c>
      <c r="F9" s="686">
        <v>4932241</v>
      </c>
      <c r="G9" s="686">
        <v>590997</v>
      </c>
      <c r="H9" s="686">
        <v>0</v>
      </c>
      <c r="I9" s="686">
        <v>3000000</v>
      </c>
      <c r="J9" s="686">
        <v>2390166</v>
      </c>
    </row>
    <row r="10" spans="1:13" x14ac:dyDescent="0.3">
      <c r="A10" s="299">
        <v>5155</v>
      </c>
      <c r="B10" s="299" t="s">
        <v>481</v>
      </c>
      <c r="C10" s="299">
        <v>647</v>
      </c>
      <c r="D10" s="686">
        <v>1008755</v>
      </c>
      <c r="E10" s="686">
        <v>781534</v>
      </c>
      <c r="F10" s="686">
        <v>663572</v>
      </c>
      <c r="G10" s="686">
        <v>6557774</v>
      </c>
      <c r="H10" s="686">
        <v>611355</v>
      </c>
      <c r="I10" s="686">
        <v>784361</v>
      </c>
      <c r="J10" s="686">
        <v>1022379</v>
      </c>
    </row>
    <row r="11" spans="1:13" x14ac:dyDescent="0.3">
      <c r="A11" s="299">
        <v>5158</v>
      </c>
      <c r="B11" s="299" t="s">
        <v>482</v>
      </c>
      <c r="C11" s="299">
        <v>647</v>
      </c>
      <c r="D11" s="686">
        <v>9</v>
      </c>
      <c r="E11" s="686">
        <v>9</v>
      </c>
      <c r="F11" s="686">
        <v>9</v>
      </c>
      <c r="G11" s="686">
        <v>9</v>
      </c>
      <c r="H11" s="686">
        <v>9</v>
      </c>
      <c r="I11" s="686">
        <v>9</v>
      </c>
      <c r="J11" s="686">
        <v>9</v>
      </c>
    </row>
    <row r="12" spans="1:13" x14ac:dyDescent="0.3">
      <c r="A12" s="299">
        <v>5159</v>
      </c>
      <c r="B12" s="299" t="s">
        <v>483</v>
      </c>
      <c r="C12" s="299">
        <v>647</v>
      </c>
      <c r="D12" s="686">
        <v>225639888</v>
      </c>
      <c r="E12" s="686">
        <v>219009306</v>
      </c>
      <c r="F12" s="686">
        <v>181812071</v>
      </c>
      <c r="G12" s="686">
        <v>193933610</v>
      </c>
      <c r="H12" s="686">
        <v>181583886</v>
      </c>
      <c r="I12" s="686">
        <v>0</v>
      </c>
      <c r="J12" s="686">
        <v>0</v>
      </c>
    </row>
    <row r="13" spans="1:13" x14ac:dyDescent="0.3">
      <c r="A13" s="299">
        <v>5164</v>
      </c>
      <c r="B13" s="299" t="s">
        <v>484</v>
      </c>
      <c r="C13" s="299">
        <v>647</v>
      </c>
      <c r="D13" s="686">
        <v>7132135</v>
      </c>
      <c r="E13" s="686">
        <v>5438631</v>
      </c>
      <c r="F13" s="686">
        <v>2427428</v>
      </c>
      <c r="G13" s="686">
        <v>157674</v>
      </c>
      <c r="H13" s="686">
        <v>0</v>
      </c>
      <c r="I13" s="686">
        <v>0</v>
      </c>
      <c r="J13" s="686">
        <v>0</v>
      </c>
    </row>
    <row r="14" spans="1:13" x14ac:dyDescent="0.3">
      <c r="A14" s="299">
        <v>5173</v>
      </c>
      <c r="B14" s="299" t="s">
        <v>485</v>
      </c>
      <c r="C14" s="299">
        <v>647</v>
      </c>
      <c r="D14" s="686">
        <v>422216</v>
      </c>
      <c r="E14" s="686">
        <v>2615544</v>
      </c>
      <c r="F14" s="686">
        <v>880554</v>
      </c>
      <c r="G14" s="686">
        <v>154942</v>
      </c>
      <c r="H14" s="686">
        <v>107456</v>
      </c>
      <c r="I14" s="686">
        <v>46240</v>
      </c>
      <c r="J14" s="686">
        <v>23390</v>
      </c>
    </row>
    <row r="15" spans="1:13" x14ac:dyDescent="0.3">
      <c r="A15" s="299">
        <v>5178</v>
      </c>
      <c r="B15" s="299" t="s">
        <v>486</v>
      </c>
      <c r="C15" s="299">
        <v>647</v>
      </c>
      <c r="D15" s="686">
        <v>75835</v>
      </c>
      <c r="E15" s="686">
        <v>66039</v>
      </c>
      <c r="F15" s="686">
        <v>57100</v>
      </c>
      <c r="G15" s="686">
        <v>52316</v>
      </c>
      <c r="H15" s="686">
        <v>23715</v>
      </c>
      <c r="I15" s="686">
        <v>899285</v>
      </c>
      <c r="J15" s="686">
        <v>1169608</v>
      </c>
    </row>
    <row r="16" spans="1:13" x14ac:dyDescent="0.3">
      <c r="A16" s="299">
        <v>5180</v>
      </c>
      <c r="B16" s="299" t="s">
        <v>487</v>
      </c>
      <c r="C16" s="299">
        <v>647</v>
      </c>
      <c r="D16" s="686">
        <v>4586780</v>
      </c>
      <c r="E16" s="686">
        <v>5165281</v>
      </c>
      <c r="F16" s="686">
        <v>4432068</v>
      </c>
      <c r="G16" s="686">
        <v>3558985</v>
      </c>
      <c r="H16" s="686">
        <v>2657915</v>
      </c>
      <c r="I16" s="686">
        <v>2071596</v>
      </c>
      <c r="J16" s="686">
        <v>1986034</v>
      </c>
    </row>
    <row r="17" spans="1:10" x14ac:dyDescent="0.3">
      <c r="A17" s="299">
        <v>5191</v>
      </c>
      <c r="B17" s="299" t="s">
        <v>488</v>
      </c>
      <c r="C17" s="299">
        <v>647</v>
      </c>
      <c r="D17" s="686">
        <v>111303046</v>
      </c>
      <c r="E17" s="686">
        <v>108974619</v>
      </c>
      <c r="F17" s="686">
        <v>120290900</v>
      </c>
      <c r="G17" s="686">
        <v>127448981</v>
      </c>
      <c r="H17" s="686">
        <v>153873846</v>
      </c>
      <c r="I17" s="686">
        <v>135252125</v>
      </c>
      <c r="J17" s="686">
        <v>169055200</v>
      </c>
    </row>
    <row r="18" spans="1:10" x14ac:dyDescent="0.3">
      <c r="A18" s="299">
        <v>50074</v>
      </c>
      <c r="B18" s="299" t="s">
        <v>489</v>
      </c>
      <c r="C18" s="299">
        <v>647</v>
      </c>
      <c r="D18" s="686">
        <v>7494829</v>
      </c>
      <c r="E18" s="686">
        <v>7189658</v>
      </c>
      <c r="F18" s="686">
        <v>7048523</v>
      </c>
      <c r="G18" s="686">
        <v>6615510</v>
      </c>
      <c r="H18" s="686">
        <v>5452410</v>
      </c>
      <c r="I18" s="686">
        <v>4803926</v>
      </c>
      <c r="J18" s="686">
        <v>5340180</v>
      </c>
    </row>
    <row r="19" spans="1:10" x14ac:dyDescent="0.3">
      <c r="A19" s="299">
        <v>50075</v>
      </c>
      <c r="B19" s="299" t="s">
        <v>490</v>
      </c>
      <c r="C19" s="299">
        <v>647</v>
      </c>
      <c r="D19" s="686">
        <v>266214000</v>
      </c>
      <c r="E19" s="686">
        <v>265541000</v>
      </c>
      <c r="F19" s="686">
        <v>274532000</v>
      </c>
      <c r="G19" s="686">
        <v>286138000</v>
      </c>
      <c r="H19" s="686">
        <v>295124000</v>
      </c>
      <c r="I19" s="686">
        <v>264645000</v>
      </c>
      <c r="J19" s="686">
        <v>231434000</v>
      </c>
    </row>
    <row r="20" spans="1:10" x14ac:dyDescent="0.3">
      <c r="A20" s="299">
        <v>50110</v>
      </c>
      <c r="B20" s="299" t="s">
        <v>491</v>
      </c>
      <c r="C20" s="299">
        <v>647</v>
      </c>
      <c r="D20" s="686">
        <v>46833536</v>
      </c>
      <c r="E20" s="686">
        <v>45660075</v>
      </c>
      <c r="F20" s="686">
        <v>8463820</v>
      </c>
      <c r="G20" s="686">
        <v>2663591</v>
      </c>
      <c r="H20" s="686">
        <v>2371109</v>
      </c>
      <c r="I20" s="686">
        <v>2878268</v>
      </c>
      <c r="J20" s="686">
        <v>4203755</v>
      </c>
    </row>
    <row r="21" spans="1:10" x14ac:dyDescent="0.3">
      <c r="A21" s="299">
        <v>50144</v>
      </c>
      <c r="B21" s="299" t="s">
        <v>492</v>
      </c>
      <c r="C21" s="299">
        <v>647</v>
      </c>
      <c r="D21" s="686">
        <v>4258932</v>
      </c>
      <c r="E21" s="686">
        <v>853434</v>
      </c>
      <c r="F21" s="686">
        <v>1622119</v>
      </c>
      <c r="G21" s="686">
        <v>1743258</v>
      </c>
      <c r="H21" s="686">
        <v>1740179</v>
      </c>
      <c r="I21" s="686">
        <v>1739958</v>
      </c>
      <c r="J21" s="686">
        <v>1739695</v>
      </c>
    </row>
    <row r="22" spans="1:10" x14ac:dyDescent="0.3">
      <c r="A22" s="299">
        <v>50159</v>
      </c>
      <c r="B22" s="299" t="s">
        <v>493</v>
      </c>
      <c r="C22" s="299">
        <v>647</v>
      </c>
      <c r="D22" s="686">
        <v>28636370</v>
      </c>
      <c r="E22" s="686">
        <v>23180822</v>
      </c>
      <c r="F22" s="686">
        <v>16487675</v>
      </c>
      <c r="G22" s="686">
        <v>10909425</v>
      </c>
      <c r="H22" s="686">
        <v>7878571</v>
      </c>
      <c r="I22" s="686">
        <v>5300679</v>
      </c>
      <c r="J22" s="686">
        <v>4801051</v>
      </c>
    </row>
    <row r="23" spans="1:10" x14ac:dyDescent="0.3">
      <c r="A23" s="299">
        <v>50160</v>
      </c>
      <c r="B23" s="299" t="s">
        <v>494</v>
      </c>
      <c r="C23" s="299">
        <v>647</v>
      </c>
      <c r="D23" s="686">
        <v>1134799</v>
      </c>
      <c r="E23" s="686">
        <v>894858</v>
      </c>
      <c r="F23" s="686">
        <v>1002425</v>
      </c>
      <c r="G23" s="686">
        <v>354061</v>
      </c>
      <c r="H23" s="686">
        <v>392698</v>
      </c>
      <c r="I23" s="686">
        <v>442800</v>
      </c>
      <c r="J23" s="686">
        <v>942821</v>
      </c>
    </row>
    <row r="24" spans="1:10" x14ac:dyDescent="0.3">
      <c r="A24" s="299">
        <v>50180</v>
      </c>
      <c r="B24" s="299" t="s">
        <v>495</v>
      </c>
      <c r="C24" s="299">
        <v>647</v>
      </c>
      <c r="D24" s="686">
        <v>13193040</v>
      </c>
      <c r="E24" s="686">
        <v>17058564</v>
      </c>
      <c r="F24" s="686">
        <v>16187505</v>
      </c>
      <c r="G24" s="686">
        <v>16428100</v>
      </c>
      <c r="H24" s="686">
        <v>16688416</v>
      </c>
      <c r="I24" s="686">
        <v>17840940</v>
      </c>
      <c r="J24" s="686">
        <v>18042019</v>
      </c>
    </row>
    <row r="25" spans="1:10" x14ac:dyDescent="0.3">
      <c r="A25" s="299">
        <v>50405</v>
      </c>
      <c r="B25" s="299" t="s">
        <v>496</v>
      </c>
      <c r="C25" s="299">
        <v>647</v>
      </c>
      <c r="D25" s="686">
        <v>302046</v>
      </c>
      <c r="E25" s="686">
        <v>1055143</v>
      </c>
      <c r="F25" s="686">
        <v>0</v>
      </c>
      <c r="G25" s="686">
        <v>0</v>
      </c>
      <c r="H25" s="686">
        <v>0</v>
      </c>
      <c r="I25" s="686">
        <v>0</v>
      </c>
      <c r="J25" s="686">
        <v>0</v>
      </c>
    </row>
    <row r="26" spans="1:10" x14ac:dyDescent="0.3">
      <c r="A26" s="299">
        <v>50425</v>
      </c>
      <c r="B26" s="299" t="s">
        <v>497</v>
      </c>
      <c r="C26" s="299">
        <v>647</v>
      </c>
      <c r="D26" s="686">
        <v>20836222</v>
      </c>
      <c r="E26" s="686">
        <v>16328642</v>
      </c>
      <c r="F26" s="686">
        <v>15202516</v>
      </c>
      <c r="G26" s="686">
        <v>12384500</v>
      </c>
      <c r="H26" s="686">
        <v>9788553</v>
      </c>
      <c r="I26" s="686">
        <v>7967199</v>
      </c>
      <c r="J26" s="686">
        <v>6398918</v>
      </c>
    </row>
    <row r="27" spans="1:10" x14ac:dyDescent="0.3">
      <c r="A27" s="299">
        <v>50431</v>
      </c>
      <c r="B27" s="299" t="s">
        <v>498</v>
      </c>
      <c r="C27" s="299">
        <v>647</v>
      </c>
      <c r="D27" s="686">
        <v>25542629</v>
      </c>
      <c r="E27" s="686">
        <v>24964077</v>
      </c>
      <c r="F27" s="686">
        <v>23618105</v>
      </c>
      <c r="G27" s="686">
        <v>22744716</v>
      </c>
      <c r="H27" s="686">
        <v>16714796</v>
      </c>
      <c r="I27" s="686">
        <v>13788676</v>
      </c>
      <c r="J27" s="686">
        <v>10895689</v>
      </c>
    </row>
  </sheetData>
  <sheetProtection algorithmName="SHA-512" hashValue="zOJPBrBVacUhgC9ekTj45SG0iQCVqB0xg4zl4NXbCuUm+YsFjQ4emom1W6XDJ2q3oZ95XoQFIfIcoGM1GhHieA==" saltValue="qzrC+Ng8WmGKQcPPNBdYiA=="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13B3-4389-4319-BFF6-0DABAB34D46A}">
  <sheetPr codeName="Sheet10"/>
  <dimension ref="A1:K160"/>
  <sheetViews>
    <sheetView workbookViewId="0">
      <selection activeCell="A12" sqref="A12"/>
    </sheetView>
  </sheetViews>
  <sheetFormatPr defaultColWidth="9.109375" defaultRowHeight="14.4" x14ac:dyDescent="0.3"/>
  <cols>
    <col min="1" max="1" width="9.109375" style="270"/>
    <col min="2" max="2" width="54.109375" style="270" customWidth="1"/>
    <col min="3" max="3" width="23.6640625" style="270" customWidth="1"/>
    <col min="4" max="4" width="19.6640625" style="270" customWidth="1"/>
    <col min="5" max="10" width="9.109375" style="270"/>
    <col min="11" max="11" width="54.109375" style="270" customWidth="1"/>
    <col min="12" max="16384" width="9.109375" style="270"/>
  </cols>
  <sheetData>
    <row r="1" spans="1:11" ht="43.2" x14ac:dyDescent="0.3">
      <c r="A1" s="270" t="s">
        <v>499</v>
      </c>
      <c r="B1" s="270" t="s">
        <v>639</v>
      </c>
      <c r="C1" s="278" t="s">
        <v>604</v>
      </c>
      <c r="D1" s="279" t="s">
        <v>830</v>
      </c>
      <c r="E1" s="270" t="s">
        <v>1301</v>
      </c>
    </row>
    <row r="3" spans="1:11" ht="23.4" x14ac:dyDescent="0.45">
      <c r="A3" s="270">
        <v>50001</v>
      </c>
      <c r="B3" s="270" t="s">
        <v>640</v>
      </c>
      <c r="C3" s="270">
        <v>50</v>
      </c>
      <c r="D3" s="170" t="s">
        <v>51</v>
      </c>
      <c r="E3" s="303" t="s">
        <v>973</v>
      </c>
    </row>
    <row r="4" spans="1:11" x14ac:dyDescent="0.3">
      <c r="A4" s="270">
        <v>50006</v>
      </c>
      <c r="B4" s="270" t="s">
        <v>641</v>
      </c>
      <c r="C4" s="270">
        <v>50</v>
      </c>
      <c r="D4" s="170" t="s">
        <v>51</v>
      </c>
    </row>
    <row r="5" spans="1:11" x14ac:dyDescent="0.3">
      <c r="A5" s="270">
        <v>50013</v>
      </c>
      <c r="B5" s="270" t="s">
        <v>643</v>
      </c>
      <c r="C5" s="270">
        <v>50</v>
      </c>
      <c r="D5" s="170" t="s">
        <v>51</v>
      </c>
    </row>
    <row r="6" spans="1:11" x14ac:dyDescent="0.3">
      <c r="A6" s="270">
        <v>50016</v>
      </c>
      <c r="B6" s="947" t="s">
        <v>1302</v>
      </c>
      <c r="C6" s="270">
        <v>50</v>
      </c>
      <c r="D6" s="170" t="s">
        <v>51</v>
      </c>
      <c r="K6" s="947"/>
    </row>
    <row r="7" spans="1:11" x14ac:dyDescent="0.3">
      <c r="A7" s="270">
        <v>50019</v>
      </c>
      <c r="B7" s="947" t="s">
        <v>1303</v>
      </c>
      <c r="C7" s="270">
        <v>50</v>
      </c>
      <c r="D7" s="170" t="s">
        <v>51</v>
      </c>
      <c r="K7" s="947"/>
    </row>
    <row r="8" spans="1:11" x14ac:dyDescent="0.3">
      <c r="A8" s="270">
        <v>50504</v>
      </c>
      <c r="B8" s="270" t="s">
        <v>644</v>
      </c>
      <c r="C8" s="270">
        <v>50</v>
      </c>
      <c r="D8" s="170" t="s">
        <v>51</v>
      </c>
    </row>
    <row r="9" spans="1:11" x14ac:dyDescent="0.3">
      <c r="A9" s="270">
        <v>50021</v>
      </c>
      <c r="B9" s="947" t="s">
        <v>1304</v>
      </c>
      <c r="C9" s="270">
        <v>50</v>
      </c>
      <c r="D9" s="170" t="s">
        <v>51</v>
      </c>
      <c r="K9" s="947"/>
    </row>
    <row r="10" spans="1:11" x14ac:dyDescent="0.3">
      <c r="A10" s="270">
        <v>50024</v>
      </c>
      <c r="B10" s="270" t="s">
        <v>645</v>
      </c>
      <c r="C10" s="270">
        <v>50</v>
      </c>
      <c r="D10" s="170" t="s">
        <v>51</v>
      </c>
    </row>
    <row r="11" spans="1:11" x14ac:dyDescent="0.3">
      <c r="A11" s="270">
        <v>50029</v>
      </c>
      <c r="B11" s="270" t="s">
        <v>646</v>
      </c>
      <c r="C11" s="270">
        <v>50</v>
      </c>
      <c r="D11" s="170" t="s">
        <v>51</v>
      </c>
    </row>
    <row r="12" spans="1:11" x14ac:dyDescent="0.3">
      <c r="A12" s="270">
        <v>50031</v>
      </c>
      <c r="B12" s="947" t="s">
        <v>1305</v>
      </c>
      <c r="C12" s="270">
        <v>50</v>
      </c>
      <c r="D12" s="170" t="s">
        <v>51</v>
      </c>
      <c r="K12" s="947"/>
    </row>
    <row r="13" spans="1:11" x14ac:dyDescent="0.3">
      <c r="A13" s="270">
        <v>50469</v>
      </c>
      <c r="B13" s="270" t="s">
        <v>647</v>
      </c>
      <c r="C13" s="270">
        <v>50</v>
      </c>
      <c r="D13" s="170" t="s">
        <v>51</v>
      </c>
    </row>
    <row r="14" spans="1:11" x14ac:dyDescent="0.3">
      <c r="A14" s="270">
        <v>50034</v>
      </c>
      <c r="B14" s="270" t="s">
        <v>649</v>
      </c>
      <c r="C14" s="270">
        <v>50</v>
      </c>
      <c r="D14" s="170" t="s">
        <v>51</v>
      </c>
    </row>
    <row r="15" spans="1:11" x14ac:dyDescent="0.3">
      <c r="A15" s="270">
        <v>50038</v>
      </c>
      <c r="B15" s="270" t="s">
        <v>650</v>
      </c>
      <c r="C15" s="270">
        <v>50</v>
      </c>
      <c r="D15" s="170" t="s">
        <v>51</v>
      </c>
    </row>
    <row r="16" spans="1:11" x14ac:dyDescent="0.3">
      <c r="A16" s="270">
        <v>50506</v>
      </c>
      <c r="B16" s="270" t="s">
        <v>651</v>
      </c>
      <c r="C16" s="270">
        <v>50</v>
      </c>
      <c r="D16" s="170" t="s">
        <v>51</v>
      </c>
    </row>
    <row r="17" spans="1:11" x14ac:dyDescent="0.3">
      <c r="A17" s="270">
        <v>50045</v>
      </c>
      <c r="B17" s="270" t="s">
        <v>652</v>
      </c>
      <c r="C17" s="270">
        <v>50</v>
      </c>
      <c r="D17" s="170" t="s">
        <v>51</v>
      </c>
    </row>
    <row r="18" spans="1:11" x14ac:dyDescent="0.3">
      <c r="A18" s="270">
        <v>50049</v>
      </c>
      <c r="B18" s="270" t="s">
        <v>653</v>
      </c>
      <c r="C18" s="270">
        <v>50</v>
      </c>
      <c r="D18" s="170" t="s">
        <v>51</v>
      </c>
    </row>
    <row r="19" spans="1:11" x14ac:dyDescent="0.3">
      <c r="A19" s="270">
        <v>50055</v>
      </c>
      <c r="B19" s="947" t="s">
        <v>1306</v>
      </c>
      <c r="C19" s="270">
        <v>50</v>
      </c>
      <c r="D19" s="170" t="s">
        <v>51</v>
      </c>
      <c r="K19" s="947"/>
    </row>
    <row r="20" spans="1:11" x14ac:dyDescent="0.3">
      <c r="A20" s="270">
        <v>50466</v>
      </c>
      <c r="B20" s="270" t="s">
        <v>1307</v>
      </c>
      <c r="C20" s="270">
        <v>50</v>
      </c>
      <c r="D20" s="170" t="s">
        <v>51</v>
      </c>
    </row>
    <row r="21" spans="1:11" x14ac:dyDescent="0.3">
      <c r="A21" s="270">
        <v>50069</v>
      </c>
      <c r="B21" s="270" t="s">
        <v>654</v>
      </c>
      <c r="C21" s="270">
        <v>50</v>
      </c>
      <c r="D21" s="170" t="s">
        <v>51</v>
      </c>
    </row>
    <row r="22" spans="1:11" x14ac:dyDescent="0.3">
      <c r="A22" s="270">
        <v>50467</v>
      </c>
      <c r="B22" s="270" t="s">
        <v>655</v>
      </c>
      <c r="C22" s="270">
        <v>50</v>
      </c>
      <c r="D22" s="170" t="s">
        <v>51</v>
      </c>
    </row>
    <row r="23" spans="1:11" x14ac:dyDescent="0.3">
      <c r="A23" s="270">
        <v>50510</v>
      </c>
      <c r="B23" s="270" t="s">
        <v>656</v>
      </c>
      <c r="C23" s="270">
        <v>50</v>
      </c>
      <c r="D23" s="170" t="s">
        <v>51</v>
      </c>
    </row>
    <row r="24" spans="1:11" x14ac:dyDescent="0.3">
      <c r="A24" s="270">
        <v>50078</v>
      </c>
      <c r="B24" s="270" t="s">
        <v>1308</v>
      </c>
      <c r="C24" s="270">
        <v>50</v>
      </c>
      <c r="D24" s="170" t="s">
        <v>51</v>
      </c>
    </row>
    <row r="25" spans="1:11" x14ac:dyDescent="0.3">
      <c r="A25" s="270">
        <v>50080</v>
      </c>
      <c r="B25" s="270" t="s">
        <v>1309</v>
      </c>
      <c r="C25" s="270">
        <v>50</v>
      </c>
      <c r="D25" s="170" t="s">
        <v>51</v>
      </c>
    </row>
    <row r="26" spans="1:11" x14ac:dyDescent="0.3">
      <c r="A26" s="270">
        <v>50468</v>
      </c>
      <c r="B26" s="947" t="s">
        <v>1310</v>
      </c>
      <c r="C26" s="270">
        <v>50</v>
      </c>
      <c r="D26" s="170" t="s">
        <v>51</v>
      </c>
      <c r="K26" s="947"/>
    </row>
    <row r="27" spans="1:11" x14ac:dyDescent="0.3">
      <c r="A27" s="270">
        <v>50086</v>
      </c>
      <c r="B27" s="270" t="s">
        <v>658</v>
      </c>
      <c r="C27" s="270">
        <v>50</v>
      </c>
      <c r="D27" s="170" t="s">
        <v>51</v>
      </c>
    </row>
    <row r="28" spans="1:11" x14ac:dyDescent="0.3">
      <c r="A28" s="270">
        <v>50087</v>
      </c>
      <c r="B28" s="270" t="s">
        <v>659</v>
      </c>
      <c r="C28" s="270">
        <v>50</v>
      </c>
      <c r="D28" s="170" t="s">
        <v>51</v>
      </c>
    </row>
    <row r="29" spans="1:11" x14ac:dyDescent="0.3">
      <c r="A29" s="270">
        <v>50091</v>
      </c>
      <c r="B29" s="947" t="s">
        <v>1311</v>
      </c>
      <c r="C29" s="270">
        <v>50</v>
      </c>
      <c r="D29" s="170" t="s">
        <v>51</v>
      </c>
      <c r="K29" s="947"/>
    </row>
    <row r="30" spans="1:11" x14ac:dyDescent="0.3">
      <c r="A30" s="270">
        <v>50098</v>
      </c>
      <c r="B30" s="270" t="s">
        <v>1312</v>
      </c>
      <c r="C30" s="270">
        <v>50</v>
      </c>
      <c r="D30" s="170" t="s">
        <v>51</v>
      </c>
    </row>
    <row r="31" spans="1:11" x14ac:dyDescent="0.3">
      <c r="A31" s="270">
        <v>50100</v>
      </c>
      <c r="B31" s="270" t="s">
        <v>1313</v>
      </c>
      <c r="C31" s="270">
        <v>50</v>
      </c>
      <c r="D31" s="170" t="s">
        <v>51</v>
      </c>
    </row>
    <row r="32" spans="1:11" x14ac:dyDescent="0.3">
      <c r="A32" s="270">
        <v>50513</v>
      </c>
      <c r="B32" s="270" t="s">
        <v>660</v>
      </c>
      <c r="C32" s="270">
        <v>50</v>
      </c>
      <c r="D32" s="170" t="s">
        <v>51</v>
      </c>
    </row>
    <row r="33" spans="1:11" x14ac:dyDescent="0.3">
      <c r="A33" s="270">
        <v>50106</v>
      </c>
      <c r="B33" s="270" t="s">
        <v>661</v>
      </c>
      <c r="C33" s="270">
        <v>50</v>
      </c>
      <c r="D33" s="170" t="s">
        <v>51</v>
      </c>
    </row>
    <row r="34" spans="1:11" x14ac:dyDescent="0.3">
      <c r="A34" s="270">
        <v>50472</v>
      </c>
      <c r="B34" s="270" t="s">
        <v>662</v>
      </c>
      <c r="C34" s="270">
        <v>50</v>
      </c>
      <c r="D34" s="170" t="s">
        <v>51</v>
      </c>
    </row>
    <row r="35" spans="1:11" x14ac:dyDescent="0.3">
      <c r="A35" s="270">
        <v>50112</v>
      </c>
      <c r="B35" s="270" t="s">
        <v>663</v>
      </c>
      <c r="C35" s="270">
        <v>50</v>
      </c>
      <c r="D35" s="170" t="s">
        <v>51</v>
      </c>
    </row>
    <row r="36" spans="1:11" x14ac:dyDescent="0.3">
      <c r="A36" s="270">
        <v>50113</v>
      </c>
      <c r="B36" s="270" t="s">
        <v>664</v>
      </c>
      <c r="C36" s="270">
        <v>50</v>
      </c>
      <c r="D36" s="170" t="s">
        <v>51</v>
      </c>
    </row>
    <row r="37" spans="1:11" x14ac:dyDescent="0.3">
      <c r="A37" s="270">
        <v>50116</v>
      </c>
      <c r="B37" s="947" t="s">
        <v>1314</v>
      </c>
      <c r="C37" s="270">
        <v>50</v>
      </c>
      <c r="D37" s="170" t="s">
        <v>51</v>
      </c>
      <c r="K37" s="947"/>
    </row>
    <row r="38" spans="1:11" x14ac:dyDescent="0.3">
      <c r="A38" s="270">
        <v>50121</v>
      </c>
      <c r="B38" s="270" t="s">
        <v>666</v>
      </c>
      <c r="C38" s="270">
        <v>50</v>
      </c>
      <c r="D38" s="170" t="s">
        <v>51</v>
      </c>
    </row>
    <row r="39" spans="1:11" x14ac:dyDescent="0.3">
      <c r="A39" s="270">
        <v>50122</v>
      </c>
      <c r="B39" s="270" t="s">
        <v>667</v>
      </c>
      <c r="C39" s="270">
        <v>50</v>
      </c>
      <c r="D39" s="170" t="s">
        <v>51</v>
      </c>
    </row>
    <row r="40" spans="1:11" x14ac:dyDescent="0.3">
      <c r="A40" s="270">
        <v>50125</v>
      </c>
      <c r="B40" s="270" t="s">
        <v>668</v>
      </c>
      <c r="C40" s="270">
        <v>50</v>
      </c>
      <c r="D40" s="170" t="s">
        <v>51</v>
      </c>
    </row>
    <row r="41" spans="1:11" x14ac:dyDescent="0.3">
      <c r="A41" s="270">
        <v>50126</v>
      </c>
      <c r="B41" s="947" t="s">
        <v>1315</v>
      </c>
      <c r="C41" s="270">
        <v>50</v>
      </c>
      <c r="D41" s="170" t="s">
        <v>51</v>
      </c>
      <c r="K41" s="947"/>
    </row>
    <row r="42" spans="1:11" x14ac:dyDescent="0.3">
      <c r="A42" s="270">
        <v>50127</v>
      </c>
      <c r="B42" s="270" t="s">
        <v>1316</v>
      </c>
      <c r="C42" s="270">
        <v>50</v>
      </c>
      <c r="D42" s="170" t="s">
        <v>51</v>
      </c>
    </row>
    <row r="43" spans="1:11" x14ac:dyDescent="0.3">
      <c r="A43" s="270">
        <v>50128</v>
      </c>
      <c r="B43" s="270" t="s">
        <v>670</v>
      </c>
      <c r="C43" s="270">
        <v>50</v>
      </c>
      <c r="D43" s="170" t="s">
        <v>51</v>
      </c>
    </row>
    <row r="44" spans="1:11" x14ac:dyDescent="0.3">
      <c r="A44" s="270">
        <v>50129</v>
      </c>
      <c r="B44" s="270" t="s">
        <v>671</v>
      </c>
      <c r="C44" s="270">
        <v>50</v>
      </c>
      <c r="D44" s="170" t="s">
        <v>51</v>
      </c>
    </row>
    <row r="45" spans="1:11" x14ac:dyDescent="0.3">
      <c r="A45" s="270">
        <v>50130</v>
      </c>
      <c r="B45" s="270" t="s">
        <v>672</v>
      </c>
      <c r="C45" s="270">
        <v>50</v>
      </c>
      <c r="D45" s="170" t="s">
        <v>51</v>
      </c>
    </row>
    <row r="46" spans="1:11" x14ac:dyDescent="0.3">
      <c r="A46" s="270">
        <v>50570</v>
      </c>
      <c r="B46" s="270" t="s">
        <v>673</v>
      </c>
      <c r="C46" s="270">
        <v>50</v>
      </c>
      <c r="D46" s="170" t="s">
        <v>51</v>
      </c>
    </row>
    <row r="47" spans="1:11" x14ac:dyDescent="0.3">
      <c r="A47" s="270">
        <v>50139</v>
      </c>
      <c r="B47" s="270" t="s">
        <v>675</v>
      </c>
      <c r="C47" s="270">
        <v>50</v>
      </c>
      <c r="D47" s="170" t="s">
        <v>51</v>
      </c>
    </row>
    <row r="48" spans="1:11" x14ac:dyDescent="0.3">
      <c r="A48" s="270">
        <v>50142</v>
      </c>
      <c r="B48" s="270" t="s">
        <v>676</v>
      </c>
      <c r="C48" s="270">
        <v>50</v>
      </c>
      <c r="D48" s="170" t="s">
        <v>51</v>
      </c>
    </row>
    <row r="49" spans="1:11" x14ac:dyDescent="0.3">
      <c r="A49" s="270">
        <v>50143</v>
      </c>
      <c r="B49" s="270" t="s">
        <v>677</v>
      </c>
      <c r="C49" s="270">
        <v>50</v>
      </c>
      <c r="D49" s="170" t="s">
        <v>51</v>
      </c>
    </row>
    <row r="50" spans="1:11" x14ac:dyDescent="0.3">
      <c r="A50" s="270">
        <v>50148</v>
      </c>
      <c r="B50" s="270" t="s">
        <v>479</v>
      </c>
      <c r="C50" s="270">
        <v>50</v>
      </c>
      <c r="D50" s="170" t="s">
        <v>51</v>
      </c>
    </row>
    <row r="51" spans="1:11" x14ac:dyDescent="0.3">
      <c r="A51" s="270">
        <v>50151</v>
      </c>
      <c r="B51" s="270" t="s">
        <v>1317</v>
      </c>
      <c r="C51" s="270">
        <v>50</v>
      </c>
      <c r="D51" s="170" t="s">
        <v>51</v>
      </c>
    </row>
    <row r="52" spans="1:11" x14ac:dyDescent="0.3">
      <c r="A52" s="270">
        <v>50153</v>
      </c>
      <c r="B52" s="270" t="s">
        <v>678</v>
      </c>
      <c r="C52" s="270">
        <v>50</v>
      </c>
      <c r="D52" s="170" t="s">
        <v>51</v>
      </c>
    </row>
    <row r="53" spans="1:11" x14ac:dyDescent="0.3">
      <c r="A53" s="270">
        <v>50154</v>
      </c>
      <c r="B53" s="270" t="s">
        <v>679</v>
      </c>
      <c r="C53" s="270">
        <v>50</v>
      </c>
      <c r="D53" s="170" t="s">
        <v>51</v>
      </c>
    </row>
    <row r="54" spans="1:11" x14ac:dyDescent="0.3">
      <c r="A54" s="270">
        <v>50517</v>
      </c>
      <c r="B54" s="947" t="s">
        <v>1318</v>
      </c>
      <c r="C54" s="270">
        <v>50</v>
      </c>
      <c r="D54" s="170" t="s">
        <v>51</v>
      </c>
      <c r="K54" s="947"/>
    </row>
    <row r="55" spans="1:11" x14ac:dyDescent="0.3">
      <c r="A55" s="270">
        <v>50448</v>
      </c>
      <c r="B55" s="270" t="s">
        <v>680</v>
      </c>
      <c r="C55" s="270">
        <v>50</v>
      </c>
      <c r="D55" s="170" t="s">
        <v>51</v>
      </c>
    </row>
    <row r="56" spans="1:11" x14ac:dyDescent="0.3">
      <c r="A56" s="270">
        <v>50163</v>
      </c>
      <c r="B56" s="270" t="s">
        <v>681</v>
      </c>
      <c r="C56" s="270">
        <v>50</v>
      </c>
      <c r="D56" s="170" t="s">
        <v>51</v>
      </c>
    </row>
    <row r="57" spans="1:11" x14ac:dyDescent="0.3">
      <c r="A57" s="270">
        <v>50165</v>
      </c>
      <c r="B57" s="270" t="s">
        <v>682</v>
      </c>
      <c r="C57" s="270">
        <v>50</v>
      </c>
      <c r="D57" s="170" t="s">
        <v>51</v>
      </c>
    </row>
    <row r="58" spans="1:11" x14ac:dyDescent="0.3">
      <c r="A58" s="270">
        <v>50166</v>
      </c>
      <c r="B58" s="270" t="s">
        <v>683</v>
      </c>
      <c r="C58" s="270">
        <v>50</v>
      </c>
      <c r="D58" s="170" t="s">
        <v>51</v>
      </c>
    </row>
    <row r="59" spans="1:11" x14ac:dyDescent="0.3">
      <c r="A59" s="270">
        <v>50167</v>
      </c>
      <c r="B59" s="270" t="s">
        <v>684</v>
      </c>
      <c r="C59" s="270">
        <v>50</v>
      </c>
      <c r="D59" s="170" t="s">
        <v>51</v>
      </c>
    </row>
    <row r="60" spans="1:11" x14ac:dyDescent="0.3">
      <c r="A60" s="270">
        <v>50171</v>
      </c>
      <c r="B60" s="947" t="s">
        <v>1319</v>
      </c>
      <c r="C60" s="270">
        <v>50</v>
      </c>
      <c r="D60" s="170" t="s">
        <v>51</v>
      </c>
      <c r="K60" s="947"/>
    </row>
    <row r="61" spans="1:11" x14ac:dyDescent="0.3">
      <c r="A61" s="270">
        <v>50440</v>
      </c>
      <c r="B61" s="270" t="s">
        <v>1320</v>
      </c>
      <c r="C61" s="270">
        <v>50</v>
      </c>
      <c r="D61" s="170" t="s">
        <v>51</v>
      </c>
    </row>
    <row r="62" spans="1:11" x14ac:dyDescent="0.3">
      <c r="A62" s="270">
        <v>50175</v>
      </c>
      <c r="B62" s="947" t="s">
        <v>480</v>
      </c>
      <c r="C62" s="270">
        <v>50</v>
      </c>
      <c r="D62" s="170" t="s">
        <v>51</v>
      </c>
      <c r="K62" s="947"/>
    </row>
    <row r="63" spans="1:11" x14ac:dyDescent="0.3">
      <c r="A63" s="270">
        <v>50177</v>
      </c>
      <c r="B63" s="947" t="s">
        <v>1321</v>
      </c>
      <c r="C63" s="270">
        <v>50</v>
      </c>
      <c r="D63" s="170" t="s">
        <v>51</v>
      </c>
      <c r="K63" s="947"/>
    </row>
    <row r="64" spans="1:11" x14ac:dyDescent="0.3">
      <c r="A64" s="270">
        <v>50183</v>
      </c>
      <c r="B64" s="270" t="s">
        <v>685</v>
      </c>
      <c r="C64" s="270">
        <v>50</v>
      </c>
      <c r="D64" s="170" t="s">
        <v>51</v>
      </c>
    </row>
    <row r="65" spans="1:11" x14ac:dyDescent="0.3">
      <c r="A65" s="270">
        <v>50184</v>
      </c>
      <c r="B65" s="270" t="s">
        <v>686</v>
      </c>
      <c r="C65" s="270">
        <v>50</v>
      </c>
      <c r="D65" s="170" t="s">
        <v>51</v>
      </c>
    </row>
    <row r="66" spans="1:11" x14ac:dyDescent="0.3">
      <c r="A66" s="270">
        <v>50186</v>
      </c>
      <c r="B66" s="270" t="s">
        <v>687</v>
      </c>
      <c r="C66" s="270">
        <v>50</v>
      </c>
      <c r="D66" s="170" t="s">
        <v>51</v>
      </c>
    </row>
    <row r="67" spans="1:11" x14ac:dyDescent="0.3">
      <c r="A67" s="270">
        <v>50476</v>
      </c>
      <c r="B67" s="270" t="s">
        <v>553</v>
      </c>
      <c r="C67" s="270">
        <v>50</v>
      </c>
      <c r="D67" s="170" t="s">
        <v>51</v>
      </c>
    </row>
    <row r="68" spans="1:11" x14ac:dyDescent="0.3">
      <c r="A68" s="270">
        <v>50192</v>
      </c>
      <c r="B68" s="270" t="s">
        <v>554</v>
      </c>
      <c r="C68" s="270">
        <v>50</v>
      </c>
      <c r="D68" s="170" t="s">
        <v>51</v>
      </c>
    </row>
    <row r="69" spans="1:11" x14ac:dyDescent="0.3">
      <c r="A69" s="270">
        <v>50518</v>
      </c>
      <c r="B69" s="270" t="s">
        <v>555</v>
      </c>
      <c r="C69" s="270">
        <v>50</v>
      </c>
      <c r="D69" s="170" t="s">
        <v>51</v>
      </c>
    </row>
    <row r="70" spans="1:11" x14ac:dyDescent="0.3">
      <c r="A70" s="270">
        <v>50231</v>
      </c>
      <c r="B70" s="270" t="s">
        <v>556</v>
      </c>
      <c r="C70" s="270">
        <v>50</v>
      </c>
      <c r="D70" s="170" t="s">
        <v>51</v>
      </c>
    </row>
    <row r="71" spans="1:11" x14ac:dyDescent="0.3">
      <c r="A71" s="270">
        <v>50235</v>
      </c>
      <c r="B71" s="270" t="s">
        <v>558</v>
      </c>
      <c r="C71" s="270">
        <v>50</v>
      </c>
      <c r="D71" s="170" t="s">
        <v>51</v>
      </c>
    </row>
    <row r="72" spans="1:11" x14ac:dyDescent="0.3">
      <c r="A72" s="270">
        <v>50233</v>
      </c>
      <c r="B72" s="270" t="s">
        <v>557</v>
      </c>
      <c r="C72" s="270">
        <v>50</v>
      </c>
      <c r="D72" s="170" t="s">
        <v>51</v>
      </c>
    </row>
    <row r="73" spans="1:11" x14ac:dyDescent="0.3">
      <c r="A73" s="270">
        <v>50236</v>
      </c>
      <c r="B73" s="270" t="s">
        <v>559</v>
      </c>
      <c r="C73" s="270">
        <v>50</v>
      </c>
      <c r="D73" s="170" t="s">
        <v>51</v>
      </c>
    </row>
    <row r="74" spans="1:11" x14ac:dyDescent="0.3">
      <c r="A74" s="270">
        <v>50239</v>
      </c>
      <c r="B74" s="270" t="s">
        <v>560</v>
      </c>
      <c r="C74" s="270">
        <v>50</v>
      </c>
      <c r="D74" s="170" t="s">
        <v>51</v>
      </c>
    </row>
    <row r="75" spans="1:11" x14ac:dyDescent="0.3">
      <c r="A75" s="270">
        <v>50249</v>
      </c>
      <c r="B75" s="270" t="s">
        <v>561</v>
      </c>
      <c r="C75" s="270">
        <v>50</v>
      </c>
      <c r="D75" s="170" t="s">
        <v>51</v>
      </c>
    </row>
    <row r="76" spans="1:11" x14ac:dyDescent="0.3">
      <c r="A76" s="270">
        <v>50254</v>
      </c>
      <c r="B76" s="270" t="s">
        <v>1322</v>
      </c>
      <c r="C76" s="270">
        <v>50</v>
      </c>
      <c r="D76" s="170" t="s">
        <v>51</v>
      </c>
    </row>
    <row r="77" spans="1:11" x14ac:dyDescent="0.3">
      <c r="A77" s="270">
        <v>50255</v>
      </c>
      <c r="B77" s="947" t="s">
        <v>1323</v>
      </c>
      <c r="C77" s="270">
        <v>50</v>
      </c>
      <c r="D77" s="170" t="s">
        <v>51</v>
      </c>
      <c r="K77" s="947"/>
    </row>
    <row r="78" spans="1:11" x14ac:dyDescent="0.3">
      <c r="A78" s="270">
        <v>50257</v>
      </c>
      <c r="B78" s="270" t="s">
        <v>690</v>
      </c>
      <c r="C78" s="270">
        <v>50</v>
      </c>
      <c r="D78" s="170" t="s">
        <v>51</v>
      </c>
    </row>
    <row r="79" spans="1:11" x14ac:dyDescent="0.3">
      <c r="A79" s="270">
        <v>50452</v>
      </c>
      <c r="B79" s="947" t="s">
        <v>1324</v>
      </c>
      <c r="C79" s="270">
        <v>50</v>
      </c>
      <c r="D79" s="170" t="s">
        <v>51</v>
      </c>
      <c r="K79" s="947"/>
    </row>
    <row r="80" spans="1:11" x14ac:dyDescent="0.3">
      <c r="A80" s="270">
        <v>50260</v>
      </c>
      <c r="B80" s="270" t="s">
        <v>691</v>
      </c>
      <c r="C80" s="270">
        <v>50</v>
      </c>
      <c r="D80" s="170" t="s">
        <v>51</v>
      </c>
    </row>
    <row r="81" spans="1:11" x14ac:dyDescent="0.3">
      <c r="A81" s="270">
        <v>50268</v>
      </c>
      <c r="B81" s="947" t="s">
        <v>1325</v>
      </c>
      <c r="C81" s="270">
        <v>50</v>
      </c>
      <c r="D81" s="170" t="s">
        <v>51</v>
      </c>
      <c r="K81" s="947"/>
    </row>
    <row r="82" spans="1:11" x14ac:dyDescent="0.3">
      <c r="A82" s="270">
        <v>50269</v>
      </c>
      <c r="B82" s="270" t="s">
        <v>692</v>
      </c>
      <c r="C82" s="270">
        <v>50</v>
      </c>
      <c r="D82" s="170" t="s">
        <v>51</v>
      </c>
    </row>
    <row r="83" spans="1:11" x14ac:dyDescent="0.3">
      <c r="A83" s="270">
        <v>50480</v>
      </c>
      <c r="B83" s="270" t="s">
        <v>693</v>
      </c>
      <c r="C83" s="270">
        <v>50</v>
      </c>
      <c r="D83" s="170" t="s">
        <v>51</v>
      </c>
    </row>
    <row r="84" spans="1:11" x14ac:dyDescent="0.3">
      <c r="A84" s="270">
        <v>50278</v>
      </c>
      <c r="B84" s="270" t="s">
        <v>694</v>
      </c>
      <c r="C84" s="270">
        <v>50</v>
      </c>
      <c r="D84" s="170" t="s">
        <v>51</v>
      </c>
    </row>
    <row r="85" spans="1:11" x14ac:dyDescent="0.3">
      <c r="A85" s="270">
        <v>50280</v>
      </c>
      <c r="B85" s="270" t="s">
        <v>695</v>
      </c>
      <c r="C85" s="270">
        <v>50</v>
      </c>
      <c r="D85" s="170" t="s">
        <v>51</v>
      </c>
    </row>
    <row r="86" spans="1:11" x14ac:dyDescent="0.3">
      <c r="A86" s="270">
        <v>50281</v>
      </c>
      <c r="B86" s="270" t="s">
        <v>696</v>
      </c>
      <c r="C86" s="270">
        <v>50</v>
      </c>
      <c r="D86" s="170" t="s">
        <v>51</v>
      </c>
    </row>
    <row r="87" spans="1:11" x14ac:dyDescent="0.3">
      <c r="A87" s="270">
        <v>50478</v>
      </c>
      <c r="B87" s="270" t="s">
        <v>697</v>
      </c>
      <c r="C87" s="270">
        <v>50</v>
      </c>
      <c r="D87" s="170" t="s">
        <v>51</v>
      </c>
    </row>
    <row r="88" spans="1:11" x14ac:dyDescent="0.3">
      <c r="A88" s="270">
        <v>50283</v>
      </c>
      <c r="B88" s="270" t="s">
        <v>699</v>
      </c>
      <c r="C88" s="270">
        <v>50</v>
      </c>
      <c r="D88" s="170" t="s">
        <v>51</v>
      </c>
    </row>
    <row r="89" spans="1:11" x14ac:dyDescent="0.3">
      <c r="A89" s="270">
        <v>50285</v>
      </c>
      <c r="B89" s="270" t="s">
        <v>700</v>
      </c>
      <c r="C89" s="270">
        <v>50</v>
      </c>
      <c r="D89" s="170" t="s">
        <v>51</v>
      </c>
    </row>
    <row r="90" spans="1:11" x14ac:dyDescent="0.3">
      <c r="A90" s="270">
        <v>50296</v>
      </c>
      <c r="B90" s="270" t="s">
        <v>703</v>
      </c>
      <c r="C90" s="270">
        <v>50</v>
      </c>
      <c r="D90" s="170" t="s">
        <v>51</v>
      </c>
    </row>
    <row r="91" spans="1:11" x14ac:dyDescent="0.3">
      <c r="A91" s="270">
        <v>50297</v>
      </c>
      <c r="B91" s="270" t="s">
        <v>704</v>
      </c>
      <c r="C91" s="270">
        <v>50</v>
      </c>
      <c r="D91" s="170" t="s">
        <v>51</v>
      </c>
    </row>
    <row r="92" spans="1:11" x14ac:dyDescent="0.3">
      <c r="A92" s="270">
        <v>50305</v>
      </c>
      <c r="B92" s="947" t="s">
        <v>1326</v>
      </c>
      <c r="C92" s="270">
        <v>50</v>
      </c>
      <c r="D92" s="170" t="s">
        <v>51</v>
      </c>
      <c r="K92" s="947"/>
    </row>
    <row r="93" spans="1:11" x14ac:dyDescent="0.3">
      <c r="A93" s="270">
        <v>50479</v>
      </c>
      <c r="B93" s="270" t="s">
        <v>705</v>
      </c>
      <c r="C93" s="270">
        <v>50</v>
      </c>
      <c r="D93" s="170" t="s">
        <v>51</v>
      </c>
    </row>
    <row r="94" spans="1:11" x14ac:dyDescent="0.3">
      <c r="A94" s="270">
        <v>50307</v>
      </c>
      <c r="B94" s="270" t="s">
        <v>706</v>
      </c>
      <c r="C94" s="270">
        <v>50</v>
      </c>
      <c r="D94" s="170" t="s">
        <v>51</v>
      </c>
    </row>
    <row r="95" spans="1:11" x14ac:dyDescent="0.3">
      <c r="A95" s="270">
        <v>50310</v>
      </c>
      <c r="B95" s="270" t="s">
        <v>707</v>
      </c>
      <c r="C95" s="270">
        <v>50</v>
      </c>
      <c r="D95" s="170" t="s">
        <v>51</v>
      </c>
    </row>
    <row r="96" spans="1:11" x14ac:dyDescent="0.3">
      <c r="A96" s="270">
        <v>50311</v>
      </c>
      <c r="B96" s="270" t="s">
        <v>708</v>
      </c>
      <c r="C96" s="270">
        <v>50</v>
      </c>
      <c r="D96" s="170" t="s">
        <v>51</v>
      </c>
    </row>
    <row r="97" spans="1:11" x14ac:dyDescent="0.3">
      <c r="A97" s="270">
        <v>50314</v>
      </c>
      <c r="B97" s="270" t="s">
        <v>709</v>
      </c>
      <c r="C97" s="270">
        <v>50</v>
      </c>
      <c r="D97" s="170" t="s">
        <v>51</v>
      </c>
    </row>
    <row r="98" spans="1:11" x14ac:dyDescent="0.3">
      <c r="A98" s="270">
        <v>50316</v>
      </c>
      <c r="B98" s="270" t="s">
        <v>710</v>
      </c>
      <c r="C98" s="270">
        <v>50</v>
      </c>
      <c r="D98" s="170" t="s">
        <v>51</v>
      </c>
    </row>
    <row r="99" spans="1:11" x14ac:dyDescent="0.3">
      <c r="A99" s="270">
        <v>50318</v>
      </c>
      <c r="B99" s="270" t="s">
        <v>711</v>
      </c>
      <c r="C99" s="270">
        <v>50</v>
      </c>
      <c r="D99" s="170" t="s">
        <v>51</v>
      </c>
    </row>
    <row r="100" spans="1:11" x14ac:dyDescent="0.3">
      <c r="A100" s="270">
        <v>50323</v>
      </c>
      <c r="B100" s="270" t="s">
        <v>712</v>
      </c>
      <c r="C100" s="270">
        <v>50</v>
      </c>
      <c r="D100" s="170" t="s">
        <v>51</v>
      </c>
    </row>
    <row r="101" spans="1:11" x14ac:dyDescent="0.3">
      <c r="A101" s="270">
        <v>50321</v>
      </c>
      <c r="B101" s="270" t="s">
        <v>1327</v>
      </c>
      <c r="C101" s="270">
        <v>50</v>
      </c>
      <c r="D101" s="170" t="s">
        <v>51</v>
      </c>
    </row>
    <row r="102" spans="1:11" x14ac:dyDescent="0.3">
      <c r="A102" s="270">
        <v>50325</v>
      </c>
      <c r="B102" s="270" t="s">
        <v>713</v>
      </c>
      <c r="C102" s="270">
        <v>50</v>
      </c>
      <c r="D102" s="170" t="s">
        <v>51</v>
      </c>
    </row>
    <row r="103" spans="1:11" x14ac:dyDescent="0.3">
      <c r="A103" s="270">
        <v>50327</v>
      </c>
      <c r="B103" s="270" t="s">
        <v>714</v>
      </c>
      <c r="C103" s="270">
        <v>50</v>
      </c>
      <c r="D103" s="170" t="s">
        <v>51</v>
      </c>
    </row>
    <row r="104" spans="1:11" x14ac:dyDescent="0.3">
      <c r="A104" s="270">
        <v>50328</v>
      </c>
      <c r="B104" s="270" t="s">
        <v>486</v>
      </c>
      <c r="C104" s="270">
        <v>50</v>
      </c>
      <c r="D104" s="170" t="s">
        <v>51</v>
      </c>
    </row>
    <row r="105" spans="1:11" x14ac:dyDescent="0.3">
      <c r="A105" s="270">
        <v>50332</v>
      </c>
      <c r="B105" s="270" t="s">
        <v>715</v>
      </c>
      <c r="C105" s="270">
        <v>50</v>
      </c>
      <c r="D105" s="170" t="s">
        <v>51</v>
      </c>
    </row>
    <row r="106" spans="1:11" x14ac:dyDescent="0.3">
      <c r="A106" s="270">
        <v>50334</v>
      </c>
      <c r="B106" s="947" t="s">
        <v>1328</v>
      </c>
      <c r="C106" s="270">
        <v>50</v>
      </c>
      <c r="D106" s="170" t="s">
        <v>51</v>
      </c>
      <c r="K106" s="947"/>
    </row>
    <row r="107" spans="1:11" x14ac:dyDescent="0.3">
      <c r="A107" s="270">
        <v>50336</v>
      </c>
      <c r="B107" s="270" t="s">
        <v>1329</v>
      </c>
      <c r="C107" s="270">
        <v>50</v>
      </c>
      <c r="D107" s="170" t="s">
        <v>51</v>
      </c>
    </row>
    <row r="108" spans="1:11" x14ac:dyDescent="0.3">
      <c r="A108" s="270">
        <v>50337</v>
      </c>
      <c r="B108" s="947" t="s">
        <v>1330</v>
      </c>
      <c r="C108" s="270">
        <v>50</v>
      </c>
      <c r="D108" s="170" t="s">
        <v>51</v>
      </c>
      <c r="K108" s="947"/>
    </row>
    <row r="109" spans="1:11" x14ac:dyDescent="0.3">
      <c r="A109" s="270">
        <v>50338</v>
      </c>
      <c r="B109" s="947" t="s">
        <v>1331</v>
      </c>
      <c r="C109" s="270">
        <v>50</v>
      </c>
      <c r="D109" s="170" t="s">
        <v>51</v>
      </c>
      <c r="K109" s="947"/>
    </row>
    <row r="110" spans="1:11" x14ac:dyDescent="0.3">
      <c r="A110" s="270">
        <v>50340</v>
      </c>
      <c r="B110" s="270" t="s">
        <v>1332</v>
      </c>
      <c r="C110" s="270">
        <v>50</v>
      </c>
      <c r="D110" s="170" t="s">
        <v>51</v>
      </c>
    </row>
    <row r="111" spans="1:11" x14ac:dyDescent="0.3">
      <c r="A111" s="270">
        <v>50343</v>
      </c>
      <c r="B111" s="270" t="s">
        <v>716</v>
      </c>
      <c r="C111" s="270">
        <v>50</v>
      </c>
      <c r="D111" s="170" t="s">
        <v>51</v>
      </c>
    </row>
    <row r="112" spans="1:11" x14ac:dyDescent="0.3">
      <c r="A112" s="270">
        <v>50348</v>
      </c>
      <c r="B112" s="270" t="s">
        <v>718</v>
      </c>
      <c r="C112" s="270">
        <v>50</v>
      </c>
      <c r="D112" s="170" t="s">
        <v>51</v>
      </c>
    </row>
    <row r="113" spans="1:11" x14ac:dyDescent="0.3">
      <c r="A113" s="270">
        <v>50541</v>
      </c>
      <c r="B113" s="270" t="s">
        <v>719</v>
      </c>
      <c r="C113" s="270">
        <v>50</v>
      </c>
      <c r="D113" s="170" t="s">
        <v>51</v>
      </c>
    </row>
    <row r="114" spans="1:11" x14ac:dyDescent="0.3">
      <c r="A114" s="270">
        <v>50355</v>
      </c>
      <c r="B114" s="270" t="s">
        <v>720</v>
      </c>
      <c r="C114" s="270">
        <v>50</v>
      </c>
      <c r="D114" s="170" t="s">
        <v>51</v>
      </c>
    </row>
    <row r="115" spans="1:11" x14ac:dyDescent="0.3">
      <c r="A115" s="270">
        <v>50357</v>
      </c>
      <c r="B115" s="947" t="s">
        <v>1333</v>
      </c>
      <c r="C115" s="270">
        <v>50</v>
      </c>
      <c r="D115" s="170" t="s">
        <v>51</v>
      </c>
      <c r="K115" s="947"/>
    </row>
    <row r="116" spans="1:11" x14ac:dyDescent="0.3">
      <c r="A116" s="270">
        <v>50360</v>
      </c>
      <c r="B116" s="270" t="s">
        <v>721</v>
      </c>
      <c r="C116" s="270">
        <v>50</v>
      </c>
      <c r="D116" s="170" t="s">
        <v>51</v>
      </c>
    </row>
    <row r="117" spans="1:11" x14ac:dyDescent="0.3">
      <c r="A117" s="270">
        <v>50370</v>
      </c>
      <c r="B117" s="270" t="s">
        <v>722</v>
      </c>
      <c r="C117" s="270">
        <v>50</v>
      </c>
      <c r="D117" s="170" t="s">
        <v>51</v>
      </c>
    </row>
    <row r="118" spans="1:11" x14ac:dyDescent="0.3">
      <c r="A118" s="270">
        <v>50374</v>
      </c>
      <c r="B118" s="270" t="s">
        <v>1334</v>
      </c>
      <c r="C118" s="270">
        <v>50</v>
      </c>
      <c r="D118" s="170" t="s">
        <v>51</v>
      </c>
    </row>
    <row r="119" spans="1:11" x14ac:dyDescent="0.3">
      <c r="A119" s="270">
        <v>50483</v>
      </c>
      <c r="B119" s="270" t="s">
        <v>1335</v>
      </c>
      <c r="C119" s="270">
        <v>50</v>
      </c>
      <c r="D119" s="170" t="s">
        <v>51</v>
      </c>
    </row>
    <row r="120" spans="1:11" x14ac:dyDescent="0.3">
      <c r="A120" s="270">
        <v>50386</v>
      </c>
      <c r="B120" s="270" t="s">
        <v>1336</v>
      </c>
      <c r="C120" s="270">
        <v>50</v>
      </c>
      <c r="D120" s="170" t="s">
        <v>51</v>
      </c>
    </row>
    <row r="121" spans="1:11" x14ac:dyDescent="0.3">
      <c r="A121" s="270">
        <v>50389</v>
      </c>
      <c r="B121" s="270" t="s">
        <v>724</v>
      </c>
      <c r="C121" s="270">
        <v>50</v>
      </c>
      <c r="D121" s="170" t="s">
        <v>51</v>
      </c>
    </row>
    <row r="122" spans="1:11" x14ac:dyDescent="0.3">
      <c r="A122" s="270">
        <v>50500</v>
      </c>
      <c r="B122" s="270" t="s">
        <v>725</v>
      </c>
      <c r="C122" s="270">
        <v>50</v>
      </c>
      <c r="D122" s="170" t="s">
        <v>51</v>
      </c>
    </row>
    <row r="123" spans="1:11" x14ac:dyDescent="0.3">
      <c r="A123" s="270">
        <v>50390</v>
      </c>
      <c r="B123" s="947" t="s">
        <v>1337</v>
      </c>
      <c r="C123" s="270">
        <v>50</v>
      </c>
      <c r="D123" s="170" t="s">
        <v>51</v>
      </c>
      <c r="K123" s="947"/>
    </row>
    <row r="124" spans="1:11" x14ac:dyDescent="0.3">
      <c r="A124" s="270">
        <v>50396</v>
      </c>
      <c r="B124" s="270" t="s">
        <v>726</v>
      </c>
      <c r="C124" s="270">
        <v>50</v>
      </c>
      <c r="D124" s="170" t="s">
        <v>51</v>
      </c>
    </row>
    <row r="125" spans="1:11" x14ac:dyDescent="0.3">
      <c r="A125" s="270">
        <v>50399</v>
      </c>
      <c r="B125" s="270" t="s">
        <v>728</v>
      </c>
      <c r="C125" s="270">
        <v>50</v>
      </c>
      <c r="D125" s="170" t="s">
        <v>51</v>
      </c>
    </row>
    <row r="126" spans="1:11" x14ac:dyDescent="0.3">
      <c r="A126" s="270">
        <v>50401</v>
      </c>
      <c r="B126" s="270" t="s">
        <v>729</v>
      </c>
      <c r="C126" s="270">
        <v>50</v>
      </c>
      <c r="D126" s="170" t="s">
        <v>51</v>
      </c>
    </row>
    <row r="127" spans="1:11" x14ac:dyDescent="0.3">
      <c r="A127" s="270">
        <v>50402</v>
      </c>
      <c r="B127" s="947" t="s">
        <v>1338</v>
      </c>
      <c r="C127" s="270">
        <v>50</v>
      </c>
      <c r="D127" s="170" t="s">
        <v>51</v>
      </c>
      <c r="K127" s="947"/>
    </row>
    <row r="128" spans="1:11" x14ac:dyDescent="0.3">
      <c r="A128" s="270">
        <v>50486</v>
      </c>
      <c r="B128" s="270" t="s">
        <v>1339</v>
      </c>
      <c r="C128" s="270">
        <v>50</v>
      </c>
      <c r="D128" s="170" t="s">
        <v>51</v>
      </c>
    </row>
    <row r="129" spans="1:11" x14ac:dyDescent="0.3">
      <c r="A129" s="270">
        <v>50409</v>
      </c>
      <c r="B129" s="270" t="s">
        <v>1340</v>
      </c>
      <c r="C129" s="270">
        <v>50</v>
      </c>
      <c r="D129" s="170" t="s">
        <v>51</v>
      </c>
    </row>
    <row r="130" spans="1:11" x14ac:dyDescent="0.3">
      <c r="A130" s="270">
        <v>50420</v>
      </c>
      <c r="B130" s="270" t="s">
        <v>730</v>
      </c>
      <c r="C130" s="270">
        <v>50</v>
      </c>
      <c r="D130" s="170" t="s">
        <v>51</v>
      </c>
    </row>
    <row r="131" spans="1:11" x14ac:dyDescent="0.3">
      <c r="A131" s="270">
        <v>50421</v>
      </c>
      <c r="B131" s="947" t="s">
        <v>1341</v>
      </c>
      <c r="C131" s="270">
        <v>50</v>
      </c>
      <c r="D131" s="170" t="s">
        <v>51</v>
      </c>
      <c r="K131" s="947"/>
    </row>
    <row r="132" spans="1:11" x14ac:dyDescent="0.3">
      <c r="A132" s="270">
        <v>50423</v>
      </c>
      <c r="B132" s="270" t="s">
        <v>731</v>
      </c>
      <c r="C132" s="270">
        <v>50</v>
      </c>
      <c r="D132" s="170" t="s">
        <v>51</v>
      </c>
    </row>
    <row r="133" spans="1:11" x14ac:dyDescent="0.3">
      <c r="A133" s="270">
        <v>50432</v>
      </c>
      <c r="B133" s="947" t="s">
        <v>1342</v>
      </c>
      <c r="C133" s="270">
        <v>50</v>
      </c>
      <c r="D133" s="170" t="s">
        <v>51</v>
      </c>
      <c r="K133" s="947"/>
    </row>
    <row r="134" spans="1:11" x14ac:dyDescent="0.3">
      <c r="A134" s="270">
        <v>50499</v>
      </c>
      <c r="B134" s="947" t="s">
        <v>1343</v>
      </c>
      <c r="C134" s="270">
        <v>50</v>
      </c>
      <c r="D134" s="170" t="s">
        <v>51</v>
      </c>
      <c r="K134" s="947"/>
    </row>
    <row r="135" spans="1:11" x14ac:dyDescent="0.3">
      <c r="A135" s="270">
        <v>5103</v>
      </c>
      <c r="B135" s="270" t="s">
        <v>642</v>
      </c>
      <c r="C135" s="270">
        <v>51</v>
      </c>
      <c r="D135" s="170" t="s">
        <v>51</v>
      </c>
    </row>
    <row r="136" spans="1:11" x14ac:dyDescent="0.3">
      <c r="A136" s="270">
        <v>5107</v>
      </c>
      <c r="B136" s="270" t="s">
        <v>648</v>
      </c>
      <c r="C136" s="270">
        <v>51</v>
      </c>
      <c r="D136" s="170" t="s">
        <v>51</v>
      </c>
    </row>
    <row r="137" spans="1:11" x14ac:dyDescent="0.3">
      <c r="A137" s="270">
        <v>5116</v>
      </c>
      <c r="B137" s="947" t="s">
        <v>1344</v>
      </c>
      <c r="C137" s="270">
        <v>51</v>
      </c>
      <c r="D137" s="170" t="s">
        <v>51</v>
      </c>
      <c r="K137" s="947"/>
    </row>
    <row r="138" spans="1:11" x14ac:dyDescent="0.3">
      <c r="A138" s="270">
        <v>5119</v>
      </c>
      <c r="B138" s="947" t="s">
        <v>1345</v>
      </c>
      <c r="C138" s="270">
        <v>51</v>
      </c>
      <c r="D138" s="170" t="s">
        <v>51</v>
      </c>
      <c r="K138" s="947"/>
    </row>
    <row r="139" spans="1:11" x14ac:dyDescent="0.3">
      <c r="A139" s="270">
        <v>5123</v>
      </c>
      <c r="B139" s="270" t="s">
        <v>1346</v>
      </c>
      <c r="C139" s="270">
        <v>51</v>
      </c>
      <c r="D139" s="170" t="s">
        <v>51</v>
      </c>
    </row>
    <row r="140" spans="1:11" x14ac:dyDescent="0.3">
      <c r="A140" s="270">
        <v>5129</v>
      </c>
      <c r="B140" s="947" t="s">
        <v>1347</v>
      </c>
      <c r="C140" s="270">
        <v>51</v>
      </c>
      <c r="D140" s="170" t="s">
        <v>51</v>
      </c>
      <c r="K140" s="947"/>
    </row>
    <row r="141" spans="1:11" x14ac:dyDescent="0.3">
      <c r="A141" s="270">
        <v>5132</v>
      </c>
      <c r="B141" s="270" t="s">
        <v>665</v>
      </c>
      <c r="C141" s="270">
        <v>51</v>
      </c>
      <c r="D141" s="170" t="s">
        <v>51</v>
      </c>
    </row>
    <row r="142" spans="1:11" x14ac:dyDescent="0.3">
      <c r="A142" s="270">
        <v>5137</v>
      </c>
      <c r="B142" s="270" t="s">
        <v>1348</v>
      </c>
      <c r="C142" s="270">
        <v>51</v>
      </c>
      <c r="D142" s="170" t="s">
        <v>51</v>
      </c>
    </row>
    <row r="143" spans="1:11" x14ac:dyDescent="0.3">
      <c r="A143" s="270">
        <v>5147</v>
      </c>
      <c r="B143" s="270" t="s">
        <v>688</v>
      </c>
      <c r="C143" s="270">
        <v>51</v>
      </c>
      <c r="D143" s="170" t="s">
        <v>51</v>
      </c>
    </row>
    <row r="144" spans="1:11" x14ac:dyDescent="0.3">
      <c r="A144" s="270">
        <v>5156</v>
      </c>
      <c r="B144" s="270" t="s">
        <v>689</v>
      </c>
      <c r="C144" s="270">
        <v>51</v>
      </c>
      <c r="D144" s="170" t="s">
        <v>51</v>
      </c>
    </row>
    <row r="145" spans="1:11" x14ac:dyDescent="0.3">
      <c r="A145" s="270">
        <v>5157</v>
      </c>
      <c r="B145" s="270" t="s">
        <v>1349</v>
      </c>
      <c r="C145" s="270">
        <v>51</v>
      </c>
      <c r="D145" s="170" t="s">
        <v>51</v>
      </c>
    </row>
    <row r="146" spans="1:11" x14ac:dyDescent="0.3">
      <c r="A146" s="270">
        <v>5165</v>
      </c>
      <c r="B146" s="270" t="s">
        <v>698</v>
      </c>
      <c r="C146" s="270">
        <v>51</v>
      </c>
      <c r="D146" s="170" t="s">
        <v>51</v>
      </c>
    </row>
    <row r="147" spans="1:11" x14ac:dyDescent="0.3">
      <c r="A147" s="270">
        <v>5167</v>
      </c>
      <c r="B147" s="270" t="s">
        <v>701</v>
      </c>
      <c r="C147" s="270">
        <v>51</v>
      </c>
      <c r="D147" s="170" t="s">
        <v>51</v>
      </c>
    </row>
    <row r="148" spans="1:11" x14ac:dyDescent="0.3">
      <c r="A148" s="270">
        <v>5170</v>
      </c>
      <c r="B148" s="270" t="s">
        <v>702</v>
      </c>
      <c r="C148" s="270">
        <v>51</v>
      </c>
      <c r="D148" s="170" t="s">
        <v>51</v>
      </c>
    </row>
    <row r="149" spans="1:11" x14ac:dyDescent="0.3">
      <c r="A149" s="270">
        <v>5172</v>
      </c>
      <c r="B149" s="270" t="s">
        <v>1350</v>
      </c>
      <c r="C149" s="270">
        <v>51</v>
      </c>
      <c r="D149" s="170" t="s">
        <v>51</v>
      </c>
    </row>
    <row r="150" spans="1:11" x14ac:dyDescent="0.3">
      <c r="A150" s="270">
        <v>5182</v>
      </c>
      <c r="B150" s="270" t="s">
        <v>717</v>
      </c>
      <c r="C150" s="270">
        <v>51</v>
      </c>
      <c r="D150" s="170" t="s">
        <v>51</v>
      </c>
    </row>
    <row r="151" spans="1:11" x14ac:dyDescent="0.3">
      <c r="A151" s="270">
        <v>5188</v>
      </c>
      <c r="B151" s="270" t="s">
        <v>727</v>
      </c>
      <c r="C151" s="270">
        <v>51</v>
      </c>
      <c r="D151" s="170" t="s">
        <v>51</v>
      </c>
    </row>
    <row r="152" spans="1:11" x14ac:dyDescent="0.3">
      <c r="A152" s="270">
        <v>591706</v>
      </c>
      <c r="B152" s="948" t="s">
        <v>1351</v>
      </c>
      <c r="C152" s="270">
        <v>59</v>
      </c>
      <c r="D152" s="170" t="s">
        <v>51</v>
      </c>
      <c r="K152" s="948"/>
    </row>
    <row r="153" spans="1:11" x14ac:dyDescent="0.3">
      <c r="A153" s="270">
        <v>591612</v>
      </c>
      <c r="B153" s="948" t="s">
        <v>1352</v>
      </c>
      <c r="C153" s="270">
        <v>59</v>
      </c>
      <c r="D153" s="170" t="s">
        <v>51</v>
      </c>
      <c r="K153" s="948"/>
    </row>
    <row r="154" spans="1:11" x14ac:dyDescent="0.3">
      <c r="A154" s="270">
        <v>591604</v>
      </c>
      <c r="B154" s="270" t="s">
        <v>657</v>
      </c>
      <c r="C154" s="270">
        <v>59</v>
      </c>
      <c r="D154" s="170" t="s">
        <v>51</v>
      </c>
    </row>
    <row r="155" spans="1:11" x14ac:dyDescent="0.3">
      <c r="A155" s="270">
        <v>591632</v>
      </c>
      <c r="B155" s="947" t="s">
        <v>669</v>
      </c>
      <c r="C155" s="270">
        <v>59</v>
      </c>
      <c r="D155" s="170" t="s">
        <v>51</v>
      </c>
      <c r="K155" s="947"/>
    </row>
    <row r="156" spans="1:11" x14ac:dyDescent="0.3">
      <c r="A156" s="270">
        <v>591607</v>
      </c>
      <c r="B156" s="270" t="s">
        <v>674</v>
      </c>
      <c r="C156" s="270">
        <v>59</v>
      </c>
      <c r="D156" s="170" t="s">
        <v>51</v>
      </c>
    </row>
    <row r="157" spans="1:11" x14ac:dyDescent="0.3">
      <c r="A157" s="270">
        <v>591613</v>
      </c>
      <c r="B157" s="270" t="s">
        <v>1353</v>
      </c>
      <c r="C157" s="270">
        <v>59</v>
      </c>
      <c r="D157" s="170" t="s">
        <v>51</v>
      </c>
    </row>
    <row r="158" spans="1:11" x14ac:dyDescent="0.3">
      <c r="A158" s="270">
        <v>591616</v>
      </c>
      <c r="B158" s="947" t="s">
        <v>1354</v>
      </c>
      <c r="C158" s="270">
        <v>59</v>
      </c>
      <c r="D158" s="170" t="s">
        <v>51</v>
      </c>
      <c r="K158" s="947"/>
    </row>
    <row r="159" spans="1:11" x14ac:dyDescent="0.3">
      <c r="A159" s="270">
        <v>592368</v>
      </c>
      <c r="B159" s="270" t="s">
        <v>723</v>
      </c>
      <c r="C159" s="270">
        <v>59</v>
      </c>
      <c r="D159" s="170" t="s">
        <v>51</v>
      </c>
    </row>
    <row r="160" spans="1:11" x14ac:dyDescent="0.3">
      <c r="A160" s="270">
        <v>591633</v>
      </c>
      <c r="B160" s="947" t="s">
        <v>1355</v>
      </c>
      <c r="C160" s="270">
        <v>59</v>
      </c>
      <c r="D160" s="170" t="s">
        <v>51</v>
      </c>
      <c r="K160" s="947"/>
    </row>
  </sheetData>
  <sheetProtection algorithmName="SHA-512" hashValue="953c6w7VAQSVJPJWO0tw0CXdFpLsXIRWH9f+h+7abmq+99CMwS74asNKuJ0QcT8sKL2596mK57em/p0GvGRpZg==" saltValue="1ir2S+D0SzDiKiJwfBFh4A==" spinCount="100000" sheet="1" objects="1" scenarios="1"/>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2.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3.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Instructions</vt:lpstr>
      <vt:lpstr>Unit Data from Audit Worksheet</vt:lpstr>
      <vt:lpstr>TD Info Completed by Auditor</vt:lpstr>
      <vt:lpstr>Import</vt:lpstr>
      <vt:lpstr>Performance  Indicators Print</vt:lpstr>
      <vt:lpstr>PI series #</vt:lpstr>
      <vt:lpstr>RSS</vt:lpstr>
      <vt:lpstr>Debt Service Funds (H)</vt:lpstr>
      <vt:lpstr>UAL</vt:lpstr>
      <vt:lpstr>2020 Data(H)</vt:lpstr>
      <vt:lpstr>2019 Data(H)</vt:lpstr>
      <vt:lpstr>Tax Reval Rate</vt:lpstr>
      <vt:lpstr>Unit Names(H)</vt:lpstr>
      <vt:lpstr>Electric trans</vt:lpstr>
      <vt:lpstr>errorCount</vt:lpstr>
      <vt:lpstr>'2020 Data(H)'!Print_Area</vt:lpstr>
      <vt:lpstr>Instructions!Print_Area</vt:lpstr>
      <vt:lpstr>'Performance  Indicators Print'!Print_Area</vt:lpstr>
      <vt:lpstr>'PI series #'!Print_Area</vt:lpstr>
      <vt:lpstr>'Unit Data from Audit Worksheet'!Print_Area</vt:lpstr>
      <vt:lpstr>Print_Selection_Auditor</vt:lpstr>
      <vt:lpstr>'Performance  Indicators Print'!Print_Titles</vt:lpstr>
      <vt:lpstr>'PI series #'!Print_Titles</vt:lpstr>
      <vt:lpstr>'Unit Data from Audit Worksheet'!Print_Titles</vt:lpstr>
      <vt:lpstr>showError</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2021-08-02T19:28:00Z</cp:lastPrinted>
  <dcterms:created xsi:type="dcterms:W3CDTF">2011-03-11T21:05:05Z</dcterms:created>
  <dcterms:modified xsi:type="dcterms:W3CDTF">2021-08-20T00:04:36Z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