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CB8CA567-DA5C-447D-8278-43BC40497FC0}" xr6:coauthVersionLast="46" xr6:coauthVersionMax="46"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Print'!$A$1:$H$9</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L255" i="28" l="1"/>
  <c r="E260" i="28"/>
  <c r="E259" i="28"/>
  <c r="E258" i="28"/>
  <c r="E255" i="28"/>
  <c r="E253" i="28"/>
  <c r="E252" i="28"/>
  <c r="E249" i="28"/>
  <c r="E248" i="28"/>
  <c r="E247" i="28"/>
  <c r="E246" i="28"/>
  <c r="L4" i="28"/>
  <c r="U2" i="29" l="1"/>
  <c r="T2" i="29"/>
  <c r="P2" i="29"/>
  <c r="O2" i="29"/>
  <c r="G89" i="1" l="1"/>
  <c r="E100" i="1" l="1"/>
  <c r="E97" i="1"/>
  <c r="E96" i="1"/>
  <c r="E95" i="1"/>
  <c r="E94" i="1"/>
  <c r="E93" i="1"/>
  <c r="E92" i="1"/>
  <c r="E91" i="1"/>
  <c r="E90" i="1"/>
  <c r="D275" i="42" l="1"/>
  <c r="D277" i="42" s="1"/>
  <c r="E96" i="53" l="1"/>
  <c r="A327" i="1"/>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I38" i="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BH354" i="74" l="1"/>
  <c r="BI354" i="74"/>
  <c r="BJ354" i="74"/>
  <c r="BK354" i="74"/>
  <c r="BL354" i="74"/>
  <c r="BM354" i="74"/>
  <c r="BN354" i="74"/>
  <c r="BO354" i="74"/>
  <c r="BP354" i="74"/>
  <c r="BQ354" i="74"/>
  <c r="BR354" i="74"/>
  <c r="BS354" i="74"/>
  <c r="BT354" i="74"/>
  <c r="BU354" i="74"/>
  <c r="BV354" i="74"/>
  <c r="BW354" i="74"/>
  <c r="BX354" i="74"/>
  <c r="BY354" i="74"/>
  <c r="BZ354" i="74"/>
  <c r="CA354" i="74"/>
  <c r="CB354" i="74"/>
  <c r="BH353" i="74"/>
  <c r="BI353" i="74"/>
  <c r="BJ353" i="74"/>
  <c r="BK353" i="74"/>
  <c r="BL353" i="74"/>
  <c r="BM353" i="74"/>
  <c r="BN353" i="74"/>
  <c r="BO353" i="74"/>
  <c r="BP353" i="74"/>
  <c r="BQ353" i="74"/>
  <c r="BR353" i="74"/>
  <c r="BS353" i="74"/>
  <c r="BT353" i="74"/>
  <c r="BU353" i="74"/>
  <c r="BV353" i="74"/>
  <c r="BW353" i="74"/>
  <c r="BX353" i="74"/>
  <c r="BY353" i="74"/>
  <c r="BZ353" i="74"/>
  <c r="CA353" i="74"/>
  <c r="CB353" i="74"/>
  <c r="BH352" i="74"/>
  <c r="BI352" i="74"/>
  <c r="BJ352" i="74"/>
  <c r="BK352" i="74"/>
  <c r="BL352" i="74"/>
  <c r="BM352" i="74"/>
  <c r="BN352" i="74"/>
  <c r="BO352" i="74"/>
  <c r="BP352" i="74"/>
  <c r="BQ352" i="74"/>
  <c r="BR352" i="74"/>
  <c r="BS352" i="74"/>
  <c r="BT352" i="74"/>
  <c r="BU352" i="74"/>
  <c r="BV352" i="74"/>
  <c r="BW352" i="74"/>
  <c r="BX352" i="74"/>
  <c r="BY352" i="74"/>
  <c r="BZ352" i="74"/>
  <c r="CA352" i="74"/>
  <c r="CB352" i="74"/>
  <c r="BH349" i="74"/>
  <c r="BI349" i="74"/>
  <c r="BJ349" i="74"/>
  <c r="BK349" i="74"/>
  <c r="BL349" i="74"/>
  <c r="BM349" i="74"/>
  <c r="BN349" i="74"/>
  <c r="BO349" i="74"/>
  <c r="BP349" i="74"/>
  <c r="BQ349" i="74"/>
  <c r="BR349" i="74"/>
  <c r="BS349" i="74"/>
  <c r="BT349" i="74"/>
  <c r="BU349" i="74"/>
  <c r="BV349" i="74"/>
  <c r="BW349" i="74"/>
  <c r="BX349" i="74"/>
  <c r="BY349" i="74"/>
  <c r="BZ349" i="74"/>
  <c r="CA349" i="74"/>
  <c r="CB349" i="74"/>
  <c r="BH351" i="74"/>
  <c r="BI351" i="74"/>
  <c r="BJ351" i="74"/>
  <c r="BK351" i="74"/>
  <c r="BL351" i="74"/>
  <c r="BM351" i="74"/>
  <c r="BN351" i="74"/>
  <c r="BO351" i="74"/>
  <c r="BP351" i="74"/>
  <c r="BQ351" i="74"/>
  <c r="BR351" i="74"/>
  <c r="BS351" i="74"/>
  <c r="BT351" i="74"/>
  <c r="BU351" i="74"/>
  <c r="BV351" i="74"/>
  <c r="BW351" i="74"/>
  <c r="BX351" i="74"/>
  <c r="BY351" i="74"/>
  <c r="BZ351" i="74"/>
  <c r="CA351" i="74"/>
  <c r="CB351" i="74"/>
  <c r="BH348" i="74"/>
  <c r="BI348" i="74"/>
  <c r="BJ348" i="74"/>
  <c r="BK348" i="74"/>
  <c r="BL348" i="74"/>
  <c r="BM348" i="74"/>
  <c r="BN348" i="74"/>
  <c r="BO348" i="74"/>
  <c r="BP348" i="74"/>
  <c r="BQ348" i="74"/>
  <c r="BR348" i="74"/>
  <c r="BS348" i="74"/>
  <c r="BT348" i="74"/>
  <c r="BU348" i="74"/>
  <c r="BV348" i="74"/>
  <c r="BW348" i="74"/>
  <c r="BX348" i="74"/>
  <c r="BY348" i="74"/>
  <c r="BZ348" i="74"/>
  <c r="CA348" i="74"/>
  <c r="CB348" i="74"/>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C253" i="28"/>
  <c r="A253" i="28"/>
  <c r="E257" i="28"/>
  <c r="W253" i="28" l="1"/>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9" i="80" s="1"/>
  <c r="L246" i="28"/>
  <c r="E254" i="28"/>
  <c r="C247" i="28"/>
  <c r="C246" i="28"/>
  <c r="A258" i="28"/>
  <c r="A257" i="28"/>
  <c r="A256" i="28"/>
  <c r="A255" i="28"/>
  <c r="A260" i="28"/>
  <c r="A259" i="28"/>
  <c r="A254" i="28"/>
  <c r="A251" i="28"/>
  <c r="A250" i="28"/>
  <c r="A249" i="28"/>
  <c r="A248" i="28"/>
  <c r="A247" i="28"/>
  <c r="A246" i="28"/>
  <c r="W246" i="28" l="1"/>
  <c r="W260" i="28"/>
  <c r="W192" i="28"/>
  <c r="W247" i="28"/>
  <c r="W255" i="28"/>
  <c r="W191" i="28"/>
  <c r="W248" i="28"/>
  <c r="W249" i="28"/>
  <c r="W257" i="28"/>
  <c r="W254" i="28"/>
  <c r="W250" i="28"/>
  <c r="W258" i="28"/>
  <c r="W161" i="28"/>
  <c r="W244" i="28"/>
  <c r="W259" i="28"/>
  <c r="W193" i="28"/>
  <c r="W256" i="28"/>
  <c r="W251" i="28"/>
  <c r="L254" i="28"/>
  <c r="L259" i="28"/>
  <c r="L258" i="28"/>
  <c r="D8" i="80" s="1"/>
  <c r="F8" i="80" s="1"/>
  <c r="L260" i="28"/>
  <c r="L248" i="28"/>
  <c r="M9" i="80" s="1"/>
  <c r="L249" i="28"/>
  <c r="N9" i="80" s="1"/>
  <c r="L250" i="28"/>
  <c r="L256" i="28"/>
  <c r="L251" i="28"/>
  <c r="L257" i="28"/>
  <c r="D9" i="80" l="1"/>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B3" i="71" l="1"/>
  <c r="B13" i="71"/>
  <c r="B3" i="73"/>
  <c r="Y266" i="28"/>
  <c r="B9" i="73" l="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M20" i="73" l="1"/>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<sst xmlns="http://schemas.openxmlformats.org/spreadsheetml/2006/main" count="2810" uniqueCount="1523">
  <si>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</si>
  <si>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</si>
  <si>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</si>
  <si>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</si>
  <si>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</si>
  <si>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</si>
  <si>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</si>
  <si>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</si>
  <si>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</si>
  <si>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</si>
  <si>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</si>
  <si>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</si>
  <si>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</si>
  <si>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</si>
  <si>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</si>
  <si>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</si>
  <si>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</si>
  <si>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</si>
  <si>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</si>
  <si>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</si>
  <si>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</si>
  <si>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</si>
  <si>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</si>
  <si>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</si>
  <si>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</si>
  <si>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</si>
  <si>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</si>
  <si>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</si>
  <si>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</si>
  <si>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</si>
  <si>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</si>
  <si>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</si>
  <si>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</si>
  <si>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</si>
  <si>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</si>
  <si>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</si>
  <si>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</si>
  <si>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</si>
  <si>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</si>
  <si>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</si>
  <si>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</si>
  <si>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</si>
  <si>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</si>
  <si>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</si>
  <si>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</si>
  <si>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</si>
  <si>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</si>
  <si>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</si>
  <si>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</si>
  <si>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</si>
  <si>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</si>
  <si>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</si>
  <si>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</si>
  <si>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</si>
  <si>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</si>
  <si>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</si>
  <si>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</si>
  <si>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</si>
  <si>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</si>
  <si>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</si>
  <si>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</si>
  <si>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</si>
  <si>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</si>
  <si>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</si>
  <si>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</si>
  <si>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</si>
  <si>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</si>
  <si>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</si>
  <si>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</si>
  <si>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</si>
  <si>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</si>
  <si>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</si>
  <si>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</si>
  <si>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</si>
  <si>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</si>
  <si>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</si>
  <si>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</si>
  <si>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</si>
  <si>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</si>
  <si>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</si>
  <si>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</si>
  <si>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</si>
  <si>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</si>
  <si>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</si>
  <si>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</si>
  <si>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</si>
  <si>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</si>
  <si>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</si>
  <si>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</si>
  <si>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</si>
  <si>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</si>
  <si>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</si>
  <si>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</si>
  <si>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</si>
  <si>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</si>
  <si>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</si>
  <si>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</si>
  <si>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</si>
  <si>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</si>
  <si>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</si>
  <si>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</si>
  <si>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</si>
  <si>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</si>
  <si>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</si>
  <si>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</si>
  <si>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</si>
  <si>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</si>
  <si>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</si>
  <si>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</si>
  <si>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</si>
  <si>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</si>
  <si>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</si>
  <si>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</si>
  <si>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</si>
  <si>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</si>
  <si>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</si>
  <si>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</si>
  <si>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</si>
  <si>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</si>
  <si>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</si>
  <si>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</si>
  <si>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</si>
  <si>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</si>
  <si>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</si>
  <si>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</si>
  <si>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</si>
  <si>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</si>
  <si>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</si>
  <si>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</si>
  <si>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</si>
  <si>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</si>
  <si>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</si>
  <si>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</si>
  <si>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</si>
  <si>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</si>
  <si>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</si>
  <si>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</si>
  <si>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</si>
  <si>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</si>
  <si>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</si>
  <si>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</si>
  <si>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</si>
  <si>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</si>
  <si>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</si>
  <si>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</si>
  <si>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</si>
  <si>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</si>
  <si>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</si>
  <si>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</si>
  <si>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</si>
  <si>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</si>
  <si>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</si>
  <si>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</si>
  <si>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</si>
  <si>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</si>
  <si>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</si>
  <si>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</si>
  <si>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</si>
  <si>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</si>
  <si>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</si>
  <si>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</si>
  <si>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</si>
  <si>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</si>
  <si>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</si>
  <si>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</si>
  <si>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</si>
  <si>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</si>
  <si>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</si>
  <si>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</si>
  <si>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</si>
  <si>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</si>
  <si>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</si>
  <si>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</si>
  <si>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</si>
  <si>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</si>
  <si>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</si>
  <si>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</si>
  <si>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</si>
  <si>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</si>
  <si>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</si>
  <si>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</si>
  <si>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</si>
  <si>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</si>
  <si>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</si>
  <si>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</si>
  <si>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</si>
  <si>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</si>
  <si>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</si>
  <si>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</si>
  <si>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</si>
  <si>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</si>
  <si>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</si>
  <si>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</si>
  <si>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</si>
  <si>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</si>
  <si>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</si>
  <si>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</si>
  <si>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</si>
  <si>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</si>
  <si>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</si>
  <si>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</si>
  <si>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</si>
  <si>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</si>
  <si>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</si>
  <si>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</si>
  <si>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</si>
  <si>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</si>
  <si>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</si>
  <si>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</si>
  <si>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</si>
  <si>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</si>
  <si>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</si>
  <si>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</si>
  <si>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</si>
  <si>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</si>
  <si>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</si>
  <si>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</si>
  <si>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</si>
  <si>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</si>
  <si>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</si>
  <si>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</si>
  <si>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</si>
  <si>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</si>
  <si>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</si>
  <si>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</si>
  <si>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</si>
  <si>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</si>
  <si>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</si>
  <si>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</si>
  <si>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</si>
  <si>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</si>
  <si>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</si>
  <si>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</si>
  <si>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</si>
  <si>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</si>
  <si>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</si>
  <si>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</si>
  <si>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</si>
  <si>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</si>
  <si>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</si>
  <si>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</si>
  <si>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</si>
  <si>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</si>
  <si>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</si>
  <si>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</si>
  <si>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</si>
  <si>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</si>
  <si>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</si>
  <si>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</si>
  <si>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</si>
  <si>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</si>
  <si>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</si>
  <si>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</si>
  <si>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</si>
  <si>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</si>
  <si>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</si>
  <si>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</si>
  <si>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</si>
  <si>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</si>
  <si>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</si>
  <si>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</si>
  <si>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</si>
  <si>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</si>
  <si>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</si>
  <si>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</si>
  <si>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</si>
  <si>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</si>
  <si>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</si>
  <si>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</si>
  <si>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</si>
  <si>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</si>
  <si>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</si>
  <si>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</si>
  <si>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</si>
  <si>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</si>
  <si>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</si>
  <si>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</si>
  <si>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</si>
  <si>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</si>
  <si>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</si>
  <si>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</si>
  <si>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</si>
  <si>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</si>
  <si>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</si>
  <si>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</si>
  <si>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</si>
  <si>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</si>
  <si>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</si>
  <si>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</si>
  <si>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</si>
  <si>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</si>
  <si>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</si>
  <si>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</si>
  <si>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</si>
  <si>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</si>
  <si>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</si>
  <si>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</si>
  <si>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C-EF- Current liabilities (Inc. Def Rev, Excl. BANs &amp; Comp Abs)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</si>
  <si>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</si>
  <si>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</si>
  <si>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</si>
  <si>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</si>
  <si>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</si>
  <si>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</si>
  <si>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</si>
  <si>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WS-EF- Current Assets (unrestricted, excl. inventory and prepaids)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</si>
  <si>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</si>
  <si>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</si>
  <si>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</si>
  <si>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</si>
  <si>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</si>
  <si>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</si>
  <si>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</si>
  <si>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</si>
  <si>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</si>
  <si>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</si>
  <si>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</si>
  <si>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</si>
  <si>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</si>
  <si>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</si>
  <si>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</si>
  <si>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</si>
  <si>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</si>
  <si>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</si>
  <si>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</si>
  <si>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</si>
  <si>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</si>
  <si>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</si>
  <si>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</si>
  <si>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</si>
  <si>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</si>
  <si>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</si>
  <si>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</si>
  <si>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</si>
  <si>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</si>
  <si>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</si>
  <si>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</si>
  <si>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</si>
  <si>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</si>
  <si>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</si>
  <si>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</si>
  <si>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</si>
  <si>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</si>
  <si>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</si>
  <si>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</si>
  <si>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</si>
  <si>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</si>
  <si>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</si>
  <si>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</si>
  <si>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</si>
  <si>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</si>
  <si>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</si>
  <si>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</si>
  <si>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</si>
  <si>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</si>
  <si>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</si>
  <si>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</si>
  <si>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</si>
  <si>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</si>
  <si>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</si>
  <si>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</si>
  <si>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</si>
  <si>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</si>
  <si>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Debt Service payments made from Bond investments</t>
  </si>
  <si>
    <t>not currently used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</si>
  <si>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</si>
  <si>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</si>
  <si>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</si>
  <si>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</si>
  <si>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</si>
  <si>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</si>
  <si>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</si>
  <si>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</si>
  <si>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</si>
  <si>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</si>
  <si>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</si>
  <si>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</si>
  <si>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</si>
  <si>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</si>
  <si>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</si>
  <si>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</si>
  <si>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</si>
  <si>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</si>
  <si>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</si>
  <si>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</si>
  <si>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GF- Proceeds from all LT debt issuance (COPs, IPs, Notes, CLs, etc.)</t>
  </si>
  <si>
    <t>Hospital-EF - Patient A/Rec, net</t>
  </si>
  <si>
    <t>Hospital-EF- Total Gross Capital Assets (BS), w/o acc. dep.</t>
  </si>
  <si>
    <t xml:space="preserve">Hospital-EF- Unrestricted Fund Equity/Net Assets </t>
  </si>
  <si>
    <t>E-EF- Current Assets (unrestricted, excl. inventory and prepaids)</t>
  </si>
  <si>
    <t>E-EF- Net Transfers In(Out)- with GF only</t>
  </si>
  <si>
    <t>Hospital-EF - Total Operating Revenues</t>
  </si>
  <si>
    <t xml:space="preserve">Hospital-EF- Total Operating Expenses. May include Interest Exp. </t>
  </si>
  <si>
    <t>Gov - Select Current Liabilities</t>
  </si>
  <si>
    <t>GA- Total Net transfers in(out) (SOA)</t>
  </si>
  <si>
    <t>WS-EF- Total depreciable capital assets, gross</t>
  </si>
  <si>
    <t>GF- Restricted cash &amp; investments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</si>
  <si>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</si>
  <si>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</si>
  <si>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</si>
  <si>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</si>
  <si>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</si>
  <si>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</si>
  <si>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</si>
  <si>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</si>
  <si>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</si>
  <si>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GF - Advance from</t>
  </si>
  <si>
    <t>Local Curr Exp trx to Fund 8</t>
  </si>
  <si>
    <t>Capital Outlay trx to Fund 8</t>
  </si>
  <si>
    <t>County-supplemental school tax reported in Agency fund</t>
  </si>
  <si>
    <t xml:space="preserve">This is a description question that is retained on the data input tab - This information is not uploaded to CCH or our data base </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</si>
  <si>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</si>
  <si>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</si>
  <si>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</si>
  <si>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</si>
  <si>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</si>
  <si>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</si>
  <si>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</si>
  <si>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</si>
  <si>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</si>
  <si>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</si>
  <si>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</si>
  <si>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</si>
  <si>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</si>
  <si>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</si>
  <si>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</si>
  <si>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</si>
  <si>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</si>
  <si>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</si>
  <si>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</si>
  <si>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</si>
  <si>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</si>
  <si>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</si>
  <si>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</si>
  <si>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</si>
  <si>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</si>
  <si>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</si>
  <si>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</si>
  <si>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</si>
  <si>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</si>
  <si>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</si>
  <si>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</si>
  <si>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</si>
  <si>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</si>
  <si>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</si>
  <si>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</si>
  <si>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</si>
  <si>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</si>
  <si>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</si>
  <si>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</si>
  <si>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</si>
  <si>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</si>
  <si>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</si>
  <si>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</si>
  <si>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</si>
  <si>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</si>
  <si>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</si>
  <si>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</si>
  <si>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</si>
  <si>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</si>
  <si>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</si>
  <si>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</si>
  <si>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</si>
  <si>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</si>
  <si>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</si>
  <si>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</si>
  <si>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</si>
  <si>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</si>
  <si>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</si>
  <si>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</si>
  <si>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</si>
  <si>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</si>
  <si>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</si>
  <si>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</si>
  <si>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</si>
  <si>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</si>
  <si>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</si>
  <si>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</si>
  <si>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</si>
  <si>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</si>
  <si>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</si>
  <si>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</si>
  <si>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</si>
  <si>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</si>
  <si>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</si>
  <si>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</si>
  <si>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</si>
  <si>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</si>
  <si>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</si>
  <si>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</si>
  <si>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</si>
  <si>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</si>
  <si>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</si>
  <si>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</si>
  <si>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</si>
  <si>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</si>
  <si>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</si>
  <si>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</si>
  <si>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</si>
  <si>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</si>
  <si>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</si>
  <si>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</si>
  <si>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</si>
  <si>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</si>
  <si>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</si>
  <si>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</si>
  <si>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</si>
  <si>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</si>
  <si>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</si>
  <si>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</si>
  <si>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</si>
  <si>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</si>
  <si>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</si>
  <si>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</si>
  <si>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</si>
  <si>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</si>
  <si>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</si>
  <si>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</si>
  <si>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</si>
  <si>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</si>
  <si>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</si>
  <si>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</si>
  <si>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</si>
  <si>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</si>
  <si>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</si>
  <si>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</si>
  <si>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</si>
  <si>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</si>
  <si>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</si>
  <si>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</si>
  <si>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</si>
  <si>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</si>
  <si>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</si>
  <si>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</si>
  <si>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</si>
  <si>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</si>
  <si>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</si>
  <si>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</si>
  <si>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</si>
  <si>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</si>
  <si>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</si>
  <si>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</si>
  <si>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</si>
  <si>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</si>
  <si>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</si>
  <si>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</si>
  <si>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</si>
  <si>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</si>
  <si>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</si>
  <si>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</si>
  <si>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</si>
  <si>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</si>
  <si>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</si>
  <si>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</si>
  <si>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</si>
  <si>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</si>
  <si>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</si>
  <si>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</si>
  <si>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</si>
  <si>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</si>
  <si>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</si>
  <si>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</si>
  <si>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</si>
  <si>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</si>
  <si>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</si>
  <si>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</si>
  <si>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</si>
  <si>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</si>
  <si>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</si>
  <si>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</si>
  <si>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</si>
  <si>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</si>
  <si>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</si>
  <si>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</si>
  <si>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</si>
  <si>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</si>
  <si>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</si>
  <si>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</si>
  <si>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</si>
  <si>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</si>
  <si>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</si>
  <si>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</si>
  <si>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</si>
  <si>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</si>
  <si>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</si>
  <si>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</si>
  <si>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</si>
  <si>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</si>
  <si>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</si>
  <si>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</si>
  <si>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</si>
  <si>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</si>
  <si>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</si>
  <si>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</si>
  <si>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</si>
  <si>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</si>
  <si>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OPEB- Annual Expenses</t>
  </si>
  <si>
    <t>Amount of the Water Sewer Fund Balance appropriated in next year's budget</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</si>
  <si>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</si>
  <si>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</si>
  <si>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</si>
  <si>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</si>
  <si>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</si>
  <si>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</si>
  <si>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</si>
  <si>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</si>
  <si>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</si>
  <si>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</si>
  <si>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</si>
  <si>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</si>
  <si>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</si>
  <si>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</si>
  <si>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</si>
  <si>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</si>
  <si>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</si>
  <si>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</si>
  <si>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</si>
  <si>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</si>
  <si>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</si>
  <si>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</si>
  <si>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</si>
  <si>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</si>
  <si>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</si>
  <si>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</si>
  <si>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</si>
  <si>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</si>
  <si>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</si>
  <si>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</si>
  <si>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</si>
  <si>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</si>
  <si>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</si>
  <si>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</si>
  <si>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</si>
  <si>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</si>
  <si>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</si>
  <si>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</si>
  <si>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</si>
  <si>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</si>
  <si>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</si>
  <si>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</si>
  <si>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</si>
  <si>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</si>
  <si>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</si>
  <si>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</si>
  <si>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</si>
  <si>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</si>
  <si>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</si>
  <si>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</si>
  <si>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</si>
  <si>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</si>
  <si>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</si>
  <si>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</si>
  <si>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</si>
  <si>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</si>
  <si>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</si>
  <si>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</si>
  <si>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</si>
  <si>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</si>
  <si>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</si>
  <si>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</si>
  <si>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</si>
  <si>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</si>
  <si>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</si>
  <si>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</si>
  <si>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</si>
  <si>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</si>
  <si>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</si>
  <si>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</si>
  <si>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</si>
  <si>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</si>
  <si>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</si>
  <si>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</si>
  <si>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</si>
  <si>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</si>
  <si>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</si>
  <si>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</si>
  <si>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</si>
  <si>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</si>
  <si>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</si>
  <si>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</si>
  <si>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</si>
  <si>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</si>
  <si>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</si>
  <si>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</si>
  <si>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</si>
  <si>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</si>
  <si>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</si>
  <si>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</si>
  <si>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</si>
  <si>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</si>
  <si>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</si>
  <si>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</si>
  <si>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</si>
  <si>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</si>
  <si>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</si>
  <si>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</si>
  <si>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</si>
  <si>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</si>
  <si>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</si>
  <si>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</si>
  <si>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</si>
  <si>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</si>
  <si>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</si>
  <si>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</si>
  <si>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</si>
  <si>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</si>
  <si>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</si>
  <si>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</si>
  <si>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</si>
  <si>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</si>
  <si>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</si>
  <si>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</si>
  <si>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</si>
  <si>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</si>
  <si>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</si>
  <si>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</si>
  <si>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</si>
  <si>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</si>
  <si>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</si>
  <si>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</si>
  <si>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</si>
  <si>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</si>
  <si>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</si>
  <si>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</si>
  <si>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</si>
  <si>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</si>
  <si>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</si>
  <si>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</si>
  <si>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</si>
  <si>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</si>
  <si>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</si>
  <si>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</si>
  <si>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</si>
  <si>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</si>
  <si>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</si>
  <si>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</si>
  <si>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</si>
  <si>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</si>
  <si>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</si>
  <si>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</si>
  <si>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</si>
  <si>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</si>
  <si>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</si>
  <si>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</si>
  <si>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</si>
  <si>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</si>
  <si>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</si>
  <si>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</si>
  <si>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</si>
  <si>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</si>
  <si>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</si>
  <si>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</si>
  <si>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</si>
  <si>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</si>
  <si>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</si>
  <si>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</si>
  <si>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</si>
  <si>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</si>
  <si>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</si>
  <si>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</si>
  <si>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</si>
  <si>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</si>
  <si>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</si>
  <si>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</si>
  <si>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</si>
  <si>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</si>
  <si>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</si>
  <si>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</si>
  <si>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</si>
  <si>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</si>
  <si>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</si>
  <si>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</si>
  <si>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</si>
  <si>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</si>
  <si>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</si>
  <si>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</si>
  <si>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</si>
  <si>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</si>
  <si>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</si>
  <si>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</si>
  <si>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</si>
  <si>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</si>
  <si>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</si>
  <si>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</si>
  <si>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</si>
  <si>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</si>
  <si>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</si>
  <si>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</si>
  <si>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</si>
  <si>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</si>
  <si>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</si>
  <si>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</si>
  <si>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</si>
  <si>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</si>
  <si>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</si>
  <si>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</si>
  <si>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</si>
  <si>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</si>
  <si>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</si>
  <si>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</si>
  <si>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County only question</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</si>
  <si>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</si>
  <si>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</si>
  <si>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</si>
  <si>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</si>
  <si>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</si>
  <si>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</si>
  <si>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</si>
  <si>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</si>
  <si>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</si>
  <si>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</si>
  <si>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</si>
  <si>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</si>
  <si>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</si>
  <si>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</si>
  <si>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</si>
  <si>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</si>
  <si>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</si>
  <si>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</si>
  <si>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</si>
  <si>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</si>
  <si>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</si>
  <si>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</si>
  <si>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</si>
  <si>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</si>
  <si>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</si>
  <si>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</si>
  <si>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</si>
  <si>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</si>
  <si>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</si>
  <si>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</si>
  <si>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</si>
  <si>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</si>
  <si>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</si>
  <si>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DO NOT DELETE THIS ROW</t>
  </si>
  <si>
    <t>hidden data</t>
  </si>
  <si>
    <t>(532+509+20-533-508)</t>
  </si>
  <si>
    <t>GF  FBA without Powell Bill</t>
  </si>
  <si>
    <t>GF FBA% of Exp w/o Powell Bill</t>
  </si>
  <si>
    <t>WS Quick Ratio</t>
  </si>
  <si>
    <t>Operating Net Income (loss) excluding depreciation+ debt service principal</t>
  </si>
  <si>
    <t>Unit Data from Audit worksheet tab : 80/(85+351-49+331)</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</si>
  <si>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</si>
  <si>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</si>
  <si>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</si>
  <si>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</si>
  <si>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</si>
  <si>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</si>
  <si>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</si>
  <si>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</si>
  <si>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</si>
  <si>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</si>
  <si>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</si>
  <si>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</si>
  <si>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</si>
  <si>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</si>
  <si>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</si>
  <si>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</si>
  <si>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</si>
  <si>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</si>
  <si>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</si>
  <si>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</si>
  <si>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</si>
  <si>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</si>
  <si>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</si>
  <si>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</si>
  <si>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</si>
  <si>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</si>
  <si>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</si>
  <si>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</si>
  <si>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</si>
  <si>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</si>
  <si>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</si>
  <si>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</si>
  <si>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</si>
  <si>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</si>
  <si>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</si>
  <si>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</si>
  <si>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</si>
  <si>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</si>
  <si>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</si>
  <si>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</si>
  <si>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</si>
  <si>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</si>
  <si>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</si>
  <si>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</si>
  <si>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</si>
  <si>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</si>
  <si>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</si>
  <si>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</si>
  <si>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</si>
  <si>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</si>
  <si>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</si>
  <si>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</si>
  <si>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</si>
  <si>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</si>
  <si>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</si>
  <si>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</si>
  <si>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</si>
  <si>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</si>
  <si>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</si>
  <si>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</si>
  <si>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</si>
  <si>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</si>
  <si>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</si>
  <si>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</si>
  <si>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</si>
  <si>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</si>
  <si>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</si>
  <si>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</si>
  <si>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</si>
  <si>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</si>
  <si>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</si>
  <si>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</si>
  <si>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</si>
  <si>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</si>
  <si>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</si>
  <si>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</si>
  <si>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</si>
  <si>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</si>
  <si>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</si>
  <si>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</si>
  <si>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</si>
  <si>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</si>
  <si>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</si>
  <si>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</si>
  <si>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</si>
  <si>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</si>
  <si>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</si>
  <si>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</si>
  <si>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</si>
  <si>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</si>
  <si>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</si>
  <si>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</si>
  <si>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</si>
  <si>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</si>
  <si>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</si>
  <si>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</si>
  <si>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</si>
  <si>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</si>
  <si>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</si>
  <si>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</si>
  <si>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</si>
  <si>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</si>
  <si>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</si>
  <si>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</si>
  <si>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</si>
  <si>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</si>
  <si>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</si>
  <si>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</si>
  <si>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</si>
  <si>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</si>
  <si>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</si>
  <si>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</si>
  <si>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</si>
  <si>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</si>
  <si>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</si>
  <si>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</si>
  <si>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</si>
  <si>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</si>
  <si>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</si>
  <si>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</si>
  <si>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</si>
  <si>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</si>
  <si>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</si>
  <si>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</si>
  <si>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</si>
  <si>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</si>
  <si>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</si>
  <si>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</si>
  <si>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</si>
  <si>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</si>
  <si>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</si>
  <si>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</si>
  <si>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</si>
  <si>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</si>
  <si>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</si>
  <si>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</si>
  <si>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</si>
  <si>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</si>
  <si>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</si>
  <si>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</si>
  <si>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</si>
  <si>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</si>
  <si>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</si>
  <si>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</si>
  <si>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</si>
  <si>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</si>
  <si>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</si>
  <si>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</si>
  <si>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</si>
  <si>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</si>
  <si>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</si>
  <si>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</si>
  <si>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</si>
  <si>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</si>
  <si>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</si>
  <si>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</si>
  <si>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</si>
  <si>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</si>
  <si>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</si>
  <si>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</si>
  <si>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</si>
  <si>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</si>
  <si>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</si>
  <si>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</si>
  <si>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</si>
  <si>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</si>
  <si>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</si>
  <si>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</si>
  <si>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</si>
  <si>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</si>
  <si>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</si>
  <si>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</si>
  <si>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</si>
  <si>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</si>
  <si>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</si>
  <si>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</si>
  <si>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</si>
  <si>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</si>
  <si>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</si>
  <si>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</si>
  <si>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</si>
  <si>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</si>
  <si>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</si>
  <si>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</si>
  <si>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</si>
  <si>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</si>
  <si>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</si>
  <si>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</si>
  <si>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</si>
  <si>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</si>
  <si>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</si>
  <si>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</si>
  <si>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</si>
  <si>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</si>
  <si>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</si>
  <si>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</si>
  <si>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</si>
  <si>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</si>
  <si>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</si>
  <si>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</si>
  <si>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</si>
  <si>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</si>
  <si>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</si>
  <si>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</si>
  <si>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</si>
  <si>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</si>
  <si>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</si>
  <si>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</si>
  <si>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</si>
  <si>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</si>
  <si>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</si>
  <si>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</si>
  <si>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</si>
  <si>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</si>
  <si>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</si>
  <si>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</si>
  <si>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</si>
  <si>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</si>
  <si>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</si>
  <si>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</si>
  <si>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</si>
  <si>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</si>
  <si>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</si>
  <si>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</si>
  <si>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</si>
  <si>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</si>
  <si>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</si>
  <si>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</si>
  <si>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</si>
  <si>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</si>
  <si>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</si>
  <si>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</si>
  <si>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</si>
  <si>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</si>
  <si>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</si>
  <si>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</si>
  <si>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</si>
  <si>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</si>
  <si>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</si>
  <si>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</si>
  <si>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</si>
  <si>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</si>
  <si>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</si>
  <si>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</si>
  <si>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</si>
  <si>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</si>
  <si>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</si>
  <si>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</si>
  <si>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</si>
  <si>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</si>
  <si>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</si>
  <si>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</si>
  <si>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</si>
  <si>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</si>
  <si>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</si>
  <si>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</si>
  <si>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</si>
  <si>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</si>
  <si>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</si>
  <si>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</si>
  <si>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</si>
  <si>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</si>
  <si>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</si>
  <si>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</si>
  <si>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</si>
  <si>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</si>
  <si>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</si>
  <si>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</si>
  <si>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</si>
  <si>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</si>
  <si>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</si>
  <si>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</si>
  <si>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</si>
  <si>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</si>
  <si>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</si>
  <si>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</si>
  <si>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</si>
  <si>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</si>
  <si>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</si>
  <si>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</si>
  <si>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</si>
  <si>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</si>
  <si>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</si>
  <si>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</si>
  <si>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</si>
  <si>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</si>
  <si>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</si>
  <si>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</si>
  <si>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</si>
  <si>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</si>
  <si>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</si>
  <si>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</si>
  <si>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</si>
  <si>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</si>
  <si>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</si>
  <si>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</si>
  <si>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</si>
  <si>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</si>
  <si>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</si>
  <si>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</si>
  <si>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</si>
  <si>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</si>
  <si>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</si>
  <si>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</si>
  <si>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</si>
  <si>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</si>
  <si>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</si>
  <si>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</si>
  <si>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</si>
  <si>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</si>
  <si>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</si>
  <si>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</si>
  <si>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</si>
  <si>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</si>
  <si>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</si>
  <si>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</si>
  <si>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</si>
  <si>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</si>
  <si>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</si>
  <si>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</si>
  <si>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</si>
  <si>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</si>
  <si>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</si>
  <si>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</si>
  <si>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</si>
  <si>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</si>
  <si>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</si>
  <si>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</si>
  <si>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</si>
  <si>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</si>
  <si>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</si>
  <si>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</si>
  <si>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</si>
  <si>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</si>
  <si>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</si>
  <si>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</si>
  <si>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</si>
  <si>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</si>
  <si>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</si>
  <si>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</si>
  <si>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</si>
  <si>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</si>
  <si>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</si>
  <si>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</si>
  <si>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</si>
  <si>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</si>
  <si>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</si>
  <si>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</si>
  <si>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</si>
  <si>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</si>
  <si>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</si>
  <si>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</si>
  <si>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</si>
  <si>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</si>
  <si>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</si>
  <si>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</si>
  <si>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</si>
  <si>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</si>
  <si>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</si>
  <si>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</si>
  <si>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</si>
  <si>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</si>
  <si>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</si>
  <si>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</si>
  <si>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</si>
  <si>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</si>
  <si>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</si>
  <si>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</si>
  <si>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</si>
  <si>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</si>
  <si>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</si>
  <si>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</si>
  <si>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</si>
  <si>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</si>
  <si>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</si>
  <si>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</si>
  <si>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</si>
  <si>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</si>
  <si>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</si>
  <si>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</si>
  <si>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</si>
  <si>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</si>
  <si>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</si>
  <si>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</si>
  <si>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</si>
  <si>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</si>
  <si>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</si>
  <si>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</si>
  <si>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</si>
  <si>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</si>
  <si>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</si>
  <si>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</si>
  <si>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</si>
  <si>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</si>
  <si>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</si>
  <si>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</si>
  <si>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</si>
  <si>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</si>
  <si>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</si>
  <si>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</si>
  <si>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</si>
  <si>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</si>
  <si>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</si>
  <si>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</si>
  <si>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</si>
  <si>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</si>
  <si>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</si>
  <si>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</si>
  <si>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</si>
  <si>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</si>
  <si>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</si>
  <si>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</si>
  <si>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</si>
  <si>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</si>
  <si>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</si>
  <si>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</si>
  <si>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</si>
  <si>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</si>
  <si>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</si>
  <si>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</si>
  <si>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</si>
  <si>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</si>
  <si>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</si>
  <si>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</si>
  <si>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</si>
  <si>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</si>
  <si>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</si>
  <si>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</si>
  <si>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</si>
  <si>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</si>
  <si>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</si>
  <si>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</si>
  <si>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</si>
  <si>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</si>
  <si>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</si>
  <si>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</si>
  <si>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</si>
  <si>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</si>
  <si>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</si>
  <si>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</si>
  <si>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</si>
  <si>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</si>
  <si>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</si>
  <si>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</si>
  <si>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</si>
  <si>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</si>
  <si>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</si>
  <si>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</si>
  <si>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</si>
  <si>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</si>
  <si>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</si>
  <si>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</si>
  <si>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</si>
  <si>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</si>
  <si>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</si>
  <si>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</si>
  <si>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</si>
  <si>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</si>
  <si>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</si>
  <si>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</si>
  <si>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</si>
  <si>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</si>
  <si>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</si>
  <si>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</si>
  <si>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</si>
  <si>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</si>
  <si>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</si>
  <si>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</si>
  <si>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</si>
  <si>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</si>
  <si>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</si>
  <si>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</si>
  <si>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</si>
  <si>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</si>
  <si>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</si>
  <si>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</si>
  <si>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</si>
  <si>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</si>
  <si>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</si>
  <si>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</si>
  <si>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</si>
  <si>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</si>
  <si>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</si>
  <si>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</si>
  <si>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</si>
  <si>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</si>
  <si>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</si>
  <si>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</si>
  <si>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</si>
  <si>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</si>
  <si>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</si>
  <si>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</si>
  <si>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</si>
  <si>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</si>
  <si>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</si>
  <si>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</si>
  <si>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</si>
  <si>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</si>
  <si>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</si>
  <si>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</si>
  <si>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</si>
  <si>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</si>
  <si>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</si>
  <si>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</si>
  <si>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</si>
  <si>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</si>
  <si>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</si>
  <si>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</si>
  <si>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</si>
  <si>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</si>
  <si>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</si>
  <si>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</si>
  <si>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</si>
  <si>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</si>
  <si>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</si>
  <si>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</si>
  <si>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</si>
  <si>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</si>
  <si>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</si>
  <si>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</si>
  <si>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</si>
  <si>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</si>
  <si>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</si>
  <si>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</si>
  <si>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</si>
  <si>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</si>
  <si>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</si>
  <si>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</si>
  <si>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</si>
  <si>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</si>
  <si>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</si>
  <si>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</si>
  <si>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</si>
  <si>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</si>
  <si>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</si>
  <si>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</si>
  <si>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</si>
  <si>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</si>
  <si>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</si>
  <si>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</si>
  <si>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</si>
  <si>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</si>
  <si>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</si>
  <si>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</si>
  <si>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</si>
  <si>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</si>
  <si>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</si>
  <si>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</si>
  <si>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ElectriCities of North Carolina</t>
  </si>
  <si>
    <t>Data Import 2019</t>
  </si>
  <si>
    <t>"Comb-Proprietary-Current Assets less restricted assets and deferred outflows
"</t>
  </si>
  <si>
    <t>GF- Total expenditures. Enter as positive.</t>
  </si>
  <si>
    <t>Combined Total of all Proprietary Funds - Change in Net Position</t>
  </si>
  <si>
    <t>WS-EF- Current Assets (unrestricted, incl. inventory and prepaids)</t>
  </si>
  <si>
    <t>WS-EF- Current Liabilities (Incl. unearned rev, Excl. BANs, Comp Abs, Payables from rest. Assets). Enter as positive.</t>
  </si>
  <si>
    <t>E-EF- Current Assets (unrestricted, incl. inventory and prepaids)</t>
  </si>
  <si>
    <t>E-EF- Current liabilites (Incl. unearned rev, Excl. BANs, Comp Abs, Payable from rest. Assets). Enter as positive.</t>
  </si>
  <si>
    <t>WS-EF- Depreciation &amp; Amort. Expense. Enter as positive.</t>
  </si>
  <si>
    <t>WS-EF- Change in Net Assets - per exhibit</t>
  </si>
  <si>
    <t>WS-EF- Cash Flow from Operating Activities</t>
  </si>
  <si>
    <t>E-EF- Depreciation &amp; Amort. Expense. Enter as positive.</t>
  </si>
  <si>
    <t>E-EF- Changes in Net Assets - per exhibit</t>
  </si>
  <si>
    <t>E-EF- Cash Flow from Operating Activities</t>
  </si>
  <si>
    <t>Tax Collection Rate- UNIT-WIDE</t>
  </si>
  <si>
    <t>WS-EF- Unrestricted Cash &amp; Investments</t>
  </si>
  <si>
    <t>WS-EF- Customer Accounts Receivable, net (billed &amp; unbilled)</t>
  </si>
  <si>
    <t>WS-EF- Total LT Debt (ST &amp;LT; External debt only; No Comp Abs, Pension, OPEB) Enter as positive.</t>
  </si>
  <si>
    <t>WS-EF- Total net assets</t>
  </si>
  <si>
    <t>WS-EF- Total Operating Revenues</t>
  </si>
  <si>
    <t>WS-EF- Total Operating Expenses. Enter as positive.</t>
  </si>
  <si>
    <t>WS-EF- Charges For Services</t>
  </si>
  <si>
    <t>WS-EF- Interest Expense. Enter as positive.</t>
  </si>
  <si>
    <t>E-EF- Unrestricted Cash and Investments</t>
  </si>
  <si>
    <t>E-EF- Customer Accounts Receivable (net)</t>
  </si>
  <si>
    <t>E-EF- Gross Capital Assets (notes or stmt)</t>
  </si>
  <si>
    <t>E-EF- Total Operating Revenues</t>
  </si>
  <si>
    <t>E-EF- Total Operating Expenses. Enter as positive.</t>
  </si>
  <si>
    <t>E-EF- Charges for Services</t>
  </si>
  <si>
    <t>E-EF- Interest expense [Enter as positive]</t>
  </si>
  <si>
    <t>E-EF- Electrical Power Purchases. Enter as positive.</t>
  </si>
  <si>
    <t>E-EF- Principal paid on LTD [Enter as positive](SCF)</t>
  </si>
  <si>
    <t>E-EF- Capital Outlay (SCF) Enter as positive.</t>
  </si>
  <si>
    <t>Tax Collection Rate - Excluding Motor Vehicles</t>
  </si>
  <si>
    <t>Tax Collection Rate - Motor Vehicles</t>
  </si>
  <si>
    <t>WS-EF- Capital contributions (only positive)</t>
  </si>
  <si>
    <t>E-EF- Capital contributions (only positive)</t>
  </si>
  <si>
    <t>WS-EF- Land and intangibles</t>
  </si>
  <si>
    <t>WS-EF- CIP (construction in progress)</t>
  </si>
  <si>
    <t>WS-EF- Accumulated Infrastructure Deprec Expense. Enter as positive.</t>
  </si>
  <si>
    <t>WS-EF- Principal paid on LTD [Enter as positive](SCF)</t>
  </si>
  <si>
    <t>WS-EF- Capital Outlay (SCF) Enter as positive.</t>
  </si>
  <si>
    <t>GA- Total LTD (ST &amp;LT, include BANs; No Comp Abs, Pension, OPEB)(Notes) Enter as positive.</t>
  </si>
  <si>
    <t>GA- Total Program revenues (positive only)(SOA)</t>
  </si>
  <si>
    <t>GA- Principal paid on LT Debt (Notes) Enter as positive.</t>
  </si>
  <si>
    <t>GA- Interest of LTD (SOA) Enter as positive.</t>
  </si>
  <si>
    <t>WS-EF- Total Accum Deprec on all capital assets. Enter as positive.</t>
  </si>
  <si>
    <t>WS-EF- Total liabilities. Enter as positive.</t>
  </si>
  <si>
    <t>WS-EF- Total non-operating revenue only (exclude Capital Contributions)</t>
  </si>
  <si>
    <t>WS-EF- Total non-operating expense only (Enter as Positive)</t>
  </si>
  <si>
    <t>WS-EF- Total transfers in</t>
  </si>
  <si>
    <t>WS-EF- Total transfers out (include PILOTS)(Enter as positive).</t>
  </si>
  <si>
    <t>E-EF- Total depreciable capital assets, gross</t>
  </si>
  <si>
    <t>E-EF- Total Accum Deprec on all capital assets. Enter as positive.</t>
  </si>
  <si>
    <t>E-EF- Total LT Debt (ST &amp;LT; External debt only; No Comp Abs, Pension, OPEB) Enter as positive.</t>
  </si>
  <si>
    <t>E-EF- Total liabilites. Enter as positive.</t>
  </si>
  <si>
    <t>E-EF- Total net assets, unrestricted</t>
  </si>
  <si>
    <t>E-EF- Total net assets</t>
  </si>
  <si>
    <t>E-EF- Total non-operating revenue only (exclude Capital Contributions)</t>
  </si>
  <si>
    <t>E-EF- Total non-operating expense only (Enter as positive)</t>
  </si>
  <si>
    <t>E-EF- Total transfers in</t>
  </si>
  <si>
    <t>E-EF- Total transfers out (includes PILOTS)(Enter as positive)</t>
  </si>
  <si>
    <t>GF- Liabilities payable from restricted assets. Enter as positive.</t>
  </si>
  <si>
    <t>GF- Total Intergovernmental revenue (Rest &amp; Unrest)</t>
  </si>
  <si>
    <t>GF- Principal &amp; interest paid on LT debt (Exh. 4) Enter as positive.</t>
  </si>
  <si>
    <t>GF- Transfers out to Debt Service Fund (Enter as positive)</t>
  </si>
  <si>
    <t>WS-EF- Total net assets, unrestricted</t>
  </si>
  <si>
    <t>WS-EF- PPA &amp; restatements to Beg. Bal.</t>
  </si>
  <si>
    <t>E-EF- PPA &amp; restatements to Beg. Bal.</t>
  </si>
  <si>
    <t>WS-EF- Total assets</t>
  </si>
  <si>
    <t>E-EF- Total assets</t>
  </si>
  <si>
    <t>WS-EF- Unearned revenue. Enter as positive.</t>
  </si>
  <si>
    <t>E-EF- Unearned revenue. Enter as positive.</t>
  </si>
  <si>
    <t>Retiree Premiums pd by unit</t>
  </si>
  <si>
    <t>Amt interest-investment income for Gov. Prop. Funds</t>
  </si>
  <si>
    <t>The Unfunded actuarially accrued liability for the unit's LEO benefit.</t>
  </si>
  <si>
    <t>Internal Control-1) no IC issues 2)Immaterial 3) Unit letter for IC 4) Unit visit for IC</t>
  </si>
  <si>
    <t>Charter School Debt issued Outside NC</t>
  </si>
  <si>
    <t xml:space="preserve">Mental Health - Proceeds from LTD </t>
  </si>
  <si>
    <t>Hospital - Budget required if .02</t>
  </si>
  <si>
    <t>Contract Required if .03</t>
  </si>
  <si>
    <t>In your professional opinion do you believe the unit of government can best be served by:
100 - No UL
200 - UL with call
300 - UL call-investing
400 - UL visit
500 - SUL</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</si>
  <si>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</si>
  <si>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</si>
  <si>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</si>
  <si>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</si>
  <si>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Master 2020</t>
  </si>
  <si>
    <t>Data Import 2020</t>
  </si>
  <si>
    <t>C-EF-Current liabilities (Inc. Def Rev, excl. BANS &amp; Comp Abs</t>
  </si>
  <si>
    <t>TD - auditor</t>
  </si>
  <si>
    <t>TD -Internal</t>
  </si>
  <si>
    <t>total expenditures for FBA Calculation</t>
  </si>
  <si>
    <t>Electric Gross Capital Assets</t>
  </si>
  <si>
    <t>Accounts on import but not on Unit Data from Audit Worksheet except 577 which is converted to numeric on import tab.  Another exception is account 620.</t>
  </si>
  <si>
    <t>should total to Unit Data from Audit Worksheet</t>
  </si>
  <si>
    <t>The below accounts will not populated the prior year column on the Unit Data for Audit Worksheet</t>
  </si>
  <si>
    <t xml:space="preserve">Date       </t>
  </si>
  <si>
    <t>Please indicate if you expect your revaluation to increase, decrease, or no change.  If you are not listed please select N/A</t>
  </si>
  <si>
    <t>2020 Data(H)</t>
  </si>
  <si>
    <t>2019 Data(H)</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</si>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</sst>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5"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indexed="8"/>
      <name val="Calibri"/>
      <family val="2"/>
      <scheme val="minor"/>
    </font>
    <font>
      <b/>
      <sz val="10"/>
      <color theme="1"/>
      <name val="Century Schoolbook"/>
      <family val="2"/>
    </font>
    <font>
      <sz val="11"/>
      <color theme="1"/>
      <name val="Calibri"/>
      <family val="2"/>
    </font>
    <font>
      <b/>
      <sz val="11"/>
      <color theme="1"/>
      <name val="Calibri"/>
      <family val="2"/>
    </font>
    <font>
      <b/>
      <sz val="11"/>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99FFCC"/>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theme="0"/>
      </left>
      <right style="medium">
        <color indexed="64"/>
      </right>
      <top style="medium">
        <color indexed="64"/>
      </top>
      <bottom style="medium">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
      <left style="thin">
        <color theme="0"/>
      </left>
      <right style="thick">
        <color theme="0"/>
      </right>
      <top style="medium">
        <color indexed="64"/>
      </top>
      <bottom style="medium">
        <color indexed="64"/>
      </bottom>
      <diagonal/>
    </border>
    <border>
      <left/>
      <right style="thin">
        <color theme="0"/>
      </right>
      <top style="medium">
        <color indexed="64"/>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4" fillId="0" borderId="0"/>
  </cellStyleXfs>
  <cellXfs count="1252">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69"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69"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69"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8" fillId="79" borderId="41" xfId="30099" applyFont="1" applyFill="1" applyBorder="1" applyAlignment="1">
      <alignment vertical="center"/>
    </xf>
    <xf numFmtId="0" fontId="131"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93" xfId="0" applyFont="1" applyFill="1" applyBorder="1" applyAlignment="1">
      <alignment vertical="center" wrapText="1"/>
    </xf>
    <xf numFmtId="0" fontId="40" fillId="78" borderId="87" xfId="0" applyFont="1" applyFill="1" applyBorder="1" applyAlignment="1">
      <alignment wrapText="1"/>
    </xf>
    <xf numFmtId="0" fontId="40" fillId="78" borderId="84" xfId="0" applyFont="1" applyFill="1" applyBorder="1" applyAlignment="1">
      <alignment wrapText="1"/>
    </xf>
    <xf numFmtId="43" fontId="0" fillId="0" borderId="82" xfId="439" applyNumberFormat="1" applyFont="1" applyBorder="1"/>
    <xf numFmtId="0" fontId="40" fillId="78" borderId="96" xfId="0" applyFont="1" applyFill="1" applyBorder="1" applyAlignment="1">
      <alignment horizontal="center"/>
    </xf>
    <xf numFmtId="0" fontId="40" fillId="78" borderId="91" xfId="0" applyFont="1" applyFill="1" applyBorder="1" applyAlignment="1">
      <alignment horizontal="center"/>
    </xf>
    <xf numFmtId="0" fontId="40" fillId="78" borderId="93" xfId="0" applyFont="1" applyFill="1" applyBorder="1" applyAlignment="1">
      <alignment wrapText="1"/>
    </xf>
    <xf numFmtId="0" fontId="40" fillId="78" borderId="100"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30" fillId="26" borderId="0" xfId="30099" applyFont="1" applyFill="1" applyAlignment="1">
      <alignment horizontal="lef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5" xfId="545" applyNumberFormat="1" applyFont="1" applyFill="1" applyBorder="1" applyAlignment="1">
      <alignment horizontal="center"/>
    </xf>
    <xf numFmtId="10" fontId="0" fillId="0" borderId="94"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5"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5"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0" xfId="26000" applyFont="1" applyBorder="1" applyAlignment="1" applyProtection="1">
      <alignment horizontal="right" vertical="top" wrapText="1"/>
    </xf>
    <xf numFmtId="164" fontId="61" fillId="0" borderId="72" xfId="29549" applyNumberFormat="1" applyFont="1" applyBorder="1" applyProtection="1"/>
    <xf numFmtId="167" fontId="46" fillId="0" borderId="0" xfId="29549" applyNumberFormat="1" applyFont="1" applyProtection="1"/>
    <xf numFmtId="43" fontId="61"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3"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3" fillId="78" borderId="99" xfId="0" applyFont="1" applyFill="1" applyBorder="1" applyAlignment="1">
      <alignment wrapText="1"/>
    </xf>
    <xf numFmtId="37" fontId="0" fillId="0" borderId="0" xfId="0" applyNumberFormat="1" applyFont="1" applyBorder="1"/>
    <xf numFmtId="0" fontId="0" fillId="0" borderId="85" xfId="0" applyNumberFormat="1" applyFont="1" applyBorder="1" applyAlignment="1">
      <alignment horizontal="center" wrapText="1"/>
    </xf>
    <xf numFmtId="10" fontId="0" fillId="0" borderId="82" xfId="0" applyNumberFormat="1" applyFont="1" applyBorder="1"/>
    <xf numFmtId="0" fontId="0" fillId="78" borderId="84" xfId="0" applyFont="1" applyFill="1" applyBorder="1"/>
    <xf numFmtId="0" fontId="0" fillId="78" borderId="84" xfId="0" applyFont="1" applyFill="1" applyBorder="1" applyAlignment="1">
      <alignment horizontal="center" wrapText="1"/>
    </xf>
    <xf numFmtId="0" fontId="0" fillId="78" borderId="84" xfId="0" applyFont="1" applyFill="1" applyBorder="1" applyAlignment="1">
      <alignment wrapText="1"/>
    </xf>
    <xf numFmtId="0" fontId="0" fillId="78" borderId="96" xfId="0" applyFont="1" applyFill="1" applyBorder="1" applyAlignment="1">
      <alignment horizontal="center" wrapText="1"/>
    </xf>
    <xf numFmtId="0" fontId="0" fillId="78" borderId="96" xfId="0" applyFont="1" applyFill="1" applyBorder="1"/>
    <xf numFmtId="2" fontId="0" fillId="0" borderId="82" xfId="0" applyNumberFormat="1" applyFont="1" applyBorder="1"/>
    <xf numFmtId="168" fontId="0" fillId="0" borderId="82" xfId="0" applyNumberFormat="1" applyFont="1" applyBorder="1"/>
    <xf numFmtId="2" fontId="0" fillId="80" borderId="86" xfId="0" applyNumberFormat="1" applyFont="1" applyFill="1" applyBorder="1"/>
    <xf numFmtId="0" fontId="0" fillId="78" borderId="91" xfId="0" applyFont="1" applyFill="1" applyBorder="1" applyAlignment="1">
      <alignment horizontal="center" wrapText="1"/>
    </xf>
    <xf numFmtId="0" fontId="0" fillId="78" borderId="91" xfId="0" applyFont="1" applyFill="1" applyBorder="1"/>
    <xf numFmtId="0" fontId="0" fillId="78" borderId="92" xfId="0" applyFont="1" applyFill="1" applyBorder="1"/>
    <xf numFmtId="39" fontId="0" fillId="0" borderId="82" xfId="0" applyNumberFormat="1" applyFont="1" applyBorder="1"/>
    <xf numFmtId="2" fontId="0" fillId="0" borderId="85" xfId="0" applyNumberFormat="1" applyFont="1" applyFill="1" applyBorder="1" applyAlignment="1">
      <alignment horizontal="center"/>
    </xf>
    <xf numFmtId="0" fontId="0" fillId="78" borderId="87" xfId="0" applyFont="1" applyFill="1" applyBorder="1"/>
    <xf numFmtId="0" fontId="0" fillId="78" borderId="87" xfId="0" applyFont="1" applyFill="1" applyBorder="1" applyAlignment="1">
      <alignment horizontal="center" wrapText="1"/>
    </xf>
    <xf numFmtId="0" fontId="0" fillId="78" borderId="87"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4" xfId="0" applyFont="1" applyFill="1" applyBorder="1"/>
    <xf numFmtId="0" fontId="0" fillId="78" borderId="10" xfId="0" quotePrefix="1" applyFont="1" applyFill="1" applyBorder="1" applyAlignment="1">
      <alignment horizontal="center" wrapText="1"/>
    </xf>
    <xf numFmtId="0" fontId="0" fillId="0" borderId="97"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2" xfId="0" applyFont="1" applyFill="1" applyBorder="1" applyAlignment="1">
      <alignment wrapText="1"/>
    </xf>
    <xf numFmtId="0" fontId="0" fillId="0" borderId="98"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2"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3" fillId="78" borderId="103" xfId="0" applyFont="1" applyFill="1" applyBorder="1" applyAlignment="1">
      <alignment wrapText="1"/>
    </xf>
    <xf numFmtId="0" fontId="40" fillId="0" borderId="90" xfId="0" applyFont="1" applyBorder="1" applyAlignment="1">
      <alignment vertical="center"/>
    </xf>
    <xf numFmtId="9" fontId="40" fillId="0" borderId="0" xfId="4688" applyFont="1" applyBorder="1" applyAlignment="1">
      <alignment horizontal="center" wrapText="1"/>
    </xf>
    <xf numFmtId="0" fontId="40" fillId="0" borderId="84" xfId="0" applyFont="1" applyBorder="1" applyAlignment="1">
      <alignment vertical="center"/>
    </xf>
    <xf numFmtId="0" fontId="40" fillId="0" borderId="0" xfId="0" applyFont="1" applyFill="1" applyBorder="1" applyAlignment="1">
      <alignment vertical="center"/>
    </xf>
    <xf numFmtId="0" fontId="40" fillId="0" borderId="87" xfId="0" applyFont="1" applyBorder="1" applyAlignment="1">
      <alignment vertical="center"/>
    </xf>
    <xf numFmtId="0" fontId="40" fillId="0" borderId="82" xfId="0" applyFont="1" applyBorder="1" applyAlignment="1">
      <alignment vertical="center"/>
    </xf>
    <xf numFmtId="0" fontId="163" fillId="73" borderId="92" xfId="0" applyFont="1" applyFill="1" applyBorder="1" applyAlignment="1">
      <alignment horizontal="center" vertical="center" wrapText="1"/>
    </xf>
    <xf numFmtId="0" fontId="40" fillId="78" borderId="12" xfId="0" applyFont="1" applyFill="1" applyBorder="1"/>
    <xf numFmtId="0" fontId="173" fillId="78" borderId="109"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0"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41" fontId="73" fillId="0" borderId="0" xfId="0" applyNumberFormat="1" applyFont="1" applyFill="1" applyBorder="1" applyAlignment="1" applyProtection="1">
      <alignment wrapText="1"/>
      <protection locked="0"/>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38" fontId="0" fillId="0" borderId="0" xfId="0" applyNumberFormat="1" applyFont="1" applyProtection="1">
      <protection locked="0"/>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2"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3"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6" xfId="545" applyNumberFormat="1" applyFont="1" applyFill="1" applyBorder="1"/>
    <xf numFmtId="37" fontId="0" fillId="0" borderId="102" xfId="0" applyNumberFormat="1" applyFont="1" applyFill="1" applyBorder="1" applyAlignment="1">
      <alignment horizontal="center" wrapText="1"/>
    </xf>
    <xf numFmtId="37" fontId="85" fillId="0" borderId="102"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5" xfId="0" applyNumberFormat="1" applyFont="1" applyFill="1" applyBorder="1" applyAlignment="1">
      <alignment horizontal="center" wrapText="1"/>
    </xf>
    <xf numFmtId="37" fontId="0" fillId="0" borderId="88" xfId="0" applyNumberFormat="1" applyFont="1" applyFill="1" applyBorder="1" applyAlignment="1">
      <alignment horizontal="center" wrapText="1"/>
    </xf>
    <xf numFmtId="10" fontId="0" fillId="0" borderId="94"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4" xfId="0" applyFont="1" applyFill="1" applyBorder="1" applyAlignment="1">
      <alignment wrapText="1"/>
    </xf>
    <xf numFmtId="10" fontId="0" fillId="0" borderId="83" xfId="4688" applyNumberFormat="1" applyFont="1" applyFill="1" applyBorder="1"/>
    <xf numFmtId="10" fontId="0" fillId="0" borderId="83" xfId="0" applyNumberFormat="1" applyFont="1" applyFill="1" applyBorder="1" applyAlignment="1">
      <alignment horizontal="center" wrapText="1"/>
    </xf>
    <xf numFmtId="0" fontId="0" fillId="0" borderId="115"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5" xfId="0" applyFont="1" applyFill="1" applyBorder="1" applyAlignment="1">
      <alignment vertical="center" wrapText="1"/>
    </xf>
    <xf numFmtId="0" fontId="0" fillId="78" borderId="95" xfId="0" applyFont="1" applyFill="1" applyBorder="1" applyAlignment="1">
      <alignment vertical="center" wrapText="1"/>
    </xf>
    <xf numFmtId="0" fontId="0" fillId="78" borderId="101" xfId="0" applyFont="1" applyFill="1" applyBorder="1" applyAlignment="1">
      <alignment vertical="center" wrapText="1"/>
    </xf>
    <xf numFmtId="0" fontId="0" fillId="78" borderId="94"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3" xfId="0" quotePrefix="1" applyFont="1" applyFill="1" applyBorder="1" applyAlignment="1">
      <alignment horizontal="center" vertical="center" wrapText="1"/>
    </xf>
    <xf numFmtId="0" fontId="0" fillId="78" borderId="83"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6" xfId="0" applyFont="1" applyFill="1" applyBorder="1" applyAlignment="1">
      <alignment wrapText="1"/>
    </xf>
    <xf numFmtId="9" fontId="0" fillId="78" borderId="83" xfId="4688" applyFont="1" applyFill="1" applyBorder="1" applyAlignment="1">
      <alignment horizontal="center" wrapText="1"/>
    </xf>
    <xf numFmtId="0" fontId="0" fillId="78" borderId="94" xfId="0" applyFont="1" applyFill="1" applyBorder="1" applyAlignment="1">
      <alignment horizontal="center" vertical="center" wrapText="1"/>
    </xf>
    <xf numFmtId="37" fontId="0" fillId="78" borderId="102" xfId="0" applyNumberFormat="1" applyFont="1" applyFill="1" applyBorder="1" applyAlignment="1">
      <alignment horizontal="center" wrapText="1"/>
    </xf>
    <xf numFmtId="0" fontId="0" fillId="78" borderId="97"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7" xfId="0" applyBorder="1"/>
    <xf numFmtId="0" fontId="0" fillId="0" borderId="81" xfId="0" applyBorder="1"/>
    <xf numFmtId="0" fontId="0" fillId="0" borderId="82" xfId="0" applyBorder="1"/>
    <xf numFmtId="0" fontId="0" fillId="0" borderId="120" xfId="0" applyBorder="1"/>
    <xf numFmtId="0" fontId="197"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9" fontId="0" fillId="0" borderId="0" xfId="4688" applyFont="1" applyFill="1" applyBorder="1"/>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0" fontId="0" fillId="0" borderId="123" xfId="0" applyBorder="1"/>
    <xf numFmtId="0" fontId="0" fillId="0" borderId="123" xfId="0" applyBorder="1" applyAlignment="1">
      <alignment horizontal="center" wrapText="1"/>
    </xf>
    <xf numFmtId="0" fontId="0" fillId="0" borderId="123" xfId="0" applyBorder="1" applyAlignment="1">
      <alignment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0" fillId="0" borderId="124" xfId="0" applyBorder="1"/>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7" xfId="0" applyBorder="1"/>
    <xf numFmtId="0" fontId="0" fillId="0" borderId="87" xfId="0" applyBorder="1" applyAlignment="1">
      <alignment wrapText="1"/>
    </xf>
    <xf numFmtId="0" fontId="0" fillId="0" borderId="82" xfId="0" applyBorder="1" applyAlignment="1">
      <alignment wrapText="1"/>
    </xf>
    <xf numFmtId="0" fontId="0" fillId="0" borderId="89" xfId="0" applyBorder="1"/>
    <xf numFmtId="0" fontId="0" fillId="0" borderId="118" xfId="0" applyBorder="1"/>
    <xf numFmtId="0" fontId="38" fillId="78" borderId="57" xfId="0" applyFont="1" applyFill="1" applyBorder="1" applyAlignment="1">
      <alignment vertical="center" wrapText="1"/>
    </xf>
    <xf numFmtId="0" fontId="163" fillId="0" borderId="0" xfId="0" applyFont="1" applyFill="1" applyBorder="1" applyAlignment="1">
      <alignment vertical="center" wrapText="1"/>
    </xf>
    <xf numFmtId="0" fontId="0" fillId="0" borderId="119" xfId="0" applyBorder="1" applyAlignment="1">
      <alignment wrapText="1"/>
    </xf>
    <xf numFmtId="0" fontId="38" fillId="78" borderId="57" xfId="0" applyFont="1" applyFill="1" applyBorder="1" applyAlignment="1">
      <alignment horizontal="justify" vertical="center"/>
    </xf>
    <xf numFmtId="0" fontId="47" fillId="78" borderId="13" xfId="0" applyFont="1" applyFill="1" applyBorder="1" applyAlignment="1">
      <alignment vertical="center" wrapText="1"/>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0" fontId="0" fillId="0" borderId="0" xfId="0" applyNumberFormat="1" applyFont="1" applyFill="1" applyBorder="1" applyAlignment="1">
      <alignment horizontal="center"/>
    </xf>
    <xf numFmtId="0" fontId="65" fillId="0" borderId="0" xfId="0" applyFont="1" applyFill="1" applyBorder="1" applyAlignment="1">
      <alignment vertical="center" wrapText="1"/>
    </xf>
    <xf numFmtId="1" fontId="198" fillId="20" borderId="0" xfId="682" applyNumberFormat="1" applyFont="1" applyFill="1" applyAlignment="1">
      <alignment horizontal="left" vertical="center" wrapText="1"/>
    </xf>
    <xf numFmtId="1" fontId="199" fillId="20" borderId="0" xfId="682" applyNumberFormat="1" applyFont="1" applyFill="1" applyAlignment="1">
      <alignment horizontal="left"/>
    </xf>
    <xf numFmtId="43" fontId="0" fillId="0" borderId="0" xfId="439" applyFont="1"/>
    <xf numFmtId="43" fontId="0" fillId="0" borderId="0" xfId="0" applyNumberFormat="1"/>
    <xf numFmtId="1" fontId="0" fillId="0" borderId="25" xfId="0" applyNumberFormat="1" applyFont="1" applyFill="1" applyBorder="1" applyAlignment="1">
      <alignment horizontal="center" vertical="center" wrapText="1"/>
    </xf>
    <xf numFmtId="0" fontId="0" fillId="0" borderId="0" xfId="0"/>
    <xf numFmtId="0" fontId="0" fillId="0" borderId="0" xfId="0" applyAlignment="1">
      <alignment wrapText="1"/>
    </xf>
    <xf numFmtId="1" fontId="199" fillId="0" borderId="0" xfId="0" applyNumberFormat="1" applyFont="1" applyAlignment="1">
      <alignment horizontal="center"/>
    </xf>
    <xf numFmtId="0" fontId="40" fillId="0" borderId="26" xfId="12387" applyFont="1" applyBorder="1" applyAlignment="1">
      <alignment horizontal="center" vertical="center"/>
    </xf>
    <xf numFmtId="1" fontId="0" fillId="0" borderId="0" xfId="0" applyNumberFormat="1"/>
    <xf numFmtId="0" fontId="62" fillId="0" borderId="0" xfId="0" applyFont="1" applyAlignment="1">
      <alignment horizontal="left" vertical="center" wrapText="1"/>
    </xf>
    <xf numFmtId="4" fontId="0" fillId="0" borderId="0" xfId="0" applyNumberFormat="1"/>
    <xf numFmtId="0" fontId="40" fillId="0" borderId="25" xfId="12387" applyFont="1" applyBorder="1" applyAlignment="1">
      <alignment horizontal="center" vertical="center"/>
    </xf>
    <xf numFmtId="0" fontId="0" fillId="0" borderId="0" xfId="0" applyAlignment="1">
      <alignment horizontal="center"/>
    </xf>
    <xf numFmtId="0" fontId="34" fillId="0" borderId="0" xfId="12387" applyAlignment="1" applyProtection="1">
      <alignment vertical="center" wrapText="1"/>
      <protection locked="0"/>
    </xf>
    <xf numFmtId="0" fontId="11" fillId="0" borderId="0" xfId="841" applyAlignment="1">
      <alignment horizontal="left" vertical="center" wrapText="1"/>
    </xf>
    <xf numFmtId="2" fontId="199" fillId="0" borderId="0" xfId="0" applyNumberFormat="1" applyFont="1" applyAlignment="1">
      <alignment horizontal="center"/>
    </xf>
    <xf numFmtId="38" fontId="199" fillId="0" borderId="0" xfId="0" applyNumberFormat="1" applyFont="1" applyAlignment="1">
      <alignment horizontal="center"/>
    </xf>
    <xf numFmtId="0" fontId="0" fillId="27" borderId="0" xfId="0" applyFill="1"/>
    <xf numFmtId="1" fontId="0" fillId="27" borderId="0" xfId="0" applyNumberFormat="1" applyFill="1"/>
    <xf numFmtId="0" fontId="62" fillId="27" borderId="0" xfId="0" applyFont="1" applyFill="1" applyAlignment="1">
      <alignment horizontal="left" vertical="center" wrapText="1"/>
    </xf>
    <xf numFmtId="38" fontId="199" fillId="27" borderId="0" xfId="0" applyNumberFormat="1" applyFont="1" applyFill="1" applyAlignment="1">
      <alignment horizontal="center"/>
    </xf>
    <xf numFmtId="2" fontId="199" fillId="27" borderId="0" xfId="0" applyNumberFormat="1" applyFont="1" applyFill="1" applyAlignment="1">
      <alignment horizontal="center"/>
    </xf>
    <xf numFmtId="3" fontId="199" fillId="0" borderId="0" xfId="0" applyNumberFormat="1" applyFont="1" applyAlignment="1">
      <alignment horizontal="center"/>
    </xf>
    <xf numFmtId="3" fontId="0" fillId="0" borderId="0" xfId="0" applyNumberFormat="1"/>
    <xf numFmtId="3" fontId="0" fillId="0" borderId="0" xfId="0" applyNumberFormat="1" applyAlignment="1">
      <alignment horizontal="center"/>
    </xf>
    <xf numFmtId="0" fontId="34" fillId="27" borderId="0" xfId="12387" applyFill="1"/>
    <xf numFmtId="3" fontId="199" fillId="27" borderId="0" xfId="0" applyNumberFormat="1" applyFont="1" applyFill="1" applyAlignment="1">
      <alignment horizontal="center"/>
    </xf>
    <xf numFmtId="0" fontId="34" fillId="0" borderId="0" xfId="12387"/>
    <xf numFmtId="0" fontId="40" fillId="0" borderId="0" xfId="12387" applyFont="1" applyAlignment="1">
      <alignment horizontal="center" vertical="center"/>
    </xf>
    <xf numFmtId="0" fontId="0" fillId="36" borderId="0" xfId="0" applyFill="1"/>
    <xf numFmtId="2" fontId="62" fillId="27" borderId="0" xfId="0" applyNumberFormat="1" applyFont="1" applyFill="1" applyAlignment="1">
      <alignment horizontal="left" vertical="center" wrapText="1"/>
    </xf>
    <xf numFmtId="0" fontId="40" fillId="0" borderId="0" xfId="12387" applyFont="1" applyAlignment="1">
      <alignment horizontal="left" vertical="center"/>
    </xf>
    <xf numFmtId="2" fontId="0" fillId="0" borderId="0" xfId="0" applyNumberFormat="1"/>
    <xf numFmtId="0" fontId="65" fillId="0" borderId="0" xfId="0" applyFont="1" applyAlignment="1">
      <alignment horizontal="left" vertical="center" wrapText="1"/>
    </xf>
    <xf numFmtId="0" fontId="40" fillId="0" borderId="25" xfId="0" applyFont="1" applyBorder="1" applyAlignment="1">
      <alignment horizontal="center" vertical="center"/>
    </xf>
    <xf numFmtId="0" fontId="0" fillId="0" borderId="0" xfId="0" applyAlignment="1">
      <alignment vertical="center" wrapText="1"/>
    </xf>
    <xf numFmtId="0" fontId="0" fillId="0" borderId="23" xfId="0" applyBorder="1" applyAlignment="1">
      <alignment vertical="center" wrapText="1"/>
    </xf>
    <xf numFmtId="0" fontId="53" fillId="27" borderId="25" xfId="0" applyFont="1" applyFill="1" applyBorder="1" applyAlignment="1">
      <alignment horizontal="center" vertical="center"/>
    </xf>
    <xf numFmtId="0" fontId="0" fillId="27" borderId="23" xfId="0" applyFill="1" applyBorder="1" applyAlignment="1">
      <alignment vertical="center" wrapText="1"/>
    </xf>
    <xf numFmtId="0" fontId="53" fillId="27" borderId="0" xfId="0" applyFont="1" applyFill="1" applyAlignment="1">
      <alignment horizontal="center" vertical="center"/>
    </xf>
    <xf numFmtId="0" fontId="0" fillId="0" borderId="0" xfId="0" applyAlignment="1">
      <alignment horizontal="left" vertical="center" wrapText="1"/>
    </xf>
    <xf numFmtId="0" fontId="0" fillId="34" borderId="0" xfId="0" applyFill="1"/>
    <xf numFmtId="0" fontId="34" fillId="34" borderId="0" xfId="6178" applyFill="1" applyAlignment="1">
      <alignment wrapText="1"/>
    </xf>
    <xf numFmtId="0" fontId="0" fillId="81" borderId="0" xfId="0" applyFill="1"/>
    <xf numFmtId="0" fontId="34" fillId="81" borderId="0" xfId="6178" applyFill="1" applyAlignment="1">
      <alignment wrapText="1"/>
    </xf>
    <xf numFmtId="0" fontId="34" fillId="80" borderId="0" xfId="6178" applyFill="1" applyAlignment="1">
      <alignment wrapText="1"/>
    </xf>
    <xf numFmtId="4" fontId="199" fillId="0" borderId="0" xfId="0" applyNumberFormat="1" applyFont="1" applyAlignment="1">
      <alignment horizontal="center"/>
    </xf>
    <xf numFmtId="0" fontId="45" fillId="34" borderId="0" xfId="0" applyFont="1" applyFill="1" applyAlignment="1">
      <alignment horizontal="center"/>
    </xf>
    <xf numFmtId="0" fontId="34" fillId="34" borderId="0" xfId="31722" applyFill="1" applyAlignment="1">
      <alignment wrapText="1"/>
    </xf>
    <xf numFmtId="3" fontId="199" fillId="34" borderId="0" xfId="0" applyNumberFormat="1" applyFont="1" applyFill="1" applyAlignment="1">
      <alignment horizontal="center"/>
    </xf>
    <xf numFmtId="0" fontId="45" fillId="23" borderId="0" xfId="0" applyFont="1" applyFill="1" applyAlignment="1">
      <alignment horizontal="center"/>
    </xf>
    <xf numFmtId="0" fontId="34" fillId="23" borderId="0" xfId="31722" applyFill="1" applyAlignment="1">
      <alignment wrapText="1"/>
    </xf>
    <xf numFmtId="3" fontId="199" fillId="23" borderId="0" xfId="0" applyNumberFormat="1" applyFont="1" applyFill="1" applyAlignment="1">
      <alignment horizontal="center"/>
    </xf>
    <xf numFmtId="0" fontId="45" fillId="0" borderId="0" xfId="0" applyFont="1" applyAlignment="1">
      <alignment horizontal="center"/>
    </xf>
    <xf numFmtId="0" fontId="34" fillId="0" borderId="0" xfId="31722" applyAlignment="1">
      <alignment wrapText="1"/>
    </xf>
    <xf numFmtId="0" fontId="59" fillId="80" borderId="0" xfId="31723" applyFont="1" applyFill="1" applyAlignment="1">
      <alignment horizontal="left"/>
    </xf>
    <xf numFmtId="38" fontId="0" fillId="80" borderId="0" xfId="0" applyNumberFormat="1" applyFill="1"/>
    <xf numFmtId="0" fontId="45" fillId="0" borderId="0" xfId="31723" applyFont="1" applyAlignment="1">
      <alignment wrapText="1"/>
    </xf>
    <xf numFmtId="38" fontId="65" fillId="0" borderId="0" xfId="0" applyNumberFormat="1" applyFont="1" applyAlignment="1">
      <alignment horizontal="right" vertical="center" wrapText="1"/>
    </xf>
    <xf numFmtId="0" fontId="35" fillId="0" borderId="0" xfId="31723" applyFont="1" applyAlignment="1">
      <alignment wrapText="1"/>
    </xf>
    <xf numFmtId="0" fontId="34" fillId="0" borderId="0" xfId="31723" applyAlignment="1">
      <alignment wrapText="1"/>
    </xf>
    <xf numFmtId="0" fontId="34" fillId="0" borderId="0" xfId="31723"/>
    <xf numFmtId="38" fontId="0" fillId="0" borderId="0" xfId="0" applyNumberFormat="1"/>
    <xf numFmtId="0" fontId="200" fillId="0" borderId="0" xfId="31723" applyFont="1" applyAlignment="1">
      <alignment wrapText="1"/>
    </xf>
    <xf numFmtId="0" fontId="115" fillId="0" borderId="0" xfId="0" applyFont="1"/>
    <xf numFmtId="10" fontId="0" fillId="0" borderId="0" xfId="0" applyNumberFormat="1"/>
    <xf numFmtId="164" fontId="34" fillId="0" borderId="0" xfId="31723" applyNumberFormat="1"/>
    <xf numFmtId="2" fontId="65" fillId="0" borderId="0" xfId="0" applyNumberFormat="1" applyFont="1" applyAlignment="1">
      <alignment horizontal="center" vertical="center"/>
    </xf>
    <xf numFmtId="0" fontId="200" fillId="0" borderId="0" xfId="0" applyFont="1" applyAlignment="1">
      <alignment wrapText="1"/>
    </xf>
    <xf numFmtId="0" fontId="200" fillId="80" borderId="0" xfId="31723" applyFont="1" applyFill="1" applyAlignment="1">
      <alignment horizontal="center" wrapText="1"/>
    </xf>
    <xf numFmtId="0" fontId="25" fillId="0" borderId="0" xfId="31723" applyFont="1" applyAlignment="1">
      <alignment horizontal="left" vertical="center" wrapText="1"/>
    </xf>
    <xf numFmtId="164" fontId="65" fillId="0" borderId="0" xfId="440" applyNumberFormat="1" applyFont="1" applyFill="1" applyAlignment="1" applyProtection="1">
      <alignment horizontal="center" vertical="center"/>
    </xf>
    <xf numFmtId="0" fontId="0" fillId="0" borderId="0" xfId="0" applyAlignment="1">
      <alignment horizontal="left"/>
    </xf>
    <xf numFmtId="0" fontId="0" fillId="0" borderId="0" xfId="0" applyAlignment="1">
      <alignment horizontal="left" wrapText="1"/>
    </xf>
    <xf numFmtId="0" fontId="200" fillId="80" borderId="0" xfId="31723" applyFont="1" applyFill="1" applyAlignment="1">
      <alignment horizontal="left" wrapText="1"/>
    </xf>
    <xf numFmtId="40" fontId="0" fillId="0" borderId="0" xfId="0" applyNumberFormat="1"/>
    <xf numFmtId="0" fontId="0" fillId="86" borderId="0" xfId="0" applyFill="1"/>
    <xf numFmtId="43" fontId="0" fillId="86" borderId="0" xfId="440" applyFont="1" applyFill="1"/>
    <xf numFmtId="4" fontId="0" fillId="86" borderId="0" xfId="0" applyNumberFormat="1" applyFill="1"/>
    <xf numFmtId="2" fontId="0" fillId="86" borderId="0" xfId="0" applyNumberFormat="1" applyFill="1"/>
    <xf numFmtId="164" fontId="0" fillId="27" borderId="0" xfId="440" applyNumberFormat="1" applyFont="1" applyFill="1"/>
    <xf numFmtId="164" fontId="0" fillId="0" borderId="0" xfId="440" applyNumberFormat="1" applyFont="1" applyFill="1"/>
    <xf numFmtId="0" fontId="202" fillId="0" borderId="0" xfId="0" applyFont="1"/>
    <xf numFmtId="1" fontId="0" fillId="0" borderId="0" xfId="0" applyNumberFormat="1" applyAlignment="1">
      <alignment wrapText="1"/>
    </xf>
    <xf numFmtId="164"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0" fontId="0" fillId="0" borderId="17" xfId="0" applyBorder="1" applyAlignment="1">
      <alignment horizontal="center" wrapText="1"/>
    </xf>
    <xf numFmtId="0" fontId="40" fillId="78" borderId="0" xfId="0" applyFont="1" applyFill="1" applyBorder="1" applyAlignment="1">
      <alignment horizontal="center" wrapText="1"/>
    </xf>
    <xf numFmtId="0" fontId="40" fillId="78" borderId="122" xfId="0" applyFont="1" applyFill="1" applyBorder="1" applyAlignment="1">
      <alignment horizontal="center"/>
    </xf>
    <xf numFmtId="0" fontId="40" fillId="78" borderId="123" xfId="0" applyFont="1" applyFill="1" applyBorder="1" applyAlignment="1">
      <alignment horizontal="center" wrapText="1"/>
    </xf>
    <xf numFmtId="0" fontId="0" fillId="78" borderId="125" xfId="0" applyFill="1" applyBorder="1"/>
    <xf numFmtId="0" fontId="0" fillId="0" borderId="0" xfId="0" applyAlignment="1"/>
    <xf numFmtId="0" fontId="203" fillId="77" borderId="57" xfId="0" applyFont="1" applyFill="1" applyBorder="1" applyAlignment="1">
      <alignment horizontal="center" vertical="center" wrapText="1"/>
    </xf>
    <xf numFmtId="0" fontId="195"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204" fillId="73" borderId="0" xfId="30098" applyFont="1" applyFill="1" applyAlignment="1">
      <alignment vertical="center" wrapText="1"/>
    </xf>
    <xf numFmtId="0" fontId="210" fillId="73" borderId="0" xfId="611" applyFont="1" applyFill="1" applyAlignment="1">
      <alignment vertical="center"/>
    </xf>
    <xf numFmtId="0" fontId="134" fillId="78" borderId="37" xfId="30099" applyFont="1" applyFill="1" applyBorder="1" applyAlignment="1">
      <alignment vertical="top"/>
    </xf>
    <xf numFmtId="0" fontId="134" fillId="78" borderId="38" xfId="30099" applyFont="1" applyFill="1" applyBorder="1" applyAlignment="1">
      <alignment vertical="top"/>
    </xf>
    <xf numFmtId="0" fontId="134" fillId="78" borderId="39" xfId="30099" applyFont="1" applyFill="1" applyBorder="1" applyAlignment="1">
      <alignment vertical="top"/>
    </xf>
    <xf numFmtId="0" fontId="40" fillId="78" borderId="84" xfId="0" applyFont="1" applyFill="1" applyBorder="1" applyAlignment="1">
      <alignment horizontal="left"/>
    </xf>
    <xf numFmtId="0" fontId="0" fillId="78" borderId="84" xfId="0" applyFill="1" applyBorder="1"/>
    <xf numFmtId="0" fontId="0" fillId="78" borderId="126" xfId="0" applyFill="1" applyBorder="1"/>
    <xf numFmtId="0" fontId="47" fillId="0" borderId="0" xfId="0" applyFont="1" applyFill="1" applyBorder="1" applyAlignment="1">
      <alignment vertical="center"/>
    </xf>
    <xf numFmtId="0" fontId="0" fillId="0" borderId="129" xfId="0" applyBorder="1"/>
    <xf numFmtId="0" fontId="40" fillId="0" borderId="130" xfId="0" applyFont="1" applyBorder="1" applyAlignment="1">
      <alignment wrapText="1"/>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0" fillId="0" borderId="0" xfId="0" applyAlignment="1">
      <alignment vertical="center"/>
    </xf>
    <xf numFmtId="0" fontId="36" fillId="0" borderId="0" xfId="611"/>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1" xfId="0" applyFont="1" applyFill="1" applyBorder="1" applyAlignment="1">
      <alignment horizontal="center" vertical="center" wrapText="1"/>
    </xf>
    <xf numFmtId="0" fontId="130" fillId="0" borderId="66" xfId="30099" applyFont="1" applyBorder="1" applyAlignment="1" applyProtection="1">
      <alignment horizontal="left" vertical="center"/>
      <protection locked="0"/>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47" fillId="0" borderId="66" xfId="30099" applyFont="1" applyBorder="1" applyAlignment="1" applyProtection="1">
      <alignment horizontal="left" vertical="center"/>
      <protection locked="0"/>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30" fillId="26" borderId="0" xfId="30099" applyFont="1" applyFill="1" applyAlignment="1">
      <alignment horizontal="left" vertical="center" wrapText="1"/>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36" fillId="26" borderId="0" xfId="30099" applyFont="1" applyFill="1" applyBorder="1" applyAlignment="1">
      <alignment horizontal="left" wrapText="1"/>
    </xf>
    <xf numFmtId="0" fontId="144" fillId="26" borderId="0" xfId="30099" applyFont="1" applyFill="1" applyAlignment="1">
      <alignment horizontal="left" vertical="center" wrapText="1"/>
    </xf>
    <xf numFmtId="0" fontId="120" fillId="0" borderId="66" xfId="29597" applyFill="1" applyBorder="1" applyAlignment="1" applyProtection="1">
      <alignment horizontal="left" vertical="center"/>
      <protection locked="0"/>
    </xf>
    <xf numFmtId="0" fontId="130" fillId="26" borderId="0" xfId="30099" applyFont="1" applyFill="1" applyAlignment="1">
      <alignment horizontal="left" vertical="top" wrapText="1"/>
    </xf>
    <xf numFmtId="0" fontId="130" fillId="26" borderId="71"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30" fillId="26" borderId="0" xfId="30099" applyFont="1" applyFill="1" applyAlignment="1">
      <alignment horizontal="left" wrapText="1"/>
    </xf>
    <xf numFmtId="0" fontId="130" fillId="26" borderId="71" xfId="30099" applyFont="1" applyFill="1" applyBorder="1" applyAlignment="1">
      <alignment horizontal="left" wrapText="1"/>
    </xf>
    <xf numFmtId="0" fontId="135" fillId="78" borderId="40" xfId="30099" applyFont="1" applyFill="1" applyBorder="1" applyAlignment="1">
      <alignment horizontal="left" wrapText="1"/>
    </xf>
    <xf numFmtId="0" fontId="135" fillId="78" borderId="41" xfId="30099" applyFont="1" applyFill="1" applyBorder="1" applyAlignment="1">
      <alignment horizontal="left" wrapText="1"/>
    </xf>
    <xf numFmtId="0" fontId="135" fillId="78" borderId="42" xfId="30099" applyFont="1" applyFill="1" applyBorder="1" applyAlignment="1">
      <alignment horizontal="left"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50"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0" xfId="0" applyFont="1" applyFill="1" applyBorder="1" applyAlignment="1">
      <alignment horizontal="center" vertical="center" wrapText="1"/>
    </xf>
    <xf numFmtId="0" fontId="163" fillId="73" borderId="121"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0" xfId="0" applyFont="1" applyFill="1" applyBorder="1" applyAlignment="1">
      <alignment horizontal="center" vertical="center" wrapText="1"/>
    </xf>
    <xf numFmtId="0" fontId="40" fillId="78" borderId="121"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78" borderId="57" xfId="0" applyFont="1" applyFill="1" applyBorder="1" applyAlignment="1">
      <alignment horizontal="left"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27"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73" xfId="0" applyFont="1" applyBorder="1" applyAlignment="1">
      <alignment horizontal="center" vertical="center"/>
    </xf>
    <xf numFmtId="0" fontId="40" fillId="0" borderId="74" xfId="0" applyFont="1" applyBorder="1" applyAlignment="1">
      <alignment horizontal="center" vertical="center"/>
    </xf>
    <xf numFmtId="0" fontId="40" fillId="0" borderId="76" xfId="0" applyFont="1" applyBorder="1" applyAlignment="1">
      <alignment horizontal="center" vertical="center"/>
    </xf>
    <xf numFmtId="0" fontId="40" fillId="0" borderId="17" xfId="0" applyFont="1" applyBorder="1" applyAlignment="1">
      <alignment horizontal="center" vertical="center"/>
    </xf>
    <xf numFmtId="0" fontId="40" fillId="0" borderId="83" xfId="0" applyFont="1" applyBorder="1" applyAlignment="1">
      <alignment horizontal="center" vertical="center"/>
    </xf>
    <xf numFmtId="0" fontId="40" fillId="0" borderId="128" xfId="0" applyFont="1" applyBorder="1" applyAlignment="1">
      <alignment horizontal="center" vertical="center"/>
    </xf>
    <xf numFmtId="0" fontId="50" fillId="0" borderId="10" xfId="0" applyFont="1" applyBorder="1" applyAlignment="1">
      <alignment horizontal="center" vertical="center"/>
    </xf>
    <xf numFmtId="0" fontId="40" fillId="78" borderId="106" xfId="0" applyFont="1" applyFill="1" applyBorder="1" applyAlignment="1">
      <alignment horizontal="left" wrapText="1"/>
    </xf>
    <xf numFmtId="0" fontId="40" fillId="78" borderId="102"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3"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4"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7" xfId="0" applyFont="1" applyFill="1" applyBorder="1" applyAlignment="1">
      <alignment horizontal="center" vertical="center" wrapText="1"/>
    </xf>
    <xf numFmtId="0" fontId="164" fillId="73" borderId="108"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200" fillId="0" borderId="89" xfId="0" applyFont="1" applyBorder="1" applyAlignment="1">
      <alignment horizontal="left" vertical="center" wrapText="1"/>
    </xf>
    <xf numFmtId="0" fontId="200" fillId="0" borderId="0" xfId="0" applyFont="1" applyAlignment="1">
      <alignment horizontal="left" vertical="center" wrapText="1"/>
    </xf>
    <xf numFmtId="0" fontId="200" fillId="0" borderId="15" xfId="0" applyFont="1" applyBorder="1" applyAlignment="1">
      <alignment horizontal="left" vertical="center" wrapText="1"/>
    </xf>
    <xf numFmtId="0" fontId="201" fillId="0" borderId="15" xfId="0" applyFont="1" applyBorder="1" applyAlignment="1">
      <alignment horizontal="left" vertical="center" wrapText="1"/>
    </xf>
    <xf numFmtId="0" fontId="201" fillId="0" borderId="0" xfId="0" applyFont="1" applyAlignment="1">
      <alignment horizontal="left" vertical="center"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3" xfId="26000" applyFont="1" applyBorder="1" applyAlignment="1" applyProtection="1">
      <alignment horizontal="left"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61" fillId="0" borderId="41" xfId="26000" applyFont="1" applyBorder="1" applyAlignment="1" applyProtection="1">
      <alignment horizontal="left"/>
    </xf>
    <xf numFmtId="0" fontId="152" fillId="26" borderId="0" xfId="30099" applyFont="1" applyFill="1" applyAlignment="1">
      <alignment vertical="center" wrapText="1"/>
    </xf>
    <xf numFmtId="0" fontId="156" fillId="26" borderId="0" xfId="30099" applyFont="1" applyFill="1" applyAlignment="1">
      <alignment horizontal="left" vertical="center" wrapText="1"/>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3 2" xfId="31723" xr:uid="{86C710C6-A13E-42C0-8303-068CCE009B4A}"/>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FE4468C1-8BB6-4D99-ACD1-9D0AB47D30BB}"/>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15"/>
      <tableStyleElement type="headerRow" dxfId="114"/>
      <tableStyleElement type="firstRowStripe" dxfId="113"/>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1895471</xdr:colOff>
      <xdr:row>46</xdr:row>
      <xdr:rowOff>380999</xdr:rowOff>
    </xdr:from>
    <xdr:to>
      <xdr:col>5</xdr:col>
      <xdr:colOff>3449951</xdr:colOff>
      <xdr:row>56</xdr:row>
      <xdr:rowOff>161924</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791196" y="4905374"/>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993" customWidth="1"/>
    <col min="2" max="2" width="187.109375" style="993" customWidth="1"/>
    <col min="3" max="4" width="9.109375" style="993" hidden="1" customWidth="1"/>
    <col min="5" max="5" width="2.33203125" style="993" customWidth="1"/>
    <col min="6" max="6" width="8.109375" style="993" customWidth="1"/>
    <col min="7" max="16384" width="9.109375" style="993"/>
  </cols>
  <sheetData>
    <row r="1" spans="2:14" ht="9.6" customHeight="1" thickBot="1" x14ac:dyDescent="0.35">
      <c r="B1" s="177"/>
    </row>
    <row r="2" spans="2:14" ht="91.8" customHeight="1" thickBot="1" x14ac:dyDescent="0.35">
      <c r="B2" s="1081" t="s">
        <v>1493</v>
      </c>
    </row>
    <row r="3" spans="2:14" ht="61.2" customHeight="1" x14ac:dyDescent="0.3">
      <c r="B3" s="188" t="s">
        <v>1494</v>
      </c>
    </row>
    <row r="4" spans="2:14" ht="83.4" customHeight="1" x14ac:dyDescent="0.4">
      <c r="B4" s="188" t="s">
        <v>1495</v>
      </c>
      <c r="F4" s="1082"/>
      <c r="G4" s="1082"/>
      <c r="H4" s="1082"/>
      <c r="I4" s="1082"/>
      <c r="J4" s="1082"/>
      <c r="K4" s="1082"/>
      <c r="L4" s="1082"/>
      <c r="M4" s="1082"/>
      <c r="N4" s="1082"/>
    </row>
    <row r="5" spans="2:14" ht="58.2" customHeight="1" x14ac:dyDescent="0.3">
      <c r="B5" s="188" t="s">
        <v>1496</v>
      </c>
    </row>
    <row r="6" spans="2:14" ht="117.6" customHeight="1" x14ac:dyDescent="0.3">
      <c r="B6" s="178" t="s">
        <v>1497</v>
      </c>
    </row>
    <row r="7" spans="2:14" ht="25.95" customHeight="1" x14ac:dyDescent="0.3">
      <c r="B7" s="190" t="s">
        <v>614</v>
      </c>
    </row>
    <row r="8" spans="2:14" ht="49.2" customHeight="1" x14ac:dyDescent="0.3">
      <c r="B8" s="1083" t="s">
        <v>1498</v>
      </c>
    </row>
    <row r="9" spans="2:14" ht="42.6" customHeight="1" x14ac:dyDescent="0.3">
      <c r="B9" s="1083" t="s">
        <v>615</v>
      </c>
    </row>
    <row r="10" spans="2:14" s="1109" customFormat="1" ht="34.200000000000003" customHeight="1" x14ac:dyDescent="0.3">
      <c r="B10" s="1084" t="s">
        <v>616</v>
      </c>
    </row>
    <row r="11" spans="2:14" s="1109" customFormat="1" ht="55.8" customHeight="1" x14ac:dyDescent="0.3">
      <c r="B11" s="1085" t="s">
        <v>1499</v>
      </c>
    </row>
    <row r="12" spans="2:14" ht="36" customHeight="1" x14ac:dyDescent="0.3">
      <c r="B12" s="1085" t="s">
        <v>1500</v>
      </c>
    </row>
    <row r="13" spans="2:14" ht="39" customHeight="1" x14ac:dyDescent="0.3">
      <c r="B13" s="1086" t="s">
        <v>1501</v>
      </c>
    </row>
    <row r="14" spans="2:14" ht="25.95" customHeight="1" x14ac:dyDescent="0.3">
      <c r="B14" s="190" t="s">
        <v>617</v>
      </c>
    </row>
    <row r="15" spans="2:14" x14ac:dyDescent="0.3">
      <c r="B15" s="177"/>
    </row>
    <row r="16" spans="2:14" x14ac:dyDescent="0.3">
      <c r="B16" s="1087" t="s">
        <v>37</v>
      </c>
    </row>
    <row r="17" spans="2:2" ht="15.6" customHeight="1" x14ac:dyDescent="0.3">
      <c r="B17" s="1088" t="s">
        <v>1502</v>
      </c>
    </row>
    <row r="18" spans="2:2" x14ac:dyDescent="0.3">
      <c r="B18" s="1089"/>
    </row>
    <row r="19" spans="2:2" x14ac:dyDescent="0.3">
      <c r="B19" s="1087" t="s">
        <v>38</v>
      </c>
    </row>
    <row r="20" spans="2:2" ht="15.6" customHeight="1" x14ac:dyDescent="0.3">
      <c r="B20" s="1090" t="s">
        <v>413</v>
      </c>
    </row>
    <row r="21" spans="2:2" ht="13.2" customHeight="1" x14ac:dyDescent="0.3">
      <c r="B21" s="177"/>
    </row>
    <row r="22" spans="2:2" ht="25.95" customHeight="1" x14ac:dyDescent="0.3">
      <c r="B22" s="190" t="s">
        <v>618</v>
      </c>
    </row>
    <row r="23" spans="2:2" s="1109" customFormat="1" ht="72.599999999999994" customHeight="1" x14ac:dyDescent="0.3">
      <c r="B23" s="1083" t="s">
        <v>1503</v>
      </c>
    </row>
    <row r="24" spans="2:2" s="1109" customFormat="1" ht="84.6" customHeight="1" x14ac:dyDescent="0.3">
      <c r="B24" s="1083" t="s">
        <v>1504</v>
      </c>
    </row>
    <row r="25" spans="2:2" s="1109" customFormat="1" ht="78.599999999999994" customHeight="1" x14ac:dyDescent="0.3">
      <c r="B25" s="1083" t="s">
        <v>619</v>
      </c>
    </row>
    <row r="26" spans="2:2" ht="15" x14ac:dyDescent="0.3">
      <c r="B26" s="180" t="s">
        <v>1505</v>
      </c>
    </row>
    <row r="27" spans="2:2" ht="8.4" customHeight="1" x14ac:dyDescent="0.3">
      <c r="B27" s="179"/>
    </row>
    <row r="28" spans="2:2" ht="25.95" customHeight="1" x14ac:dyDescent="0.3">
      <c r="B28" s="190" t="s">
        <v>1506</v>
      </c>
    </row>
    <row r="29" spans="2:2" ht="28.8" customHeight="1" x14ac:dyDescent="0.3">
      <c r="B29" s="191" t="s">
        <v>1507</v>
      </c>
    </row>
    <row r="30" spans="2:2" ht="31.8" customHeight="1" x14ac:dyDescent="0.3">
      <c r="B30" s="191" t="s">
        <v>1508</v>
      </c>
    </row>
    <row r="31" spans="2:2" ht="30.6" customHeight="1" x14ac:dyDescent="0.3">
      <c r="B31" s="1091" t="s">
        <v>1509</v>
      </c>
    </row>
    <row r="32" spans="2:2" ht="25.2" customHeight="1" x14ac:dyDescent="0.3">
      <c r="B32" s="1091" t="s">
        <v>1510</v>
      </c>
    </row>
    <row r="33" spans="2:7" ht="27.6" customHeight="1" x14ac:dyDescent="0.3">
      <c r="B33" s="1092" t="s">
        <v>1511</v>
      </c>
    </row>
    <row r="34" spans="2:7" ht="31.8" customHeight="1" x14ac:dyDescent="0.3">
      <c r="B34" s="1093" t="s">
        <v>1512</v>
      </c>
    </row>
    <row r="35" spans="2:7" ht="60" customHeight="1" x14ac:dyDescent="0.3">
      <c r="B35" s="191" t="s">
        <v>1513</v>
      </c>
    </row>
    <row r="36" spans="2:7" ht="25.95" customHeight="1" x14ac:dyDescent="0.3">
      <c r="B36" s="191" t="s">
        <v>1514</v>
      </c>
    </row>
    <row r="37" spans="2:7" ht="12" customHeight="1" x14ac:dyDescent="0.3">
      <c r="B37" s="191"/>
    </row>
    <row r="38" spans="2:7" ht="25.95" customHeight="1" x14ac:dyDescent="0.3">
      <c r="B38" s="190" t="s">
        <v>867</v>
      </c>
    </row>
    <row r="39" spans="2:7" x14ac:dyDescent="0.3">
      <c r="B39" s="189"/>
      <c r="G39" s="1110"/>
    </row>
    <row r="40" spans="2:7" ht="43.2" customHeight="1" x14ac:dyDescent="0.3">
      <c r="B40" s="1094" t="s">
        <v>1515</v>
      </c>
    </row>
    <row r="41" spans="2:7" ht="19.95" customHeight="1" x14ac:dyDescent="0.3">
      <c r="B41" s="1095" t="s">
        <v>1501</v>
      </c>
    </row>
    <row r="42" spans="2:7" ht="11.4" customHeight="1" x14ac:dyDescent="0.3">
      <c r="B42" s="192"/>
    </row>
    <row r="43" spans="2:7" ht="15" x14ac:dyDescent="0.3">
      <c r="B43" s="193"/>
    </row>
    <row r="44" spans="2:7" ht="7.2" customHeight="1" x14ac:dyDescent="0.3">
      <c r="B44" s="191"/>
    </row>
    <row r="45" spans="2:7" ht="25.95" customHeight="1" x14ac:dyDescent="0.3">
      <c r="B45" s="190" t="s">
        <v>868</v>
      </c>
    </row>
    <row r="46" spans="2:7" ht="35.4" customHeight="1" x14ac:dyDescent="0.3">
      <c r="B46" s="1094" t="s">
        <v>1516</v>
      </c>
    </row>
    <row r="47" spans="2:7" ht="15" x14ac:dyDescent="0.3">
      <c r="B47" s="193"/>
    </row>
    <row r="58" ht="44.25" customHeight="1" x14ac:dyDescent="0.3"/>
  </sheetData>
  <sheetProtection algorithmName="SHA-512" hashValue="i+eIwEDz51scUxTLkzKDgRXJpAeItw645QenW5echC5dVj+d+wG6BbxVPsNx+wFSunWnSGu+WIuEWeoma1/B5w==" saltValue="fFOfkwsq+5F46utevMsr9g==" spinCount="100000" sheet="1" formatCells="0" formatColumns="0" formatRows="0"/>
  <hyperlinks>
    <hyperlink ref="B17" r:id="rId1" xr:uid="{F2D63D8B-A398-4056-8C42-13EE8EAE9D77}"/>
    <hyperlink ref="B20" r:id="rId2" xr:uid="{E1C71FCA-7CAB-4D72-8BDD-6A930256A54D}"/>
    <hyperlink ref="B41" r:id="rId3" xr:uid="{EC7C92CF-4B0A-478A-A8CB-B6F73021FFD2}"/>
    <hyperlink ref="B13" r:id="rId4" xr:uid="{D4CF87BD-4C17-46B2-AB29-C907FF261E6D}"/>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B793"/>
  <sheetViews>
    <sheetView zoomScaleNormal="100" workbookViewId="0">
      <selection activeCell="A9" sqref="A9:C9"/>
    </sheetView>
  </sheetViews>
  <sheetFormatPr defaultColWidth="9.109375" defaultRowHeight="14.4" x14ac:dyDescent="0.3"/>
  <cols>
    <col min="1" max="1" width="5.33203125" style="99" customWidth="1"/>
    <col min="2" max="2" width="9.33203125" style="311" customWidth="1"/>
    <col min="3" max="3" width="6.33203125" style="99" customWidth="1"/>
    <col min="4" max="4" width="39.44140625" style="99" customWidth="1"/>
    <col min="5" max="5" width="14.44140625" style="99" bestFit="1" customWidth="1"/>
    <col min="6" max="6" width="15.5546875" style="99" bestFit="1" customWidth="1"/>
    <col min="7" max="7" width="9.88671875" style="99" bestFit="1"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3.44140625" style="99" bestFit="1" customWidth="1"/>
    <col min="15" max="15" width="14.44140625" style="99" bestFit="1" customWidth="1"/>
    <col min="16" max="16" width="15.5546875" style="99" bestFit="1" customWidth="1"/>
    <col min="17" max="17" width="15.88671875" style="99" bestFit="1" customWidth="1"/>
    <col min="18" max="19" width="15.5546875" style="99" bestFit="1" customWidth="1"/>
    <col min="20" max="20" width="16.5546875" style="99" bestFit="1" customWidth="1"/>
    <col min="21" max="21" width="9.88671875" style="99" bestFit="1" customWidth="1"/>
    <col min="22" max="22" width="17" style="99" bestFit="1" customWidth="1"/>
    <col min="23" max="23" width="13.44140625" style="99" bestFit="1"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0" s="401" customFormat="1" ht="43.2" x14ac:dyDescent="0.3">
      <c r="A1" s="994" t="s">
        <v>1477</v>
      </c>
      <c r="B1" s="994" t="s">
        <v>1478</v>
      </c>
      <c r="C1" s="993"/>
      <c r="D1" s="993"/>
      <c r="E1" s="994" t="s">
        <v>1390</v>
      </c>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3"/>
      <c r="AR1" s="993"/>
      <c r="AS1" s="993"/>
      <c r="AT1" s="993"/>
      <c r="AU1" s="993"/>
      <c r="AV1" s="993"/>
      <c r="AW1" s="993"/>
      <c r="AX1" s="993"/>
      <c r="AY1" s="993"/>
      <c r="AZ1" s="993"/>
      <c r="BA1" s="993"/>
      <c r="BB1" s="993"/>
      <c r="BC1" s="993"/>
      <c r="BD1" s="993"/>
      <c r="BE1" s="993"/>
      <c r="BF1" s="993"/>
      <c r="BG1" s="993"/>
      <c r="BH1" s="401" t="s">
        <v>496</v>
      </c>
      <c r="BI1" s="401" t="s">
        <v>575</v>
      </c>
      <c r="BJ1" s="401" t="s">
        <v>576</v>
      </c>
      <c r="BK1" s="401" t="e">
        <v>#N/A</v>
      </c>
      <c r="BL1" s="401" t="s">
        <v>578</v>
      </c>
      <c r="BM1" s="401" t="s">
        <v>579</v>
      </c>
      <c r="BN1" s="401" t="s">
        <v>580</v>
      </c>
      <c r="BO1" s="401" t="s">
        <v>581</v>
      </c>
      <c r="BP1" s="401" t="s">
        <v>582</v>
      </c>
      <c r="BQ1" s="401" t="s">
        <v>583</v>
      </c>
      <c r="BR1" s="401" t="s">
        <v>584</v>
      </c>
      <c r="BS1" s="401" t="s">
        <v>585</v>
      </c>
      <c r="BT1" s="401" t="s">
        <v>586</v>
      </c>
      <c r="BU1" s="401" t="s">
        <v>587</v>
      </c>
      <c r="BV1" s="401" t="s">
        <v>588</v>
      </c>
      <c r="BW1" s="401" t="s">
        <v>589</v>
      </c>
      <c r="BX1" s="401" t="s">
        <v>590</v>
      </c>
      <c r="BY1" s="401" t="s">
        <v>591</v>
      </c>
      <c r="BZ1" s="401" t="s">
        <v>592</v>
      </c>
      <c r="CA1" s="401" t="s">
        <v>593</v>
      </c>
      <c r="CB1" s="401" t="s">
        <v>594</v>
      </c>
    </row>
    <row r="2" spans="1:80" s="401" customFormat="1" x14ac:dyDescent="0.3">
      <c r="A2" s="995"/>
      <c r="B2" s="993"/>
      <c r="C2" s="995"/>
      <c r="D2" s="995"/>
      <c r="E2" s="995">
        <v>601725</v>
      </c>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5"/>
      <c r="AR2" s="995"/>
      <c r="AS2" s="995"/>
      <c r="AT2" s="995"/>
      <c r="AU2" s="995"/>
      <c r="AV2" s="995"/>
      <c r="AW2" s="995"/>
      <c r="AX2" s="995"/>
      <c r="AY2" s="995"/>
      <c r="AZ2" s="995"/>
      <c r="BA2" s="995"/>
      <c r="BB2" s="995"/>
      <c r="BC2" s="995"/>
      <c r="BD2" s="995"/>
      <c r="BE2" s="995"/>
      <c r="BF2" s="995"/>
      <c r="BG2" s="995"/>
      <c r="BH2" s="401">
        <v>50237</v>
      </c>
      <c r="BI2" s="401">
        <v>50238</v>
      </c>
      <c r="BJ2" s="401">
        <v>50444</v>
      </c>
      <c r="BK2" s="401">
        <v>0</v>
      </c>
      <c r="BL2" s="401">
        <v>50240</v>
      </c>
      <c r="BM2" s="401">
        <v>50241</v>
      </c>
      <c r="BN2" s="401">
        <v>50521</v>
      </c>
      <c r="BO2" s="401">
        <v>50242</v>
      </c>
      <c r="BP2" s="401">
        <v>50244</v>
      </c>
      <c r="BQ2" s="401">
        <v>50243</v>
      </c>
      <c r="BR2" s="401">
        <v>50245</v>
      </c>
      <c r="BS2" s="401">
        <v>50522</v>
      </c>
      <c r="BT2" s="401">
        <v>50246</v>
      </c>
      <c r="BU2" s="401">
        <v>50247</v>
      </c>
      <c r="BV2" s="401">
        <v>50248</v>
      </c>
      <c r="BW2" s="401">
        <v>50249</v>
      </c>
      <c r="BX2" s="401">
        <v>50250</v>
      </c>
      <c r="BY2" s="401">
        <v>50251</v>
      </c>
      <c r="BZ2" s="401">
        <v>50252</v>
      </c>
      <c r="CA2" s="401">
        <v>50253</v>
      </c>
      <c r="CB2" s="401">
        <v>50454</v>
      </c>
    </row>
    <row r="3" spans="1:80" s="401" customFormat="1" x14ac:dyDescent="0.3">
      <c r="A3" s="993">
        <v>4</v>
      </c>
      <c r="B3" s="996"/>
      <c r="C3" s="997">
        <v>4</v>
      </c>
      <c r="D3" s="998" t="s">
        <v>383</v>
      </c>
      <c r="E3" s="995">
        <v>0</v>
      </c>
      <c r="F3" s="995"/>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E3" s="999"/>
      <c r="BF3" s="999"/>
      <c r="BG3" s="999"/>
      <c r="BH3" s="401">
        <v>2267</v>
      </c>
      <c r="BI3" s="401">
        <v>29021</v>
      </c>
      <c r="BJ3" s="401">
        <v>101123</v>
      </c>
      <c r="BK3" s="401">
        <v>0</v>
      </c>
      <c r="BL3" s="401">
        <v>119203</v>
      </c>
      <c r="BM3" s="401">
        <v>93803</v>
      </c>
      <c r="BN3" s="401">
        <v>0</v>
      </c>
      <c r="BO3" s="401">
        <v>216042</v>
      </c>
      <c r="BP3" s="401">
        <v>142073</v>
      </c>
      <c r="BQ3" s="401">
        <v>9392</v>
      </c>
      <c r="BR3" s="401">
        <v>8180</v>
      </c>
      <c r="BS3" s="401">
        <v>43947</v>
      </c>
      <c r="BT3" s="401">
        <v>2444961</v>
      </c>
      <c r="BU3" s="401">
        <v>77427</v>
      </c>
      <c r="BV3" s="401">
        <v>86828</v>
      </c>
      <c r="BW3" s="401">
        <v>56807</v>
      </c>
      <c r="BX3" s="401">
        <v>11908</v>
      </c>
      <c r="BY3" s="401">
        <v>0</v>
      </c>
      <c r="BZ3" s="401">
        <v>0</v>
      </c>
      <c r="CA3" s="401">
        <v>1837544</v>
      </c>
      <c r="CB3" s="401">
        <v>0</v>
      </c>
    </row>
    <row r="4" spans="1:80" s="401" customFormat="1" ht="28.8" x14ac:dyDescent="0.3">
      <c r="A4" s="993">
        <v>5</v>
      </c>
      <c r="B4" s="1000"/>
      <c r="C4" s="997">
        <v>5</v>
      </c>
      <c r="D4" s="998" t="s">
        <v>120</v>
      </c>
      <c r="E4" s="995">
        <v>0</v>
      </c>
      <c r="F4" s="995"/>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401">
        <v>0</v>
      </c>
      <c r="BI4" s="401">
        <v>0</v>
      </c>
      <c r="BJ4" s="401">
        <v>947</v>
      </c>
      <c r="BK4" s="401">
        <v>0</v>
      </c>
      <c r="BL4" s="401">
        <v>2978</v>
      </c>
      <c r="BM4" s="401">
        <v>0</v>
      </c>
      <c r="BN4" s="401">
        <v>0</v>
      </c>
      <c r="BO4" s="401">
        <v>9835</v>
      </c>
      <c r="BP4" s="401">
        <v>160</v>
      </c>
      <c r="BQ4" s="401">
        <v>0</v>
      </c>
      <c r="BR4" s="401">
        <v>0</v>
      </c>
      <c r="BS4" s="401">
        <v>0</v>
      </c>
      <c r="BT4" s="401">
        <v>0</v>
      </c>
      <c r="BU4" s="401">
        <v>0</v>
      </c>
      <c r="BV4" s="401">
        <v>0</v>
      </c>
      <c r="BW4" s="401">
        <v>0</v>
      </c>
      <c r="BX4" s="401">
        <v>0</v>
      </c>
      <c r="BY4" s="401">
        <v>0</v>
      </c>
      <c r="BZ4" s="401">
        <v>0</v>
      </c>
      <c r="CA4" s="401">
        <v>0</v>
      </c>
      <c r="CB4" s="401">
        <v>0</v>
      </c>
    </row>
    <row r="5" spans="1:80" s="401" customFormat="1" x14ac:dyDescent="0.3">
      <c r="A5" s="993">
        <v>6</v>
      </c>
      <c r="B5" s="1000"/>
      <c r="C5" s="997">
        <v>6</v>
      </c>
      <c r="D5" s="998" t="s">
        <v>265</v>
      </c>
      <c r="E5" s="995">
        <v>0</v>
      </c>
      <c r="F5" s="995"/>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c r="AT5" s="999"/>
      <c r="AU5" s="999"/>
      <c r="AV5" s="999"/>
      <c r="AW5" s="999"/>
      <c r="AX5" s="999"/>
      <c r="AY5" s="999"/>
      <c r="AZ5" s="999"/>
      <c r="BA5" s="999"/>
      <c r="BB5" s="999"/>
      <c r="BC5" s="999"/>
      <c r="BD5" s="999"/>
      <c r="BE5" s="999"/>
      <c r="BF5" s="999"/>
      <c r="BG5" s="999"/>
      <c r="BH5" s="401">
        <v>0</v>
      </c>
      <c r="BI5" s="401">
        <v>0</v>
      </c>
      <c r="BJ5" s="401">
        <v>133531</v>
      </c>
      <c r="BK5" s="401">
        <v>0</v>
      </c>
      <c r="BL5" s="401">
        <v>141268</v>
      </c>
      <c r="BM5" s="401">
        <v>0</v>
      </c>
      <c r="BN5" s="401">
        <v>0</v>
      </c>
      <c r="BO5" s="401">
        <v>0</v>
      </c>
      <c r="BP5" s="401">
        <v>0</v>
      </c>
      <c r="BQ5" s="401">
        <v>0</v>
      </c>
      <c r="BR5" s="401">
        <v>0</v>
      </c>
      <c r="BS5" s="401">
        <v>0</v>
      </c>
      <c r="BT5" s="401">
        <v>0</v>
      </c>
      <c r="BU5" s="401">
        <v>0</v>
      </c>
      <c r="BV5" s="401">
        <v>0</v>
      </c>
      <c r="BW5" s="401">
        <v>0</v>
      </c>
      <c r="BX5" s="401">
        <v>335000</v>
      </c>
      <c r="BY5" s="401">
        <v>0</v>
      </c>
      <c r="BZ5" s="401">
        <v>0</v>
      </c>
      <c r="CA5" s="401">
        <v>276871</v>
      </c>
      <c r="CB5" s="401">
        <v>0</v>
      </c>
    </row>
    <row r="6" spans="1:80" s="401" customFormat="1" x14ac:dyDescent="0.3">
      <c r="A6" s="993">
        <v>7</v>
      </c>
      <c r="B6" s="1000"/>
      <c r="C6" s="997">
        <v>7</v>
      </c>
      <c r="D6" s="998" t="s">
        <v>202</v>
      </c>
      <c r="E6" s="995">
        <v>0</v>
      </c>
      <c r="F6" s="995"/>
      <c r="G6" s="999"/>
      <c r="H6" s="999"/>
      <c r="I6" s="999"/>
      <c r="J6" s="999"/>
      <c r="K6" s="999"/>
      <c r="L6" s="999"/>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999"/>
      <c r="AN6" s="999"/>
      <c r="AO6" s="999"/>
      <c r="AP6" s="999"/>
      <c r="AQ6" s="999"/>
      <c r="AR6" s="999"/>
      <c r="AS6" s="999"/>
      <c r="AT6" s="999"/>
      <c r="AU6" s="999"/>
      <c r="AV6" s="999"/>
      <c r="AW6" s="999"/>
      <c r="AX6" s="999"/>
      <c r="AY6" s="999"/>
      <c r="AZ6" s="999"/>
      <c r="BA6" s="999"/>
      <c r="BB6" s="999"/>
      <c r="BC6" s="999"/>
      <c r="BD6" s="999"/>
      <c r="BE6" s="999"/>
      <c r="BF6" s="999"/>
      <c r="BG6" s="999"/>
      <c r="BH6" s="401">
        <v>0</v>
      </c>
      <c r="BI6" s="401">
        <v>0</v>
      </c>
      <c r="BJ6" s="401">
        <v>28935</v>
      </c>
      <c r="BK6" s="401">
        <v>0</v>
      </c>
      <c r="BL6" s="401">
        <v>5100</v>
      </c>
      <c r="BM6" s="401">
        <v>18</v>
      </c>
      <c r="BN6" s="401">
        <v>0</v>
      </c>
      <c r="BO6" s="401">
        <v>28663</v>
      </c>
      <c r="BP6" s="401">
        <v>0</v>
      </c>
      <c r="BQ6" s="401">
        <v>4000</v>
      </c>
      <c r="BR6" s="401">
        <v>0</v>
      </c>
      <c r="BS6" s="401">
        <v>900</v>
      </c>
      <c r="BT6" s="401">
        <v>114980</v>
      </c>
      <c r="BU6" s="401">
        <v>0</v>
      </c>
      <c r="BV6" s="401">
        <v>0</v>
      </c>
      <c r="BW6" s="401">
        <v>0</v>
      </c>
      <c r="BX6" s="401">
        <v>0</v>
      </c>
      <c r="BY6" s="401">
        <v>0</v>
      </c>
      <c r="BZ6" s="401">
        <v>0</v>
      </c>
      <c r="CA6" s="401">
        <v>168052</v>
      </c>
      <c r="CB6" s="401">
        <v>0</v>
      </c>
    </row>
    <row r="7" spans="1:80" s="401" customFormat="1" x14ac:dyDescent="0.3">
      <c r="A7" s="993">
        <v>9</v>
      </c>
      <c r="B7" s="1000"/>
      <c r="C7" s="997">
        <v>9</v>
      </c>
      <c r="D7" s="998" t="s">
        <v>204</v>
      </c>
      <c r="E7" s="995">
        <v>0</v>
      </c>
      <c r="F7" s="995"/>
      <c r="G7" s="999"/>
      <c r="H7" s="999"/>
      <c r="I7" s="999"/>
      <c r="J7" s="999"/>
      <c r="K7" s="999"/>
      <c r="L7" s="999"/>
      <c r="M7" s="999"/>
      <c r="N7" s="999"/>
      <c r="O7" s="999"/>
      <c r="P7" s="999"/>
      <c r="Q7" s="999"/>
      <c r="R7" s="999"/>
      <c r="S7" s="999"/>
      <c r="T7" s="999"/>
      <c r="U7" s="999"/>
      <c r="V7" s="999"/>
      <c r="W7" s="999"/>
      <c r="X7" s="999"/>
      <c r="Y7" s="999"/>
      <c r="Z7" s="999"/>
      <c r="AA7" s="999"/>
      <c r="AB7" s="999"/>
      <c r="AC7" s="999"/>
      <c r="AD7" s="999"/>
      <c r="AE7" s="999"/>
      <c r="AF7" s="999"/>
      <c r="AG7" s="999"/>
      <c r="AH7" s="999"/>
      <c r="AI7" s="999"/>
      <c r="AJ7" s="999"/>
      <c r="AK7" s="999"/>
      <c r="AL7" s="999"/>
      <c r="AM7" s="999"/>
      <c r="AN7" s="999"/>
      <c r="AO7" s="999"/>
      <c r="AP7" s="999"/>
      <c r="AQ7" s="999"/>
      <c r="AR7" s="999"/>
      <c r="AS7" s="999"/>
      <c r="AT7" s="999"/>
      <c r="AU7" s="999"/>
      <c r="AV7" s="999"/>
      <c r="AW7" s="999"/>
      <c r="AX7" s="999"/>
      <c r="AY7" s="999"/>
      <c r="AZ7" s="999"/>
      <c r="BA7" s="999"/>
      <c r="BB7" s="999"/>
      <c r="BC7" s="999"/>
      <c r="BD7" s="999"/>
      <c r="BE7" s="999"/>
      <c r="BF7" s="999"/>
      <c r="BG7" s="999"/>
      <c r="BH7" s="401">
        <v>181450</v>
      </c>
      <c r="BI7" s="401">
        <v>2960874</v>
      </c>
      <c r="BJ7" s="401">
        <v>3702072</v>
      </c>
      <c r="BK7" s="401">
        <v>0</v>
      </c>
      <c r="BL7" s="401">
        <v>3326834</v>
      </c>
      <c r="BM7" s="401">
        <v>6097828</v>
      </c>
      <c r="BN7" s="401">
        <v>141989</v>
      </c>
      <c r="BO7" s="401">
        <v>4478753</v>
      </c>
      <c r="BP7" s="401">
        <v>3695204</v>
      </c>
      <c r="BQ7" s="401">
        <v>1690464</v>
      </c>
      <c r="BR7" s="401">
        <v>3032233</v>
      </c>
      <c r="BS7" s="401">
        <v>2116025</v>
      </c>
      <c r="BT7" s="401">
        <v>11000469</v>
      </c>
      <c r="BU7" s="401">
        <v>2441166</v>
      </c>
      <c r="BV7" s="401">
        <v>1969129</v>
      </c>
      <c r="BW7" s="401">
        <v>543137</v>
      </c>
      <c r="BX7" s="401">
        <v>1314817</v>
      </c>
      <c r="BY7" s="401">
        <v>186628</v>
      </c>
      <c r="BZ7" s="401">
        <v>216749</v>
      </c>
      <c r="CA7" s="401">
        <v>14842317</v>
      </c>
      <c r="CB7" s="401">
        <v>102882</v>
      </c>
    </row>
    <row r="8" spans="1:80" s="401" customFormat="1" x14ac:dyDescent="0.3">
      <c r="A8" s="993">
        <v>11</v>
      </c>
      <c r="B8" s="993"/>
      <c r="C8" s="997">
        <v>11</v>
      </c>
      <c r="D8" s="998" t="s">
        <v>441</v>
      </c>
      <c r="E8" s="995">
        <v>0</v>
      </c>
      <c r="F8" s="995"/>
      <c r="G8" s="999"/>
      <c r="H8" s="999"/>
      <c r="I8" s="999"/>
      <c r="J8" s="999"/>
      <c r="K8" s="999"/>
      <c r="L8" s="999"/>
      <c r="M8" s="999"/>
      <c r="N8" s="999"/>
      <c r="O8" s="999"/>
      <c r="P8" s="999"/>
      <c r="Q8" s="999"/>
      <c r="R8" s="999"/>
      <c r="S8" s="999"/>
      <c r="T8" s="999"/>
      <c r="U8" s="999"/>
      <c r="V8" s="999"/>
      <c r="W8" s="999"/>
      <c r="X8" s="999"/>
      <c r="Y8" s="999"/>
      <c r="Z8" s="999"/>
      <c r="AA8" s="999"/>
      <c r="AB8" s="999"/>
      <c r="AC8" s="999"/>
      <c r="AD8" s="999"/>
      <c r="AE8" s="999"/>
      <c r="AF8" s="999"/>
      <c r="AG8" s="999"/>
      <c r="AH8" s="999"/>
      <c r="AI8" s="999"/>
      <c r="AJ8" s="999"/>
      <c r="AK8" s="999"/>
      <c r="AL8" s="999"/>
      <c r="AM8" s="999"/>
      <c r="AN8" s="999"/>
      <c r="AO8" s="999"/>
      <c r="AP8" s="999"/>
      <c r="AQ8" s="999"/>
      <c r="AR8" s="999"/>
      <c r="AS8" s="999"/>
      <c r="AT8" s="999"/>
      <c r="AU8" s="999"/>
      <c r="AV8" s="999"/>
      <c r="AW8" s="999"/>
      <c r="AX8" s="999"/>
      <c r="AY8" s="999"/>
      <c r="AZ8" s="999"/>
      <c r="BA8" s="999"/>
      <c r="BB8" s="999"/>
      <c r="BC8" s="999"/>
      <c r="BD8" s="999"/>
      <c r="BE8" s="999"/>
      <c r="BF8" s="999"/>
      <c r="BG8" s="999"/>
      <c r="BH8" s="401">
        <v>23601</v>
      </c>
      <c r="BI8" s="401">
        <v>7771</v>
      </c>
      <c r="BJ8" s="401">
        <v>123884</v>
      </c>
      <c r="BK8" s="401">
        <v>0</v>
      </c>
      <c r="BL8" s="401">
        <v>165121</v>
      </c>
      <c r="BM8" s="401">
        <v>61161</v>
      </c>
      <c r="BN8" s="401">
        <v>0</v>
      </c>
      <c r="BO8" s="401">
        <v>214857</v>
      </c>
      <c r="BP8" s="401">
        <v>141279</v>
      </c>
      <c r="BQ8" s="401">
        <v>147781</v>
      </c>
      <c r="BR8" s="401">
        <v>170778</v>
      </c>
      <c r="BS8" s="401">
        <v>18341</v>
      </c>
      <c r="BT8" s="401">
        <v>482455</v>
      </c>
      <c r="BU8" s="401">
        <v>28016</v>
      </c>
      <c r="BV8" s="401">
        <v>121554</v>
      </c>
      <c r="BW8" s="401">
        <v>0</v>
      </c>
      <c r="BX8" s="401">
        <v>52790</v>
      </c>
      <c r="BY8" s="401">
        <v>20509</v>
      </c>
      <c r="BZ8" s="401">
        <v>18656</v>
      </c>
      <c r="CA8" s="401">
        <v>0</v>
      </c>
      <c r="CB8" s="401">
        <v>5028</v>
      </c>
    </row>
    <row r="9" spans="1:80" s="401" customFormat="1" ht="28.8" x14ac:dyDescent="0.3">
      <c r="A9" s="993">
        <v>12</v>
      </c>
      <c r="B9" s="993"/>
      <c r="C9" s="997">
        <v>12</v>
      </c>
      <c r="D9" s="998" t="s">
        <v>384</v>
      </c>
      <c r="E9" s="995">
        <v>0</v>
      </c>
      <c r="F9" s="995"/>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c r="AU9" s="993"/>
      <c r="AV9" s="993"/>
      <c r="AW9" s="993"/>
      <c r="AX9" s="993"/>
      <c r="AY9" s="993"/>
      <c r="AZ9" s="993"/>
      <c r="BA9" s="993"/>
      <c r="BB9" s="993"/>
      <c r="BC9" s="993"/>
      <c r="BD9" s="993"/>
      <c r="BE9" s="993"/>
      <c r="BF9" s="993"/>
      <c r="BG9" s="993"/>
    </row>
    <row r="10" spans="1:80" s="401" customFormat="1" ht="43.2" x14ac:dyDescent="0.3">
      <c r="A10" s="993">
        <v>13</v>
      </c>
      <c r="B10" s="1000">
        <v>13</v>
      </c>
      <c r="C10" s="997">
        <v>13</v>
      </c>
      <c r="D10" s="998" t="s">
        <v>1392</v>
      </c>
      <c r="E10" s="995">
        <v>4758750</v>
      </c>
      <c r="F10" s="993"/>
      <c r="G10" s="993"/>
      <c r="H10" s="993"/>
      <c r="I10" s="993"/>
      <c r="J10" s="993"/>
      <c r="K10" s="993"/>
      <c r="L10" s="993"/>
      <c r="M10" s="993"/>
      <c r="N10" s="993"/>
      <c r="O10" s="993"/>
      <c r="P10" s="993"/>
      <c r="Q10" s="993"/>
      <c r="R10" s="993"/>
      <c r="S10" s="993"/>
      <c r="T10" s="993"/>
      <c r="U10" s="993"/>
      <c r="V10" s="993"/>
      <c r="W10" s="993"/>
      <c r="X10" s="993"/>
      <c r="Y10" s="993"/>
      <c r="Z10" s="993"/>
      <c r="AA10" s="993"/>
      <c r="AB10" s="993"/>
      <c r="AC10" s="993"/>
      <c r="AD10" s="993"/>
      <c r="AE10" s="993"/>
      <c r="AF10" s="993"/>
      <c r="AG10" s="993"/>
      <c r="AH10" s="993"/>
      <c r="AI10" s="993"/>
      <c r="AJ10" s="993"/>
      <c r="AK10" s="993"/>
      <c r="AL10" s="993"/>
      <c r="AM10" s="993"/>
      <c r="AN10" s="993"/>
      <c r="AO10" s="993"/>
      <c r="AP10" s="993"/>
      <c r="AQ10" s="993"/>
      <c r="AR10" s="993"/>
      <c r="AS10" s="993"/>
      <c r="AT10" s="993"/>
      <c r="AU10" s="993"/>
      <c r="AV10" s="993"/>
      <c r="AW10" s="993"/>
      <c r="AX10" s="993"/>
      <c r="AY10" s="993"/>
      <c r="AZ10" s="993"/>
      <c r="BA10" s="993"/>
      <c r="BB10" s="993"/>
      <c r="BC10" s="993"/>
      <c r="BD10" s="993"/>
      <c r="BE10" s="993"/>
      <c r="BF10" s="993"/>
      <c r="BG10" s="993"/>
    </row>
    <row r="11" spans="1:80" s="401" customFormat="1" ht="28.8" x14ac:dyDescent="0.3">
      <c r="A11" s="993">
        <v>14</v>
      </c>
      <c r="B11" s="1001">
        <v>14</v>
      </c>
      <c r="C11" s="997">
        <v>14</v>
      </c>
      <c r="D11" s="998" t="s">
        <v>1479</v>
      </c>
      <c r="E11" s="995">
        <v>2496038</v>
      </c>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R11" s="993"/>
      <c r="AS11" s="993"/>
      <c r="AT11" s="993"/>
      <c r="AU11" s="993"/>
      <c r="AV11" s="993"/>
      <c r="AW11" s="993"/>
      <c r="AX11" s="993"/>
      <c r="AY11" s="993"/>
      <c r="AZ11" s="993"/>
      <c r="BA11" s="993"/>
      <c r="BB11" s="993"/>
      <c r="BC11" s="993"/>
      <c r="BD11" s="993"/>
      <c r="BE11" s="993"/>
      <c r="BF11" s="993"/>
      <c r="BG11" s="993"/>
    </row>
    <row r="12" spans="1:80" s="401" customFormat="1" x14ac:dyDescent="0.3">
      <c r="A12" s="993">
        <v>16</v>
      </c>
      <c r="B12" s="1000"/>
      <c r="C12" s="997">
        <v>16</v>
      </c>
      <c r="D12" s="998" t="s">
        <v>206</v>
      </c>
      <c r="E12" s="995">
        <v>0</v>
      </c>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3"/>
      <c r="BA12" s="993"/>
      <c r="BB12" s="993"/>
      <c r="BC12" s="993"/>
      <c r="BD12" s="993"/>
      <c r="BE12" s="993"/>
      <c r="BF12" s="993"/>
      <c r="BG12" s="993"/>
      <c r="BH12" s="401">
        <v>70120</v>
      </c>
      <c r="BI12" s="401">
        <v>3219607</v>
      </c>
      <c r="BJ12" s="401">
        <v>2949536</v>
      </c>
      <c r="BK12" s="401">
        <v>0</v>
      </c>
      <c r="BL12" s="401">
        <v>9118916</v>
      </c>
      <c r="BM12" s="401">
        <v>4349680</v>
      </c>
      <c r="BN12" s="401">
        <v>50974</v>
      </c>
      <c r="BO12" s="401">
        <v>7173239</v>
      </c>
      <c r="BP12" s="401">
        <v>2093171</v>
      </c>
      <c r="BQ12" s="401">
        <v>1057933</v>
      </c>
      <c r="BR12" s="401">
        <v>2029840</v>
      </c>
      <c r="BS12" s="401">
        <v>1604987</v>
      </c>
      <c r="BT12" s="401">
        <v>23576257</v>
      </c>
      <c r="BU12" s="401">
        <v>2098257</v>
      </c>
      <c r="BV12" s="401">
        <v>2995906</v>
      </c>
      <c r="BW12" s="401">
        <v>1426098</v>
      </c>
      <c r="BX12" s="401">
        <v>1025718</v>
      </c>
      <c r="BY12" s="401">
        <v>40420</v>
      </c>
      <c r="BZ12" s="401">
        <v>47916</v>
      </c>
      <c r="CA12" s="401">
        <v>19644365</v>
      </c>
      <c r="CB12" s="401">
        <v>98097</v>
      </c>
    </row>
    <row r="13" spans="1:80" s="401" customFormat="1" x14ac:dyDescent="0.3">
      <c r="A13" s="993">
        <v>17</v>
      </c>
      <c r="B13" s="1000"/>
      <c r="C13" s="997">
        <v>17</v>
      </c>
      <c r="D13" s="998" t="s">
        <v>209</v>
      </c>
      <c r="E13" s="995">
        <v>0</v>
      </c>
      <c r="F13" s="993"/>
      <c r="G13" s="993"/>
      <c r="H13" s="993"/>
      <c r="I13" s="993"/>
      <c r="J13" s="993"/>
      <c r="K13" s="993"/>
      <c r="L13" s="993"/>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401">
        <v>0</v>
      </c>
      <c r="BI13" s="401">
        <v>22</v>
      </c>
      <c r="BJ13" s="401">
        <v>4546</v>
      </c>
      <c r="BK13" s="401">
        <v>0</v>
      </c>
      <c r="BL13" s="401">
        <v>27650</v>
      </c>
      <c r="BM13" s="401">
        <v>0</v>
      </c>
      <c r="BN13" s="401">
        <v>0</v>
      </c>
      <c r="BO13" s="401">
        <v>173000</v>
      </c>
      <c r="BP13" s="401">
        <v>0</v>
      </c>
      <c r="BQ13" s="401">
        <v>0</v>
      </c>
      <c r="BR13" s="401">
        <v>1495868</v>
      </c>
      <c r="BS13" s="401">
        <v>0</v>
      </c>
      <c r="BT13" s="401">
        <v>977378</v>
      </c>
      <c r="BU13" s="401">
        <v>0</v>
      </c>
      <c r="BV13" s="401">
        <v>0</v>
      </c>
      <c r="BW13" s="401">
        <v>0</v>
      </c>
      <c r="BX13" s="401">
        <v>0</v>
      </c>
      <c r="BY13" s="401">
        <v>0</v>
      </c>
      <c r="BZ13" s="401">
        <v>0</v>
      </c>
      <c r="CA13" s="401">
        <v>0</v>
      </c>
      <c r="CB13" s="401">
        <v>0</v>
      </c>
    </row>
    <row r="14" spans="1:80" s="401" customFormat="1" x14ac:dyDescent="0.3">
      <c r="A14" s="993">
        <v>19</v>
      </c>
      <c r="B14" s="993"/>
      <c r="C14" s="997">
        <v>19</v>
      </c>
      <c r="D14" s="998" t="s">
        <v>1393</v>
      </c>
      <c r="E14" s="995">
        <v>0</v>
      </c>
      <c r="F14" s="993"/>
      <c r="G14" s="993"/>
      <c r="H14" s="993"/>
      <c r="I14" s="993"/>
      <c r="J14" s="993"/>
      <c r="K14" s="993"/>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row>
    <row r="15" spans="1:80" s="401" customFormat="1" x14ac:dyDescent="0.3">
      <c r="A15" s="993">
        <v>20</v>
      </c>
      <c r="B15" s="1000"/>
      <c r="C15" s="997">
        <v>20</v>
      </c>
      <c r="D15" s="998" t="s">
        <v>210</v>
      </c>
      <c r="E15" s="995">
        <v>0</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401">
        <v>0</v>
      </c>
      <c r="BI15" s="401">
        <v>0</v>
      </c>
      <c r="BJ15" s="401">
        <v>0</v>
      </c>
      <c r="BK15" s="401">
        <v>0</v>
      </c>
      <c r="BL15" s="401">
        <v>0</v>
      </c>
      <c r="BM15" s="401">
        <v>193542</v>
      </c>
      <c r="BN15" s="401">
        <v>0</v>
      </c>
      <c r="BO15" s="401">
        <v>58589</v>
      </c>
      <c r="BP15" s="401">
        <v>0</v>
      </c>
      <c r="BQ15" s="401">
        <v>0</v>
      </c>
      <c r="BR15" s="401">
        <v>0</v>
      </c>
      <c r="BS15" s="401">
        <v>11000</v>
      </c>
      <c r="BT15" s="401">
        <v>987757</v>
      </c>
      <c r="BU15" s="401">
        <v>6211</v>
      </c>
      <c r="BV15" s="401">
        <v>56072</v>
      </c>
      <c r="BW15" s="401">
        <v>129596</v>
      </c>
      <c r="BX15" s="401">
        <v>0</v>
      </c>
      <c r="BY15" s="401">
        <v>0</v>
      </c>
      <c r="BZ15" s="401">
        <v>0</v>
      </c>
      <c r="CA15" s="401">
        <v>1183857</v>
      </c>
      <c r="CB15" s="401">
        <v>0</v>
      </c>
    </row>
    <row r="16" spans="1:80" s="401" customFormat="1" ht="28.8" x14ac:dyDescent="0.3">
      <c r="A16" s="993">
        <v>21</v>
      </c>
      <c r="B16" s="993"/>
      <c r="C16" s="997">
        <v>21</v>
      </c>
      <c r="D16" s="998" t="s">
        <v>385</v>
      </c>
      <c r="E16" s="995">
        <v>0</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c r="AT16" s="993"/>
      <c r="AU16" s="993"/>
      <c r="AV16" s="993"/>
      <c r="AW16" s="993"/>
      <c r="AX16" s="993"/>
      <c r="AY16" s="993"/>
      <c r="AZ16" s="993"/>
      <c r="BA16" s="993"/>
      <c r="BB16" s="993"/>
      <c r="BC16" s="993"/>
      <c r="BD16" s="993"/>
      <c r="BE16" s="993"/>
      <c r="BF16" s="993"/>
      <c r="BG16" s="993"/>
    </row>
    <row r="17" spans="1:80" s="401" customFormat="1" x14ac:dyDescent="0.3">
      <c r="A17" s="993">
        <v>22</v>
      </c>
      <c r="B17" s="1000"/>
      <c r="C17" s="997">
        <v>22</v>
      </c>
      <c r="D17" s="998" t="s">
        <v>212</v>
      </c>
      <c r="E17" s="995">
        <v>0</v>
      </c>
      <c r="BH17" s="401">
        <v>0</v>
      </c>
      <c r="BI17" s="401">
        <v>0</v>
      </c>
      <c r="BJ17" s="401">
        <v>40750</v>
      </c>
      <c r="BK17" s="401">
        <v>0</v>
      </c>
      <c r="BL17" s="401">
        <v>716747</v>
      </c>
      <c r="BM17" s="401">
        <v>0</v>
      </c>
      <c r="BN17" s="401">
        <v>0</v>
      </c>
      <c r="BO17" s="401">
        <v>66978</v>
      </c>
      <c r="BP17" s="401">
        <v>0</v>
      </c>
      <c r="BQ17" s="401">
        <v>0</v>
      </c>
      <c r="BR17" s="401">
        <v>9943</v>
      </c>
      <c r="BS17" s="401">
        <v>0</v>
      </c>
      <c r="BT17" s="401">
        <v>15338</v>
      </c>
      <c r="BU17" s="401">
        <v>0</v>
      </c>
      <c r="BV17" s="401">
        <v>0</v>
      </c>
      <c r="BW17" s="401">
        <v>897</v>
      </c>
      <c r="BX17" s="401">
        <v>-197576</v>
      </c>
      <c r="BY17" s="401">
        <v>0</v>
      </c>
      <c r="BZ17" s="401">
        <v>0</v>
      </c>
      <c r="CA17" s="401">
        <v>0</v>
      </c>
      <c r="CB17" s="401">
        <v>0</v>
      </c>
    </row>
    <row r="18" spans="1:80" s="401" customFormat="1" x14ac:dyDescent="0.3">
      <c r="A18" s="993">
        <v>23</v>
      </c>
      <c r="B18" s="1000"/>
      <c r="C18" s="997">
        <v>23</v>
      </c>
      <c r="D18" s="998" t="s">
        <v>215</v>
      </c>
      <c r="E18" s="995">
        <v>0</v>
      </c>
      <c r="BH18" s="401">
        <v>22435</v>
      </c>
      <c r="BI18" s="401">
        <v>209900</v>
      </c>
      <c r="BJ18" s="401">
        <v>509128</v>
      </c>
      <c r="BK18" s="401">
        <v>0</v>
      </c>
      <c r="BL18" s="401">
        <v>408944</v>
      </c>
      <c r="BM18" s="401">
        <v>186474</v>
      </c>
      <c r="BN18" s="401">
        <v>10423</v>
      </c>
      <c r="BO18" s="401">
        <v>544258</v>
      </c>
      <c r="BP18" s="401">
        <v>527810</v>
      </c>
      <c r="BQ18" s="401">
        <v>14381</v>
      </c>
      <c r="BR18" s="401">
        <v>1552353</v>
      </c>
      <c r="BS18" s="401">
        <v>500009</v>
      </c>
      <c r="BT18" s="401">
        <v>-884316</v>
      </c>
      <c r="BU18" s="401">
        <v>78170</v>
      </c>
      <c r="BV18" s="401">
        <v>219473</v>
      </c>
      <c r="BW18" s="401">
        <v>-8488</v>
      </c>
      <c r="BX18" s="401">
        <v>45700</v>
      </c>
      <c r="BY18" s="401">
        <v>9139</v>
      </c>
      <c r="BZ18" s="401">
        <v>7397</v>
      </c>
      <c r="CA18" s="401">
        <v>1450623</v>
      </c>
      <c r="CB18" s="401">
        <v>-58957</v>
      </c>
    </row>
    <row r="19" spans="1:80" s="401" customFormat="1" ht="28.8" x14ac:dyDescent="0.3">
      <c r="A19" s="993">
        <v>31</v>
      </c>
      <c r="B19" s="1000">
        <v>31</v>
      </c>
      <c r="C19" s="997">
        <v>31</v>
      </c>
      <c r="D19" s="998" t="s">
        <v>1394</v>
      </c>
      <c r="E19" s="995">
        <v>11794</v>
      </c>
    </row>
    <row r="20" spans="1:80" s="401" customFormat="1" ht="28.8" x14ac:dyDescent="0.3">
      <c r="A20" s="993">
        <v>32</v>
      </c>
      <c r="B20" s="1000">
        <v>32</v>
      </c>
      <c r="C20" s="997">
        <v>32</v>
      </c>
      <c r="D20" s="1002" t="s">
        <v>298</v>
      </c>
      <c r="E20" s="995">
        <v>276171</v>
      </c>
    </row>
    <row r="21" spans="1:80" s="401" customFormat="1" ht="28.8" x14ac:dyDescent="0.3">
      <c r="A21" s="993">
        <v>33</v>
      </c>
      <c r="B21" s="1000">
        <v>33</v>
      </c>
      <c r="C21" s="997">
        <v>33</v>
      </c>
      <c r="D21" s="1002" t="s">
        <v>299</v>
      </c>
      <c r="E21" s="995">
        <v>950639</v>
      </c>
    </row>
    <row r="22" spans="1:80" s="401" customFormat="1" x14ac:dyDescent="0.3">
      <c r="A22" s="993">
        <v>34</v>
      </c>
      <c r="B22" s="993"/>
      <c r="C22" s="997">
        <v>34</v>
      </c>
      <c r="D22" s="1003" t="s">
        <v>300</v>
      </c>
      <c r="E22" s="995">
        <v>0</v>
      </c>
    </row>
    <row r="23" spans="1:80" s="401" customFormat="1" x14ac:dyDescent="0.3">
      <c r="A23" s="993">
        <v>35</v>
      </c>
      <c r="B23" s="993"/>
      <c r="C23" s="997">
        <v>35</v>
      </c>
      <c r="D23" s="1003" t="s">
        <v>386</v>
      </c>
      <c r="E23" s="995">
        <v>0</v>
      </c>
    </row>
    <row r="24" spans="1:80" s="401" customFormat="1" ht="26.4" x14ac:dyDescent="0.3">
      <c r="A24" s="993">
        <v>36</v>
      </c>
      <c r="B24" s="993"/>
      <c r="C24" s="997">
        <v>36</v>
      </c>
      <c r="D24" s="1003" t="s">
        <v>387</v>
      </c>
      <c r="E24" s="995">
        <v>0</v>
      </c>
    </row>
    <row r="25" spans="1:80" s="401" customFormat="1" ht="26.4" x14ac:dyDescent="0.3">
      <c r="A25" s="993">
        <v>37</v>
      </c>
      <c r="B25" s="993"/>
      <c r="C25" s="997">
        <v>37</v>
      </c>
      <c r="D25" s="1003" t="s">
        <v>301</v>
      </c>
      <c r="E25" s="995">
        <v>0</v>
      </c>
    </row>
    <row r="26" spans="1:80" s="401" customFormat="1" ht="26.4" x14ac:dyDescent="0.3">
      <c r="A26" s="993">
        <v>38</v>
      </c>
      <c r="B26" s="993"/>
      <c r="C26" s="997">
        <v>38</v>
      </c>
      <c r="D26" s="1003" t="s">
        <v>388</v>
      </c>
      <c r="E26" s="995">
        <v>0</v>
      </c>
    </row>
    <row r="27" spans="1:80" s="401" customFormat="1" x14ac:dyDescent="0.3">
      <c r="A27" s="993">
        <v>39</v>
      </c>
      <c r="B27" s="993"/>
      <c r="C27" s="997">
        <v>39</v>
      </c>
      <c r="D27" s="1003" t="s">
        <v>302</v>
      </c>
      <c r="E27" s="995">
        <v>0</v>
      </c>
    </row>
    <row r="28" spans="1:80" s="401" customFormat="1" x14ac:dyDescent="0.3">
      <c r="A28" s="993">
        <v>40</v>
      </c>
      <c r="B28" s="993"/>
      <c r="C28" s="997">
        <v>40</v>
      </c>
      <c r="D28" s="1003" t="s">
        <v>303</v>
      </c>
      <c r="E28" s="995">
        <v>0</v>
      </c>
    </row>
    <row r="29" spans="1:80" s="401" customFormat="1" x14ac:dyDescent="0.3">
      <c r="A29" s="993">
        <v>41</v>
      </c>
      <c r="B29" s="993"/>
      <c r="C29" s="997">
        <v>41</v>
      </c>
      <c r="D29" s="1003" t="s">
        <v>304</v>
      </c>
      <c r="E29" s="995">
        <v>0</v>
      </c>
    </row>
    <row r="30" spans="1:80" s="401" customFormat="1" ht="28.8" x14ac:dyDescent="0.3">
      <c r="A30" s="993">
        <v>43</v>
      </c>
      <c r="B30" s="993"/>
      <c r="C30" s="997">
        <v>43</v>
      </c>
      <c r="D30" s="998" t="s">
        <v>305</v>
      </c>
      <c r="E30" s="995">
        <v>0</v>
      </c>
    </row>
    <row r="31" spans="1:80" s="401" customFormat="1" ht="28.8" x14ac:dyDescent="0.3">
      <c r="A31" s="993">
        <v>44</v>
      </c>
      <c r="B31" s="993"/>
      <c r="C31" s="997">
        <v>44</v>
      </c>
      <c r="D31" s="998" t="s">
        <v>1395</v>
      </c>
      <c r="E31" s="995">
        <v>0</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1">
        <v>0</v>
      </c>
      <c r="BY31" s="401">
        <v>0</v>
      </c>
      <c r="BZ31" s="401">
        <v>0</v>
      </c>
      <c r="CA31" s="401">
        <v>0</v>
      </c>
      <c r="CB31" s="401">
        <v>0</v>
      </c>
    </row>
    <row r="32" spans="1:80" s="401" customFormat="1" ht="43.2" x14ac:dyDescent="0.3">
      <c r="A32" s="993">
        <v>45</v>
      </c>
      <c r="B32" s="993"/>
      <c r="C32" s="997">
        <v>45</v>
      </c>
      <c r="D32" s="998" t="s">
        <v>1396</v>
      </c>
      <c r="E32" s="995">
        <v>0</v>
      </c>
      <c r="BH32" s="401">
        <v>0</v>
      </c>
      <c r="BI32" s="401">
        <v>0</v>
      </c>
      <c r="BJ32" s="401">
        <v>0</v>
      </c>
      <c r="BK32" s="401">
        <v>0</v>
      </c>
      <c r="BL32" s="401">
        <v>0</v>
      </c>
      <c r="BM32" s="401">
        <v>0</v>
      </c>
      <c r="BN32" s="401">
        <v>0</v>
      </c>
      <c r="BO32" s="401">
        <v>0</v>
      </c>
      <c r="BP32" s="401">
        <v>0</v>
      </c>
      <c r="BQ32" s="401">
        <v>0</v>
      </c>
      <c r="BR32" s="401">
        <v>0</v>
      </c>
      <c r="BS32" s="401">
        <v>0</v>
      </c>
      <c r="BT32" s="401">
        <v>0</v>
      </c>
      <c r="BU32" s="401">
        <v>0</v>
      </c>
      <c r="BV32" s="401">
        <v>0</v>
      </c>
      <c r="BW32" s="401">
        <v>0</v>
      </c>
      <c r="BX32" s="401">
        <v>0</v>
      </c>
      <c r="BY32" s="401">
        <v>0</v>
      </c>
      <c r="BZ32" s="401">
        <v>0</v>
      </c>
      <c r="CA32" s="401">
        <v>0</v>
      </c>
      <c r="CB32" s="401">
        <v>0</v>
      </c>
    </row>
    <row r="33" spans="1:80" s="401" customFormat="1" ht="28.8" x14ac:dyDescent="0.3">
      <c r="A33" s="993">
        <v>46</v>
      </c>
      <c r="B33" s="993"/>
      <c r="C33" s="997">
        <v>46</v>
      </c>
      <c r="D33" s="998" t="s">
        <v>389</v>
      </c>
      <c r="E33" s="995">
        <v>0</v>
      </c>
    </row>
    <row r="34" spans="1:80" s="401" customFormat="1" ht="28.8" x14ac:dyDescent="0.3">
      <c r="A34" s="993">
        <v>47</v>
      </c>
      <c r="B34" s="993"/>
      <c r="C34" s="997">
        <v>47</v>
      </c>
      <c r="D34" s="998" t="s">
        <v>1397</v>
      </c>
      <c r="E34" s="995">
        <v>0</v>
      </c>
      <c r="BH34" s="401">
        <v>0</v>
      </c>
      <c r="BI34" s="401">
        <v>0</v>
      </c>
      <c r="BJ34" s="401">
        <v>0</v>
      </c>
      <c r="BK34" s="401">
        <v>0</v>
      </c>
      <c r="BL34" s="401">
        <v>0</v>
      </c>
      <c r="BM34" s="401">
        <v>0</v>
      </c>
      <c r="BN34" s="401">
        <v>0</v>
      </c>
      <c r="BO34" s="401">
        <v>0</v>
      </c>
      <c r="BP34" s="401">
        <v>0</v>
      </c>
      <c r="BQ34" s="401">
        <v>0</v>
      </c>
      <c r="BR34" s="401">
        <v>0</v>
      </c>
      <c r="BS34" s="401">
        <v>0</v>
      </c>
      <c r="BT34" s="401">
        <v>0</v>
      </c>
      <c r="BU34" s="401">
        <v>0</v>
      </c>
      <c r="BV34" s="401">
        <v>0</v>
      </c>
      <c r="BW34" s="401">
        <v>0</v>
      </c>
      <c r="BX34" s="401">
        <v>0</v>
      </c>
      <c r="BY34" s="401">
        <v>0</v>
      </c>
      <c r="BZ34" s="401">
        <v>0</v>
      </c>
      <c r="CA34" s="401">
        <v>0</v>
      </c>
      <c r="CB34" s="401">
        <v>0</v>
      </c>
    </row>
    <row r="35" spans="1:80" s="401" customFormat="1" ht="43.2" x14ac:dyDescent="0.3">
      <c r="A35" s="993">
        <v>48</v>
      </c>
      <c r="B35" s="993"/>
      <c r="C35" s="997">
        <v>48</v>
      </c>
      <c r="D35" s="998" t="s">
        <v>1398</v>
      </c>
      <c r="E35" s="995">
        <v>0</v>
      </c>
      <c r="BH35" s="401">
        <v>0</v>
      </c>
      <c r="BI35" s="401">
        <v>0</v>
      </c>
      <c r="BJ35" s="401">
        <v>0</v>
      </c>
      <c r="BK35" s="401">
        <v>0</v>
      </c>
      <c r="BL35" s="401">
        <v>0</v>
      </c>
      <c r="BM35" s="401">
        <v>0</v>
      </c>
      <c r="BN35" s="401">
        <v>0</v>
      </c>
      <c r="BO35" s="401">
        <v>0</v>
      </c>
      <c r="BP35" s="401">
        <v>0</v>
      </c>
      <c r="BQ35" s="401">
        <v>0</v>
      </c>
      <c r="BR35" s="401">
        <v>0</v>
      </c>
      <c r="BS35" s="401">
        <v>0</v>
      </c>
      <c r="BT35" s="401">
        <v>0</v>
      </c>
      <c r="BU35" s="401">
        <v>0</v>
      </c>
      <c r="BV35" s="401">
        <v>0</v>
      </c>
      <c r="BW35" s="401">
        <v>0</v>
      </c>
      <c r="BX35" s="401">
        <v>0</v>
      </c>
      <c r="BY35" s="401">
        <v>0</v>
      </c>
      <c r="BZ35" s="401">
        <v>0</v>
      </c>
      <c r="CA35" s="401">
        <v>0</v>
      </c>
      <c r="CB35" s="401">
        <v>0</v>
      </c>
    </row>
    <row r="36" spans="1:80" s="401" customFormat="1" ht="28.8" x14ac:dyDescent="0.3">
      <c r="A36" s="993">
        <v>49</v>
      </c>
      <c r="B36" s="993"/>
      <c r="C36" s="997">
        <v>49</v>
      </c>
      <c r="D36" s="998" t="s">
        <v>1399</v>
      </c>
      <c r="E36" s="995">
        <v>0</v>
      </c>
      <c r="BH36" s="401">
        <v>0</v>
      </c>
      <c r="BI36" s="401">
        <v>292962</v>
      </c>
      <c r="BJ36" s="401">
        <v>189870</v>
      </c>
      <c r="BK36" s="401">
        <v>0</v>
      </c>
      <c r="BL36" s="401">
        <v>365807</v>
      </c>
      <c r="BM36" s="401">
        <v>324170</v>
      </c>
      <c r="BN36" s="401">
        <v>0</v>
      </c>
      <c r="BO36" s="401">
        <v>909491</v>
      </c>
      <c r="BP36" s="401">
        <v>276639</v>
      </c>
      <c r="BQ36" s="401">
        <v>319635</v>
      </c>
      <c r="BR36" s="401">
        <v>176712</v>
      </c>
      <c r="BS36" s="401">
        <v>0</v>
      </c>
      <c r="BT36" s="401">
        <v>0</v>
      </c>
      <c r="BU36" s="401">
        <v>253074</v>
      </c>
      <c r="BV36" s="401">
        <v>545811</v>
      </c>
      <c r="BW36" s="401">
        <v>149166</v>
      </c>
      <c r="BX36" s="401">
        <v>452547</v>
      </c>
      <c r="BY36" s="401">
        <v>0</v>
      </c>
      <c r="BZ36" s="401">
        <v>0</v>
      </c>
      <c r="CA36" s="401">
        <v>1551766</v>
      </c>
      <c r="CB36" s="401">
        <v>0</v>
      </c>
    </row>
    <row r="37" spans="1:80" s="401" customFormat="1" x14ac:dyDescent="0.3">
      <c r="A37" s="993">
        <v>50</v>
      </c>
      <c r="B37" s="993"/>
      <c r="C37" s="997">
        <v>50</v>
      </c>
      <c r="D37" s="998" t="s">
        <v>1400</v>
      </c>
      <c r="E37" s="995">
        <v>0</v>
      </c>
      <c r="BH37" s="401">
        <v>0</v>
      </c>
      <c r="BI37" s="401">
        <v>217225</v>
      </c>
      <c r="BJ37" s="401">
        <v>131142</v>
      </c>
      <c r="BK37" s="401">
        <v>0</v>
      </c>
      <c r="BL37" s="401">
        <v>-32085</v>
      </c>
      <c r="BM37" s="401">
        <v>223201</v>
      </c>
      <c r="BN37" s="401">
        <v>0</v>
      </c>
      <c r="BO37" s="401">
        <v>-361105</v>
      </c>
      <c r="BP37" s="401">
        <v>249720</v>
      </c>
      <c r="BQ37" s="401">
        <v>-136759</v>
      </c>
      <c r="BR37" s="401">
        <v>-1475914</v>
      </c>
      <c r="BS37" s="401">
        <v>0</v>
      </c>
      <c r="BT37" s="401">
        <v>0</v>
      </c>
      <c r="BU37" s="401">
        <v>-164984</v>
      </c>
      <c r="BV37" s="401">
        <v>-21399</v>
      </c>
      <c r="BW37" s="401">
        <v>866377</v>
      </c>
      <c r="BX37" s="401">
        <v>-856853</v>
      </c>
      <c r="BY37" s="401">
        <v>0</v>
      </c>
      <c r="BZ37" s="401">
        <v>0</v>
      </c>
      <c r="CA37" s="401">
        <v>5854413</v>
      </c>
      <c r="CB37" s="401">
        <v>0</v>
      </c>
    </row>
    <row r="38" spans="1:80" s="401" customFormat="1" x14ac:dyDescent="0.3">
      <c r="A38" s="993">
        <v>51</v>
      </c>
      <c r="B38" s="993"/>
      <c r="C38" s="997">
        <v>51</v>
      </c>
      <c r="D38" s="998" t="s">
        <v>1401</v>
      </c>
      <c r="E38" s="995">
        <v>0</v>
      </c>
      <c r="BH38" s="401">
        <v>0</v>
      </c>
      <c r="BI38" s="401">
        <v>138040</v>
      </c>
      <c r="BJ38" s="401">
        <v>377679</v>
      </c>
      <c r="BK38" s="401">
        <v>0</v>
      </c>
      <c r="BL38" s="401">
        <v>298735</v>
      </c>
      <c r="BM38" s="401">
        <v>593186</v>
      </c>
      <c r="BN38" s="401">
        <v>0</v>
      </c>
      <c r="BO38" s="401">
        <v>766093</v>
      </c>
      <c r="BP38" s="401">
        <v>721130</v>
      </c>
      <c r="BQ38" s="401">
        <v>224681</v>
      </c>
      <c r="BR38" s="401">
        <v>244949</v>
      </c>
      <c r="BS38" s="401">
        <v>0</v>
      </c>
      <c r="BT38" s="401">
        <v>0</v>
      </c>
      <c r="BU38" s="401">
        <v>39498</v>
      </c>
      <c r="BV38" s="401">
        <v>526379</v>
      </c>
      <c r="BW38" s="401">
        <v>84534</v>
      </c>
      <c r="BX38" s="401">
        <v>231899</v>
      </c>
      <c r="BY38" s="401">
        <v>0</v>
      </c>
      <c r="BZ38" s="401">
        <v>0</v>
      </c>
      <c r="CA38" s="401">
        <v>2517092</v>
      </c>
      <c r="CB38" s="401">
        <v>0</v>
      </c>
    </row>
    <row r="39" spans="1:80" s="401" customFormat="1" ht="28.8" x14ac:dyDescent="0.3">
      <c r="A39" s="993">
        <v>52</v>
      </c>
      <c r="B39" s="993"/>
      <c r="C39" s="997">
        <v>52</v>
      </c>
      <c r="D39" s="998" t="s">
        <v>1402</v>
      </c>
      <c r="E39" s="995">
        <v>0</v>
      </c>
      <c r="BH39" s="401">
        <v>0</v>
      </c>
      <c r="BI39" s="401">
        <v>0</v>
      </c>
      <c r="BJ39" s="401">
        <v>0</v>
      </c>
      <c r="BK39" s="401">
        <v>0</v>
      </c>
      <c r="BL39" s="401">
        <v>164876</v>
      </c>
      <c r="BM39" s="401">
        <v>0</v>
      </c>
      <c r="BN39" s="401">
        <v>0</v>
      </c>
      <c r="BO39" s="401">
        <v>0</v>
      </c>
      <c r="BP39" s="401">
        <v>0</v>
      </c>
      <c r="BQ39" s="401">
        <v>0</v>
      </c>
      <c r="BR39" s="401">
        <v>0</v>
      </c>
      <c r="BS39" s="401">
        <v>0</v>
      </c>
      <c r="BT39" s="401">
        <v>0</v>
      </c>
      <c r="BU39" s="401">
        <v>0</v>
      </c>
      <c r="BV39" s="401">
        <v>0</v>
      </c>
      <c r="BW39" s="401">
        <v>0</v>
      </c>
      <c r="BX39" s="401">
        <v>0</v>
      </c>
      <c r="BY39" s="401">
        <v>0</v>
      </c>
      <c r="BZ39" s="401">
        <v>0</v>
      </c>
      <c r="CA39" s="401">
        <v>0</v>
      </c>
      <c r="CB39" s="401">
        <v>0</v>
      </c>
    </row>
    <row r="40" spans="1:80" s="401" customFormat="1" x14ac:dyDescent="0.3">
      <c r="A40" s="993">
        <v>53</v>
      </c>
      <c r="B40" s="993"/>
      <c r="C40" s="997">
        <v>53</v>
      </c>
      <c r="D40" s="998" t="s">
        <v>1403</v>
      </c>
      <c r="E40" s="995">
        <v>0</v>
      </c>
      <c r="BH40" s="401">
        <v>0</v>
      </c>
      <c r="BI40" s="401">
        <v>0</v>
      </c>
      <c r="BJ40" s="401">
        <v>0</v>
      </c>
      <c r="BK40" s="401">
        <v>0</v>
      </c>
      <c r="BL40" s="401">
        <v>959534</v>
      </c>
      <c r="BM40" s="401">
        <v>0</v>
      </c>
      <c r="BN40" s="401">
        <v>0</v>
      </c>
      <c r="BO40" s="401">
        <v>0</v>
      </c>
      <c r="BP40" s="401">
        <v>0</v>
      </c>
      <c r="BQ40" s="401">
        <v>0</v>
      </c>
      <c r="BR40" s="401">
        <v>0</v>
      </c>
      <c r="BS40" s="401">
        <v>0</v>
      </c>
      <c r="BT40" s="401">
        <v>0</v>
      </c>
      <c r="BU40" s="401">
        <v>0</v>
      </c>
      <c r="BV40" s="401">
        <v>0</v>
      </c>
      <c r="BW40" s="401">
        <v>0</v>
      </c>
      <c r="BX40" s="401">
        <v>0</v>
      </c>
      <c r="BY40" s="401">
        <v>0</v>
      </c>
      <c r="BZ40" s="401">
        <v>0</v>
      </c>
      <c r="CA40" s="401">
        <v>0</v>
      </c>
      <c r="CB40" s="401">
        <v>0</v>
      </c>
    </row>
    <row r="41" spans="1:80" s="401" customFormat="1" x14ac:dyDescent="0.3">
      <c r="A41" s="993">
        <v>54</v>
      </c>
      <c r="B41" s="993"/>
      <c r="C41" s="997">
        <v>54</v>
      </c>
      <c r="D41" s="998" t="s">
        <v>390</v>
      </c>
      <c r="E41" s="995">
        <v>0</v>
      </c>
    </row>
    <row r="42" spans="1:80" s="401" customFormat="1" x14ac:dyDescent="0.3">
      <c r="A42" s="993">
        <v>55</v>
      </c>
      <c r="B42" s="993"/>
      <c r="C42" s="997">
        <v>55</v>
      </c>
      <c r="D42" s="998" t="s">
        <v>1404</v>
      </c>
      <c r="E42" s="995">
        <v>0</v>
      </c>
      <c r="BH42" s="401">
        <v>0</v>
      </c>
      <c r="BI42" s="401">
        <v>0</v>
      </c>
      <c r="BJ42" s="401">
        <v>0</v>
      </c>
      <c r="BK42" s="401">
        <v>0</v>
      </c>
      <c r="BL42" s="401">
        <v>1374630</v>
      </c>
      <c r="BM42" s="401">
        <v>0</v>
      </c>
      <c r="BN42" s="401">
        <v>0</v>
      </c>
      <c r="BO42" s="401">
        <v>0</v>
      </c>
      <c r="BP42" s="401">
        <v>0</v>
      </c>
      <c r="BQ42" s="401">
        <v>0</v>
      </c>
      <c r="BR42" s="401">
        <v>0</v>
      </c>
      <c r="BS42" s="401">
        <v>0</v>
      </c>
      <c r="BT42" s="401">
        <v>0</v>
      </c>
      <c r="BU42" s="401">
        <v>0</v>
      </c>
      <c r="BV42" s="401">
        <v>0</v>
      </c>
      <c r="BW42" s="401">
        <v>0</v>
      </c>
      <c r="BX42" s="401">
        <v>0</v>
      </c>
      <c r="BY42" s="401">
        <v>0</v>
      </c>
      <c r="BZ42" s="401">
        <v>0</v>
      </c>
      <c r="CA42" s="401">
        <v>0</v>
      </c>
      <c r="CB42" s="401">
        <v>0</v>
      </c>
    </row>
    <row r="43" spans="1:80" s="403" customFormat="1" x14ac:dyDescent="0.3">
      <c r="A43" s="993">
        <v>61</v>
      </c>
      <c r="B43" s="993"/>
      <c r="C43" s="997">
        <v>61</v>
      </c>
      <c r="D43" s="998" t="s">
        <v>1405</v>
      </c>
      <c r="E43" s="1004">
        <v>0</v>
      </c>
      <c r="BH43" s="403">
        <v>92.02</v>
      </c>
      <c r="BI43" s="403">
        <v>99.11</v>
      </c>
      <c r="BJ43" s="403">
        <v>97.38</v>
      </c>
      <c r="BK43" s="403">
        <v>0</v>
      </c>
      <c r="BL43" s="403">
        <v>99.76</v>
      </c>
      <c r="BM43" s="403">
        <v>98.74</v>
      </c>
      <c r="BN43" s="403">
        <v>0</v>
      </c>
      <c r="BO43" s="403">
        <v>98.94</v>
      </c>
      <c r="BP43" s="403">
        <v>97.04</v>
      </c>
      <c r="BQ43" s="403">
        <v>97.05</v>
      </c>
      <c r="BR43" s="403">
        <v>98.64</v>
      </c>
      <c r="BS43" s="403">
        <v>99.6</v>
      </c>
      <c r="BT43" s="403">
        <v>99.14</v>
      </c>
      <c r="BU43" s="403">
        <v>85.91</v>
      </c>
      <c r="BV43" s="403">
        <v>99.23</v>
      </c>
      <c r="BW43" s="403">
        <v>94.91</v>
      </c>
      <c r="BX43" s="403">
        <v>99.42</v>
      </c>
      <c r="BY43" s="403">
        <v>95.49</v>
      </c>
      <c r="BZ43" s="403">
        <v>97.83</v>
      </c>
      <c r="CA43" s="403">
        <v>99.66</v>
      </c>
      <c r="CB43" s="403">
        <v>90.87</v>
      </c>
    </row>
    <row r="44" spans="1:80" s="401" customFormat="1" x14ac:dyDescent="0.3">
      <c r="A44" s="993">
        <v>80</v>
      </c>
      <c r="B44" s="993"/>
      <c r="C44" s="997">
        <v>80</v>
      </c>
      <c r="D44" s="998" t="s">
        <v>1406</v>
      </c>
      <c r="E44" s="1005">
        <v>0</v>
      </c>
      <c r="BH44" s="401">
        <v>0</v>
      </c>
      <c r="BI44" s="401">
        <v>629957</v>
      </c>
      <c r="BJ44" s="401">
        <v>1950576</v>
      </c>
      <c r="BK44" s="401">
        <v>0</v>
      </c>
      <c r="BL44" s="401">
        <v>4667608</v>
      </c>
      <c r="BM44" s="401">
        <v>2736585</v>
      </c>
      <c r="BN44" s="401">
        <v>0</v>
      </c>
      <c r="BO44" s="401">
        <v>1676370</v>
      </c>
      <c r="BP44" s="401">
        <v>3215759</v>
      </c>
      <c r="BQ44" s="401">
        <v>997878</v>
      </c>
      <c r="BR44" s="401">
        <v>1748084</v>
      </c>
      <c r="BS44" s="401">
        <v>0</v>
      </c>
      <c r="BT44" s="401">
        <v>0</v>
      </c>
      <c r="BU44" s="401">
        <v>1039245</v>
      </c>
      <c r="BV44" s="401">
        <v>1684666</v>
      </c>
      <c r="BW44" s="401">
        <v>170669</v>
      </c>
      <c r="BX44" s="401">
        <v>1208339</v>
      </c>
      <c r="BY44" s="401">
        <v>0</v>
      </c>
      <c r="BZ44" s="401">
        <v>0</v>
      </c>
      <c r="CA44" s="401">
        <v>7586901</v>
      </c>
      <c r="CB44" s="401">
        <v>0</v>
      </c>
    </row>
    <row r="45" spans="1:80" s="401" customFormat="1" ht="28.8" x14ac:dyDescent="0.3">
      <c r="A45" s="993">
        <v>81</v>
      </c>
      <c r="B45" s="993"/>
      <c r="C45" s="997">
        <v>81</v>
      </c>
      <c r="D45" s="998" t="s">
        <v>1407</v>
      </c>
      <c r="E45" s="1005">
        <v>0</v>
      </c>
      <c r="BH45" s="401">
        <v>0</v>
      </c>
      <c r="BI45" s="401">
        <v>140069</v>
      </c>
      <c r="BJ45" s="401">
        <v>132347</v>
      </c>
      <c r="BK45" s="401">
        <v>0</v>
      </c>
      <c r="BL45" s="401">
        <v>165764</v>
      </c>
      <c r="BM45" s="401">
        <v>302224</v>
      </c>
      <c r="BN45" s="401">
        <v>0</v>
      </c>
      <c r="BO45" s="401">
        <v>524605</v>
      </c>
      <c r="BP45" s="401">
        <v>94384</v>
      </c>
      <c r="BQ45" s="401">
        <v>76731</v>
      </c>
      <c r="BR45" s="401">
        <v>69150</v>
      </c>
      <c r="BS45" s="401">
        <v>0</v>
      </c>
      <c r="BT45" s="401">
        <v>0</v>
      </c>
      <c r="BU45" s="401">
        <v>157592</v>
      </c>
      <c r="BV45" s="401">
        <v>235820</v>
      </c>
      <c r="BW45" s="401">
        <v>89631</v>
      </c>
      <c r="BX45" s="401">
        <v>74242</v>
      </c>
      <c r="BY45" s="401">
        <v>0</v>
      </c>
      <c r="BZ45" s="401">
        <v>0</v>
      </c>
      <c r="CA45" s="401">
        <v>832878</v>
      </c>
      <c r="CB45" s="401">
        <v>0</v>
      </c>
    </row>
    <row r="46" spans="1:80" s="401" customFormat="1" ht="43.2" x14ac:dyDescent="0.3">
      <c r="A46" s="993">
        <v>82</v>
      </c>
      <c r="B46" s="993"/>
      <c r="C46" s="997">
        <v>82</v>
      </c>
      <c r="D46" s="998" t="s">
        <v>1408</v>
      </c>
      <c r="E46" s="1005">
        <v>0</v>
      </c>
      <c r="BH46" s="401">
        <v>0</v>
      </c>
      <c r="BI46" s="401">
        <v>1220284</v>
      </c>
      <c r="BJ46" s="401">
        <v>1303686</v>
      </c>
      <c r="BK46" s="401">
        <v>0</v>
      </c>
      <c r="BL46" s="401">
        <v>539709</v>
      </c>
      <c r="BM46" s="401">
        <v>293312</v>
      </c>
      <c r="BN46" s="401">
        <v>0</v>
      </c>
      <c r="BO46" s="401">
        <v>1287514</v>
      </c>
      <c r="BP46" s="401">
        <v>697926</v>
      </c>
      <c r="BQ46" s="401">
        <v>667714</v>
      </c>
      <c r="BR46" s="401">
        <v>1061306</v>
      </c>
      <c r="BS46" s="401">
        <v>0</v>
      </c>
      <c r="BT46" s="401">
        <v>0</v>
      </c>
      <c r="BU46" s="401">
        <v>265584</v>
      </c>
      <c r="BV46" s="401">
        <v>1419627</v>
      </c>
      <c r="BW46" s="401">
        <v>664583</v>
      </c>
      <c r="BX46" s="401">
        <v>0</v>
      </c>
      <c r="BY46" s="401">
        <v>0</v>
      </c>
      <c r="BZ46" s="401">
        <v>0</v>
      </c>
      <c r="CA46" s="401">
        <v>7484033</v>
      </c>
      <c r="CB46" s="401">
        <v>0</v>
      </c>
    </row>
    <row r="47" spans="1:80" s="401" customFormat="1" x14ac:dyDescent="0.3">
      <c r="A47" s="993">
        <v>83</v>
      </c>
      <c r="B47" s="993"/>
      <c r="C47" s="997">
        <v>83</v>
      </c>
      <c r="D47" s="998" t="s">
        <v>1409</v>
      </c>
      <c r="E47" s="1005">
        <v>0</v>
      </c>
      <c r="BH47" s="401">
        <v>0</v>
      </c>
      <c r="BI47" s="401">
        <v>5575542</v>
      </c>
      <c r="BJ47" s="401">
        <v>6156770</v>
      </c>
      <c r="BK47" s="401">
        <v>0</v>
      </c>
      <c r="BL47" s="401">
        <v>12787813</v>
      </c>
      <c r="BM47" s="401">
        <v>7046574</v>
      </c>
      <c r="BN47" s="401">
        <v>0</v>
      </c>
      <c r="BO47" s="401">
        <v>19371468</v>
      </c>
      <c r="BP47" s="401">
        <v>11690997</v>
      </c>
      <c r="BQ47" s="401">
        <v>8169833</v>
      </c>
      <c r="BR47" s="401">
        <v>5212569</v>
      </c>
      <c r="BS47" s="401">
        <v>0</v>
      </c>
      <c r="BT47" s="401">
        <v>0</v>
      </c>
      <c r="BU47" s="401">
        <v>6593091</v>
      </c>
      <c r="BV47" s="401">
        <v>12505423</v>
      </c>
      <c r="BW47" s="401">
        <v>4851336</v>
      </c>
      <c r="BX47" s="401">
        <v>2608958</v>
      </c>
      <c r="BY47" s="401">
        <v>0</v>
      </c>
      <c r="BZ47" s="401">
        <v>0</v>
      </c>
      <c r="CA47" s="401">
        <v>53045884</v>
      </c>
      <c r="CB47" s="401">
        <v>0</v>
      </c>
    </row>
    <row r="48" spans="1:80" s="401" customFormat="1" x14ac:dyDescent="0.3">
      <c r="A48" s="993">
        <v>84</v>
      </c>
      <c r="B48" s="993"/>
      <c r="C48" s="997">
        <v>84</v>
      </c>
      <c r="D48" s="998" t="s">
        <v>1410</v>
      </c>
      <c r="E48" s="1005">
        <v>0</v>
      </c>
      <c r="BH48" s="401">
        <v>0</v>
      </c>
      <c r="BI48" s="401">
        <v>1440671</v>
      </c>
      <c r="BJ48" s="401">
        <v>978566</v>
      </c>
      <c r="BK48" s="401">
        <v>0</v>
      </c>
      <c r="BL48" s="401">
        <v>2303743</v>
      </c>
      <c r="BM48" s="401">
        <v>2002022</v>
      </c>
      <c r="BN48" s="401">
        <v>0</v>
      </c>
      <c r="BO48" s="401">
        <v>3681230</v>
      </c>
      <c r="BP48" s="401">
        <v>1016494</v>
      </c>
      <c r="BQ48" s="401">
        <v>713253</v>
      </c>
      <c r="BR48" s="401">
        <v>1340788</v>
      </c>
      <c r="BS48" s="401">
        <v>0</v>
      </c>
      <c r="BT48" s="401">
        <v>0</v>
      </c>
      <c r="BU48" s="401">
        <v>699634</v>
      </c>
      <c r="BV48" s="401">
        <v>2569029</v>
      </c>
      <c r="BW48" s="401">
        <v>511016</v>
      </c>
      <c r="BX48" s="401">
        <v>647727</v>
      </c>
      <c r="BY48" s="401">
        <v>0</v>
      </c>
      <c r="BZ48" s="401">
        <v>0</v>
      </c>
      <c r="CA48" s="401">
        <v>7644617</v>
      </c>
      <c r="CB48" s="401">
        <v>0</v>
      </c>
    </row>
    <row r="49" spans="1:80" s="401" customFormat="1" ht="28.8" x14ac:dyDescent="0.3">
      <c r="A49" s="993">
        <v>85</v>
      </c>
      <c r="B49" s="993"/>
      <c r="C49" s="997">
        <v>85</v>
      </c>
      <c r="D49" s="998" t="s">
        <v>1411</v>
      </c>
      <c r="E49" s="1005">
        <v>0</v>
      </c>
      <c r="BH49" s="401">
        <v>0</v>
      </c>
      <c r="BI49" s="401">
        <v>1384889</v>
      </c>
      <c r="BJ49" s="401">
        <v>862346</v>
      </c>
      <c r="BK49" s="401">
        <v>0</v>
      </c>
      <c r="BL49" s="401">
        <v>2393470</v>
      </c>
      <c r="BM49" s="401">
        <v>1810466</v>
      </c>
      <c r="BN49" s="401">
        <v>0</v>
      </c>
      <c r="BO49" s="401">
        <v>3957135</v>
      </c>
      <c r="BP49" s="401">
        <v>947789</v>
      </c>
      <c r="BQ49" s="401">
        <v>815766</v>
      </c>
      <c r="BR49" s="401">
        <v>1326355</v>
      </c>
      <c r="BS49" s="401">
        <v>0</v>
      </c>
      <c r="BT49" s="401">
        <v>0</v>
      </c>
      <c r="BU49" s="401">
        <v>965834</v>
      </c>
      <c r="BV49" s="401">
        <v>2608646</v>
      </c>
      <c r="BW49" s="401">
        <v>590683</v>
      </c>
      <c r="BX49" s="401">
        <v>438851</v>
      </c>
      <c r="BY49" s="401">
        <v>0</v>
      </c>
      <c r="BZ49" s="401">
        <v>0</v>
      </c>
      <c r="CA49" s="401">
        <v>7198130</v>
      </c>
      <c r="CB49" s="401">
        <v>0</v>
      </c>
    </row>
    <row r="50" spans="1:80" s="401" customFormat="1" x14ac:dyDescent="0.3">
      <c r="A50" s="993">
        <v>88</v>
      </c>
      <c r="B50" s="993"/>
      <c r="C50" s="997">
        <v>88</v>
      </c>
      <c r="D50" s="998" t="s">
        <v>1412</v>
      </c>
      <c r="E50" s="1005">
        <v>0</v>
      </c>
      <c r="BH50" s="401">
        <v>0</v>
      </c>
      <c r="BI50" s="401">
        <v>1394975</v>
      </c>
      <c r="BJ50" s="401">
        <v>792392</v>
      </c>
      <c r="BK50" s="401">
        <v>0</v>
      </c>
      <c r="BL50" s="401">
        <v>2303743</v>
      </c>
      <c r="BM50" s="401">
        <v>1866679</v>
      </c>
      <c r="BN50" s="401">
        <v>0</v>
      </c>
      <c r="BO50" s="401">
        <v>3510623</v>
      </c>
      <c r="BP50" s="401">
        <v>1010585</v>
      </c>
      <c r="BQ50" s="401">
        <v>694333</v>
      </c>
      <c r="BR50" s="401">
        <v>1315039</v>
      </c>
      <c r="BS50" s="401">
        <v>0</v>
      </c>
      <c r="BT50" s="401">
        <v>0</v>
      </c>
      <c r="BU50" s="401">
        <v>699634</v>
      </c>
      <c r="BV50" s="401">
        <v>2308663</v>
      </c>
      <c r="BW50" s="401">
        <v>507893</v>
      </c>
      <c r="BX50" s="401">
        <v>644474</v>
      </c>
      <c r="BY50" s="401">
        <v>0</v>
      </c>
      <c r="BZ50" s="401">
        <v>0</v>
      </c>
      <c r="CA50" s="401">
        <v>6119414</v>
      </c>
      <c r="CB50" s="401">
        <v>0</v>
      </c>
    </row>
    <row r="51" spans="1:80" s="401" customFormat="1" x14ac:dyDescent="0.3">
      <c r="A51" s="993">
        <v>89</v>
      </c>
      <c r="B51" s="993"/>
      <c r="C51" s="997">
        <v>89</v>
      </c>
      <c r="D51" s="998" t="s">
        <v>1413</v>
      </c>
      <c r="E51" s="1005">
        <v>0</v>
      </c>
      <c r="BH51" s="401">
        <v>0</v>
      </c>
      <c r="BI51" s="401">
        <v>50191</v>
      </c>
      <c r="BJ51" s="401">
        <v>30800</v>
      </c>
      <c r="BK51" s="401">
        <v>0</v>
      </c>
      <c r="BL51" s="401">
        <v>0</v>
      </c>
      <c r="BM51" s="401">
        <v>7474</v>
      </c>
      <c r="BN51" s="401">
        <v>0</v>
      </c>
      <c r="BO51" s="401">
        <v>18358</v>
      </c>
      <c r="BP51" s="401">
        <v>23427</v>
      </c>
      <c r="BQ51" s="401">
        <v>24607</v>
      </c>
      <c r="BR51" s="401">
        <v>0</v>
      </c>
      <c r="BS51" s="401">
        <v>0</v>
      </c>
      <c r="BT51" s="401">
        <v>0</v>
      </c>
      <c r="BU51" s="401">
        <v>9443</v>
      </c>
      <c r="BV51" s="401">
        <v>47228</v>
      </c>
      <c r="BW51" s="401">
        <v>0</v>
      </c>
      <c r="BX51" s="401">
        <v>0</v>
      </c>
      <c r="BY51" s="401">
        <v>0</v>
      </c>
      <c r="BZ51" s="401">
        <v>0</v>
      </c>
      <c r="CA51" s="401">
        <v>100206</v>
      </c>
      <c r="CB51" s="401">
        <v>0</v>
      </c>
    </row>
    <row r="52" spans="1:80" s="401" customFormat="1" x14ac:dyDescent="0.3">
      <c r="A52" s="993">
        <v>90</v>
      </c>
      <c r="B52" s="993"/>
      <c r="C52" s="997">
        <v>90</v>
      </c>
      <c r="D52" s="998" t="s">
        <v>1414</v>
      </c>
      <c r="E52" s="1005">
        <v>0</v>
      </c>
      <c r="BH52" s="401">
        <v>0</v>
      </c>
      <c r="BI52" s="401">
        <v>0</v>
      </c>
      <c r="BJ52" s="401">
        <v>0</v>
      </c>
      <c r="BK52" s="401">
        <v>0</v>
      </c>
      <c r="BL52" s="401">
        <v>2555802</v>
      </c>
      <c r="BM52" s="401">
        <v>0</v>
      </c>
      <c r="BN52" s="401">
        <v>0</v>
      </c>
      <c r="BO52" s="401">
        <v>0</v>
      </c>
      <c r="BP52" s="401">
        <v>0</v>
      </c>
      <c r="BQ52" s="401">
        <v>0</v>
      </c>
      <c r="BR52" s="401">
        <v>0</v>
      </c>
      <c r="BS52" s="401">
        <v>0</v>
      </c>
      <c r="BT52" s="401">
        <v>0</v>
      </c>
      <c r="BU52" s="401">
        <v>0</v>
      </c>
      <c r="BV52" s="401">
        <v>0</v>
      </c>
      <c r="BW52" s="401">
        <v>0</v>
      </c>
      <c r="BX52" s="401">
        <v>0</v>
      </c>
      <c r="BY52" s="401">
        <v>0</v>
      </c>
      <c r="BZ52" s="401">
        <v>0</v>
      </c>
      <c r="CA52" s="401">
        <v>0</v>
      </c>
      <c r="CB52" s="401">
        <v>0</v>
      </c>
    </row>
    <row r="53" spans="1:80" s="401" customFormat="1" x14ac:dyDescent="0.3">
      <c r="A53" s="993">
        <v>91</v>
      </c>
      <c r="B53" s="993"/>
      <c r="C53" s="997">
        <v>91</v>
      </c>
      <c r="D53" s="998" t="s">
        <v>1415</v>
      </c>
      <c r="E53" s="1005">
        <v>0</v>
      </c>
      <c r="BH53" s="401">
        <v>0</v>
      </c>
      <c r="BI53" s="401">
        <v>0</v>
      </c>
      <c r="BJ53" s="401">
        <v>0</v>
      </c>
      <c r="BK53" s="401">
        <v>0</v>
      </c>
      <c r="BL53" s="401">
        <v>448342</v>
      </c>
      <c r="BM53" s="401">
        <v>0</v>
      </c>
      <c r="BN53" s="401">
        <v>0</v>
      </c>
      <c r="BO53" s="401">
        <v>0</v>
      </c>
      <c r="BP53" s="401">
        <v>0</v>
      </c>
      <c r="BQ53" s="401">
        <v>0</v>
      </c>
      <c r="BR53" s="401">
        <v>0</v>
      </c>
      <c r="BS53" s="401">
        <v>0</v>
      </c>
      <c r="BT53" s="401">
        <v>0</v>
      </c>
      <c r="BU53" s="401">
        <v>0</v>
      </c>
      <c r="BV53" s="401">
        <v>0</v>
      </c>
      <c r="BW53" s="401">
        <v>0</v>
      </c>
      <c r="BX53" s="401">
        <v>0</v>
      </c>
      <c r="BY53" s="401">
        <v>0</v>
      </c>
      <c r="BZ53" s="401">
        <v>0</v>
      </c>
      <c r="CA53" s="401">
        <v>0</v>
      </c>
      <c r="CB53" s="401">
        <v>0</v>
      </c>
    </row>
    <row r="54" spans="1:80" s="401" customFormat="1" x14ac:dyDescent="0.3">
      <c r="A54" s="993">
        <v>92</v>
      </c>
      <c r="B54" s="993"/>
      <c r="C54" s="997">
        <v>92</v>
      </c>
      <c r="D54" s="998" t="s">
        <v>1416</v>
      </c>
      <c r="E54" s="1005">
        <v>0</v>
      </c>
    </row>
    <row r="55" spans="1:80" s="401" customFormat="1" x14ac:dyDescent="0.3">
      <c r="A55" s="993">
        <v>93</v>
      </c>
      <c r="B55" s="993"/>
      <c r="C55" s="997">
        <v>93</v>
      </c>
      <c r="D55" s="998" t="s">
        <v>1417</v>
      </c>
      <c r="E55" s="1005">
        <v>0</v>
      </c>
      <c r="BH55" s="401">
        <v>0</v>
      </c>
      <c r="BI55" s="401">
        <v>0</v>
      </c>
      <c r="BJ55" s="401">
        <v>0</v>
      </c>
      <c r="BK55" s="401">
        <v>0</v>
      </c>
      <c r="BL55" s="401">
        <v>8028086</v>
      </c>
      <c r="BM55" s="401">
        <v>0</v>
      </c>
      <c r="BN55" s="401">
        <v>0</v>
      </c>
      <c r="BO55" s="401">
        <v>0</v>
      </c>
      <c r="BP55" s="401">
        <v>0</v>
      </c>
      <c r="BQ55" s="401">
        <v>0</v>
      </c>
      <c r="BR55" s="401">
        <v>0</v>
      </c>
      <c r="BS55" s="401">
        <v>0</v>
      </c>
      <c r="BT55" s="401">
        <v>0</v>
      </c>
      <c r="BU55" s="401">
        <v>0</v>
      </c>
      <c r="BV55" s="401">
        <v>0</v>
      </c>
      <c r="BW55" s="401">
        <v>0</v>
      </c>
      <c r="BX55" s="401">
        <v>0</v>
      </c>
      <c r="BY55" s="401">
        <v>0</v>
      </c>
      <c r="BZ55" s="401">
        <v>0</v>
      </c>
      <c r="CA55" s="401">
        <v>0</v>
      </c>
      <c r="CB55" s="401">
        <v>0</v>
      </c>
    </row>
    <row r="56" spans="1:80" s="401" customFormat="1" ht="28.8" x14ac:dyDescent="0.3">
      <c r="A56" s="993">
        <v>94</v>
      </c>
      <c r="B56" s="993"/>
      <c r="C56" s="997">
        <v>94</v>
      </c>
      <c r="D56" s="998" t="s">
        <v>1418</v>
      </c>
      <c r="E56" s="1005">
        <v>0</v>
      </c>
      <c r="BH56" s="401">
        <v>0</v>
      </c>
      <c r="BI56" s="401">
        <v>0</v>
      </c>
      <c r="BJ56" s="401">
        <v>0</v>
      </c>
      <c r="BK56" s="401">
        <v>0</v>
      </c>
      <c r="BL56" s="401">
        <v>7097870</v>
      </c>
      <c r="BM56" s="401">
        <v>0</v>
      </c>
      <c r="BN56" s="401">
        <v>0</v>
      </c>
      <c r="BO56" s="401">
        <v>0</v>
      </c>
      <c r="BP56" s="401">
        <v>0</v>
      </c>
      <c r="BQ56" s="401">
        <v>0</v>
      </c>
      <c r="BR56" s="401">
        <v>0</v>
      </c>
      <c r="BS56" s="401">
        <v>0</v>
      </c>
      <c r="BT56" s="401">
        <v>0</v>
      </c>
      <c r="BU56" s="401">
        <v>0</v>
      </c>
      <c r="BV56" s="401">
        <v>0</v>
      </c>
      <c r="BW56" s="401">
        <v>0</v>
      </c>
      <c r="BX56" s="401">
        <v>0</v>
      </c>
      <c r="BY56" s="401">
        <v>0</v>
      </c>
      <c r="BZ56" s="401">
        <v>0</v>
      </c>
      <c r="CA56" s="401">
        <v>0</v>
      </c>
      <c r="CB56" s="401">
        <v>0</v>
      </c>
    </row>
    <row r="57" spans="1:80" s="401" customFormat="1" x14ac:dyDescent="0.3">
      <c r="A57" s="993">
        <v>97</v>
      </c>
      <c r="B57" s="993"/>
      <c r="C57" s="997">
        <v>97</v>
      </c>
      <c r="D57" s="998" t="s">
        <v>1419</v>
      </c>
      <c r="E57" s="1005">
        <v>0</v>
      </c>
      <c r="BH57" s="401">
        <v>0</v>
      </c>
      <c r="BI57" s="401">
        <v>0</v>
      </c>
      <c r="BJ57" s="401">
        <v>0</v>
      </c>
      <c r="BK57" s="401">
        <v>0</v>
      </c>
      <c r="BL57" s="401">
        <v>8028086</v>
      </c>
      <c r="BM57" s="401">
        <v>0</v>
      </c>
      <c r="BN57" s="401">
        <v>0</v>
      </c>
      <c r="BO57" s="401">
        <v>0</v>
      </c>
      <c r="BP57" s="401">
        <v>0</v>
      </c>
      <c r="BQ57" s="401">
        <v>0</v>
      </c>
      <c r="BR57" s="401">
        <v>0</v>
      </c>
      <c r="BS57" s="401">
        <v>0</v>
      </c>
      <c r="BT57" s="401">
        <v>0</v>
      </c>
      <c r="BU57" s="401">
        <v>0</v>
      </c>
      <c r="BV57" s="401">
        <v>0</v>
      </c>
      <c r="BW57" s="401">
        <v>0</v>
      </c>
      <c r="BX57" s="401">
        <v>0</v>
      </c>
      <c r="BY57" s="401">
        <v>0</v>
      </c>
      <c r="BZ57" s="401">
        <v>0</v>
      </c>
      <c r="CA57" s="401">
        <v>0</v>
      </c>
      <c r="CB57" s="401">
        <v>0</v>
      </c>
    </row>
    <row r="58" spans="1:80" s="401" customFormat="1" x14ac:dyDescent="0.3">
      <c r="A58" s="993">
        <v>98</v>
      </c>
      <c r="B58" s="993"/>
      <c r="C58" s="997">
        <v>98</v>
      </c>
      <c r="D58" s="998" t="s">
        <v>1420</v>
      </c>
      <c r="E58" s="1005">
        <v>0</v>
      </c>
      <c r="BH58" s="401">
        <v>0</v>
      </c>
      <c r="BI58" s="401">
        <v>0</v>
      </c>
      <c r="BJ58" s="401">
        <v>0</v>
      </c>
      <c r="BK58" s="401">
        <v>0</v>
      </c>
      <c r="BL58" s="401">
        <v>0</v>
      </c>
      <c r="BM58" s="401">
        <v>0</v>
      </c>
      <c r="BN58" s="401">
        <v>0</v>
      </c>
      <c r="BO58" s="401">
        <v>0</v>
      </c>
      <c r="BP58" s="401">
        <v>0</v>
      </c>
      <c r="BQ58" s="401">
        <v>0</v>
      </c>
      <c r="BR58" s="401">
        <v>0</v>
      </c>
      <c r="BS58" s="401">
        <v>0</v>
      </c>
      <c r="BT58" s="401">
        <v>0</v>
      </c>
      <c r="BU58" s="401">
        <v>0</v>
      </c>
      <c r="BV58" s="401">
        <v>0</v>
      </c>
      <c r="BW58" s="401">
        <v>0</v>
      </c>
      <c r="BX58" s="401">
        <v>0</v>
      </c>
      <c r="BY58" s="401">
        <v>0</v>
      </c>
      <c r="BZ58" s="401">
        <v>0</v>
      </c>
      <c r="CA58" s="401">
        <v>0</v>
      </c>
      <c r="CB58" s="401">
        <v>0</v>
      </c>
    </row>
    <row r="59" spans="1:80" s="401" customFormat="1" ht="28.8" x14ac:dyDescent="0.3">
      <c r="A59" s="993">
        <v>99</v>
      </c>
      <c r="B59" s="993"/>
      <c r="C59" s="997">
        <v>99</v>
      </c>
      <c r="D59" s="998" t="s">
        <v>1421</v>
      </c>
      <c r="E59" s="1005">
        <v>0</v>
      </c>
      <c r="BH59" s="401">
        <v>0</v>
      </c>
      <c r="BI59" s="401">
        <v>0</v>
      </c>
      <c r="BJ59" s="401">
        <v>0</v>
      </c>
      <c r="BK59" s="401">
        <v>0</v>
      </c>
      <c r="BL59" s="401">
        <v>6932994</v>
      </c>
      <c r="BM59" s="401">
        <v>0</v>
      </c>
      <c r="BN59" s="401">
        <v>0</v>
      </c>
      <c r="BO59" s="401">
        <v>0</v>
      </c>
      <c r="BP59" s="401">
        <v>0</v>
      </c>
      <c r="BQ59" s="401">
        <v>0</v>
      </c>
      <c r="BR59" s="401">
        <v>0</v>
      </c>
      <c r="BS59" s="401">
        <v>0</v>
      </c>
      <c r="BT59" s="401">
        <v>0</v>
      </c>
      <c r="BU59" s="401">
        <v>0</v>
      </c>
      <c r="BV59" s="401">
        <v>0</v>
      </c>
      <c r="BW59" s="401">
        <v>0</v>
      </c>
      <c r="BX59" s="401">
        <v>0</v>
      </c>
      <c r="BY59" s="401">
        <v>0</v>
      </c>
      <c r="BZ59" s="401">
        <v>0</v>
      </c>
      <c r="CA59" s="401">
        <v>0</v>
      </c>
      <c r="CB59" s="401">
        <v>0</v>
      </c>
    </row>
    <row r="60" spans="1:80" s="401" customFormat="1" ht="28.8" x14ac:dyDescent="0.3">
      <c r="A60" s="993">
        <v>100</v>
      </c>
      <c r="B60" s="993"/>
      <c r="C60" s="997">
        <v>100</v>
      </c>
      <c r="D60" s="998" t="s">
        <v>1422</v>
      </c>
      <c r="E60" s="1005">
        <v>0</v>
      </c>
      <c r="BH60" s="401">
        <v>0</v>
      </c>
      <c r="BI60" s="401">
        <v>0</v>
      </c>
      <c r="BJ60" s="401">
        <v>0</v>
      </c>
      <c r="BK60" s="401">
        <v>0</v>
      </c>
      <c r="BL60" s="401">
        <v>0</v>
      </c>
      <c r="BM60" s="401">
        <v>0</v>
      </c>
      <c r="BN60" s="401">
        <v>0</v>
      </c>
      <c r="BO60" s="401">
        <v>0</v>
      </c>
      <c r="BP60" s="401">
        <v>0</v>
      </c>
      <c r="BQ60" s="401">
        <v>0</v>
      </c>
      <c r="BR60" s="401">
        <v>0</v>
      </c>
      <c r="BS60" s="401">
        <v>0</v>
      </c>
      <c r="BT60" s="401">
        <v>0</v>
      </c>
      <c r="BU60" s="401">
        <v>0</v>
      </c>
      <c r="BV60" s="401">
        <v>0</v>
      </c>
      <c r="BW60" s="401">
        <v>0</v>
      </c>
      <c r="BX60" s="401">
        <v>0</v>
      </c>
      <c r="BY60" s="401">
        <v>0</v>
      </c>
      <c r="BZ60" s="401">
        <v>0</v>
      </c>
      <c r="CA60" s="401">
        <v>0</v>
      </c>
      <c r="CB60" s="401">
        <v>0</v>
      </c>
    </row>
    <row r="61" spans="1:80" s="401" customFormat="1" x14ac:dyDescent="0.3">
      <c r="A61" s="993">
        <v>101</v>
      </c>
      <c r="B61" s="993"/>
      <c r="C61" s="997">
        <v>101</v>
      </c>
      <c r="D61" s="998" t="s">
        <v>1423</v>
      </c>
      <c r="E61" s="1005">
        <v>0</v>
      </c>
      <c r="BH61" s="401">
        <v>0</v>
      </c>
      <c r="BI61" s="401">
        <v>0</v>
      </c>
      <c r="BJ61" s="401">
        <v>0</v>
      </c>
      <c r="BK61" s="401">
        <v>0</v>
      </c>
      <c r="BL61" s="401">
        <v>112950</v>
      </c>
      <c r="BM61" s="401">
        <v>0</v>
      </c>
      <c r="BN61" s="401">
        <v>0</v>
      </c>
      <c r="BO61" s="401">
        <v>0</v>
      </c>
      <c r="BP61" s="401">
        <v>0</v>
      </c>
      <c r="BQ61" s="401">
        <v>0</v>
      </c>
      <c r="BR61" s="401">
        <v>0</v>
      </c>
      <c r="BS61" s="401">
        <v>0</v>
      </c>
      <c r="BT61" s="401">
        <v>0</v>
      </c>
      <c r="BU61" s="401">
        <v>0</v>
      </c>
      <c r="BV61" s="401">
        <v>0</v>
      </c>
      <c r="BW61" s="401">
        <v>0</v>
      </c>
      <c r="BX61" s="401">
        <v>0</v>
      </c>
      <c r="BY61" s="401">
        <v>0</v>
      </c>
      <c r="BZ61" s="401">
        <v>0</v>
      </c>
      <c r="CA61" s="401">
        <v>0</v>
      </c>
      <c r="CB61" s="401">
        <v>0</v>
      </c>
    </row>
    <row r="62" spans="1:80" s="404" customFormat="1" ht="28.8" x14ac:dyDescent="0.3">
      <c r="A62" s="993">
        <v>102</v>
      </c>
      <c r="B62" s="993"/>
      <c r="C62" s="997">
        <v>102</v>
      </c>
      <c r="D62" s="998" t="s">
        <v>1424</v>
      </c>
      <c r="E62" s="1004">
        <v>0</v>
      </c>
      <c r="BH62" s="404">
        <v>90.88</v>
      </c>
      <c r="BI62" s="404">
        <v>99.05</v>
      </c>
      <c r="BJ62" s="404">
        <v>97.3</v>
      </c>
      <c r="BK62" s="404">
        <v>0</v>
      </c>
      <c r="BL62" s="404">
        <v>99.75</v>
      </c>
      <c r="BM62" s="404">
        <v>98.69</v>
      </c>
      <c r="BN62" s="404">
        <v>0</v>
      </c>
      <c r="BO62" s="404">
        <v>98.85</v>
      </c>
      <c r="BP62" s="404">
        <v>96.74</v>
      </c>
      <c r="BQ62" s="404">
        <v>96.88</v>
      </c>
      <c r="BR62" s="404">
        <v>98.5</v>
      </c>
      <c r="BS62" s="404">
        <v>99.56</v>
      </c>
      <c r="BT62" s="404">
        <v>99.04</v>
      </c>
      <c r="BU62" s="404">
        <v>83.82</v>
      </c>
      <c r="BV62" s="404">
        <v>99.18</v>
      </c>
      <c r="BW62" s="404">
        <v>94.07</v>
      </c>
      <c r="BX62" s="404">
        <v>99.38</v>
      </c>
      <c r="BY62" s="404">
        <v>95.03</v>
      </c>
      <c r="BZ62" s="404">
        <v>97.44</v>
      </c>
      <c r="CA62" s="404">
        <v>99.67</v>
      </c>
      <c r="CB62" s="404">
        <v>88.75</v>
      </c>
    </row>
    <row r="63" spans="1:80" s="404" customFormat="1" x14ac:dyDescent="0.3">
      <c r="A63" s="993">
        <v>103</v>
      </c>
      <c r="B63" s="993"/>
      <c r="C63" s="997">
        <v>103</v>
      </c>
      <c r="D63" s="998" t="s">
        <v>1425</v>
      </c>
      <c r="E63" s="1004">
        <v>0</v>
      </c>
      <c r="BH63" s="404">
        <v>100</v>
      </c>
      <c r="BI63" s="404">
        <v>100</v>
      </c>
      <c r="BJ63" s="404">
        <v>98.79</v>
      </c>
      <c r="BK63" s="404">
        <v>0</v>
      </c>
      <c r="BL63" s="404">
        <v>100</v>
      </c>
      <c r="BM63" s="404">
        <v>100</v>
      </c>
      <c r="BN63" s="404">
        <v>0</v>
      </c>
      <c r="BO63" s="404">
        <v>100</v>
      </c>
      <c r="BP63" s="404">
        <v>100</v>
      </c>
      <c r="BQ63" s="404">
        <v>100</v>
      </c>
      <c r="BR63" s="404">
        <v>100</v>
      </c>
      <c r="BS63" s="404">
        <v>100</v>
      </c>
      <c r="BT63" s="404">
        <v>100</v>
      </c>
      <c r="BU63" s="404">
        <v>99.17</v>
      </c>
      <c r="BV63" s="404">
        <v>100</v>
      </c>
      <c r="BW63" s="404">
        <v>100</v>
      </c>
      <c r="BX63" s="404">
        <v>100</v>
      </c>
      <c r="BY63" s="404">
        <v>100</v>
      </c>
      <c r="BZ63" s="404">
        <v>100</v>
      </c>
      <c r="CA63" s="404">
        <v>99.61</v>
      </c>
      <c r="CB63" s="404">
        <v>100</v>
      </c>
    </row>
    <row r="64" spans="1:80" s="401" customFormat="1" x14ac:dyDescent="0.3">
      <c r="A64" s="993">
        <v>104</v>
      </c>
      <c r="B64" s="993"/>
      <c r="C64" s="997">
        <v>104</v>
      </c>
      <c r="D64" s="1003" t="s">
        <v>306</v>
      </c>
      <c r="E64" s="1005">
        <v>0</v>
      </c>
    </row>
    <row r="65" spans="1:80" s="401" customFormat="1" x14ac:dyDescent="0.3">
      <c r="A65" s="993">
        <v>107</v>
      </c>
      <c r="B65" s="993"/>
      <c r="C65" s="997">
        <v>107</v>
      </c>
      <c r="D65" s="1003" t="s">
        <v>391</v>
      </c>
      <c r="E65" s="1005">
        <v>0</v>
      </c>
      <c r="F65" s="993"/>
    </row>
    <row r="66" spans="1:80" s="401" customFormat="1" ht="26.4" x14ac:dyDescent="0.3">
      <c r="A66" s="993">
        <v>108</v>
      </c>
      <c r="B66" s="993"/>
      <c r="C66" s="997">
        <v>108</v>
      </c>
      <c r="D66" s="1003" t="s">
        <v>392</v>
      </c>
      <c r="E66" s="1005">
        <v>0</v>
      </c>
      <c r="F66" s="993"/>
    </row>
    <row r="67" spans="1:80" s="401" customFormat="1" ht="26.4" x14ac:dyDescent="0.3">
      <c r="A67" s="993">
        <v>147</v>
      </c>
      <c r="B67" s="993"/>
      <c r="C67" s="997">
        <v>147</v>
      </c>
      <c r="D67" s="1003" t="s">
        <v>307</v>
      </c>
      <c r="E67" s="1005">
        <v>0</v>
      </c>
      <c r="F67" s="993"/>
    </row>
    <row r="68" spans="1:80" s="401" customFormat="1" ht="26.4" x14ac:dyDescent="0.3">
      <c r="A68" s="993">
        <v>148</v>
      </c>
      <c r="B68" s="993"/>
      <c r="C68" s="997">
        <v>148</v>
      </c>
      <c r="D68" s="1003" t="s">
        <v>308</v>
      </c>
      <c r="E68" s="1005">
        <v>0</v>
      </c>
      <c r="F68" s="993"/>
    </row>
    <row r="69" spans="1:80" s="401" customFormat="1" ht="26.4" x14ac:dyDescent="0.3">
      <c r="A69" s="993">
        <v>149</v>
      </c>
      <c r="B69" s="993"/>
      <c r="C69" s="997">
        <v>149</v>
      </c>
      <c r="D69" s="1003" t="s">
        <v>309</v>
      </c>
      <c r="E69" s="1005">
        <v>0</v>
      </c>
      <c r="F69" s="993"/>
    </row>
    <row r="70" spans="1:80" s="401" customFormat="1" ht="26.4" x14ac:dyDescent="0.3">
      <c r="A70" s="993">
        <v>150</v>
      </c>
      <c r="B70" s="993"/>
      <c r="C70" s="997">
        <v>150</v>
      </c>
      <c r="D70" s="1003" t="s">
        <v>310</v>
      </c>
      <c r="E70" s="1005">
        <v>0</v>
      </c>
      <c r="F70" s="993"/>
    </row>
    <row r="71" spans="1:80" s="401" customFormat="1" x14ac:dyDescent="0.3">
      <c r="A71" s="993">
        <v>171</v>
      </c>
      <c r="B71" s="993"/>
      <c r="C71" s="997">
        <v>171</v>
      </c>
      <c r="D71" s="998" t="s">
        <v>441</v>
      </c>
      <c r="E71" s="1005">
        <v>0</v>
      </c>
      <c r="F71" s="993"/>
      <c r="BH71" s="401">
        <v>0</v>
      </c>
      <c r="BI71" s="401">
        <v>23467</v>
      </c>
      <c r="BJ71" s="401">
        <v>61184</v>
      </c>
      <c r="BK71" s="401">
        <v>0</v>
      </c>
      <c r="BL71" s="401">
        <v>297196</v>
      </c>
      <c r="BM71" s="401">
        <v>0</v>
      </c>
      <c r="BN71" s="401">
        <v>0</v>
      </c>
      <c r="BO71" s="401">
        <v>220529</v>
      </c>
      <c r="BP71" s="401">
        <v>0</v>
      </c>
      <c r="BQ71" s="401">
        <v>12288</v>
      </c>
      <c r="BR71" s="401">
        <v>0</v>
      </c>
      <c r="BS71" s="401">
        <v>0</v>
      </c>
      <c r="BT71" s="401">
        <v>1268956</v>
      </c>
      <c r="BU71" s="401">
        <v>59295</v>
      </c>
      <c r="BV71" s="401">
        <v>76999</v>
      </c>
      <c r="BW71" s="401">
        <v>82104</v>
      </c>
      <c r="BX71" s="401">
        <v>0</v>
      </c>
      <c r="BY71" s="401">
        <v>0</v>
      </c>
      <c r="BZ71" s="401">
        <v>0</v>
      </c>
      <c r="CA71" s="401">
        <v>1536937</v>
      </c>
      <c r="CB71" s="401">
        <v>4956</v>
      </c>
    </row>
    <row r="72" spans="1:80" s="401" customFormat="1" x14ac:dyDescent="0.3">
      <c r="A72" s="993">
        <v>191</v>
      </c>
      <c r="B72" s="993"/>
      <c r="C72" s="997">
        <v>191</v>
      </c>
      <c r="D72" s="998" t="s">
        <v>1426</v>
      </c>
      <c r="E72" s="1005">
        <v>0</v>
      </c>
      <c r="F72" s="993"/>
      <c r="BH72" s="401">
        <v>0</v>
      </c>
      <c r="BI72" s="401">
        <v>207600</v>
      </c>
      <c r="BJ72" s="401">
        <v>0</v>
      </c>
      <c r="BK72" s="401">
        <v>0</v>
      </c>
      <c r="BL72" s="401">
        <v>10149</v>
      </c>
      <c r="BM72" s="401">
        <v>0</v>
      </c>
      <c r="BN72" s="401">
        <v>0</v>
      </c>
      <c r="BO72" s="401">
        <v>12317</v>
      </c>
      <c r="BP72" s="401">
        <v>165124</v>
      </c>
      <c r="BQ72" s="401">
        <v>0</v>
      </c>
      <c r="BR72" s="401">
        <v>0</v>
      </c>
      <c r="BS72" s="401">
        <v>0</v>
      </c>
      <c r="BT72" s="401">
        <v>0</v>
      </c>
      <c r="BU72" s="401">
        <v>71976</v>
      </c>
      <c r="BV72" s="401">
        <v>0</v>
      </c>
      <c r="BW72" s="401">
        <v>806402</v>
      </c>
      <c r="BX72" s="401">
        <v>13400</v>
      </c>
      <c r="BY72" s="401">
        <v>0</v>
      </c>
      <c r="BZ72" s="401">
        <v>0</v>
      </c>
      <c r="CA72" s="401">
        <v>5400880</v>
      </c>
      <c r="CB72" s="401">
        <v>0</v>
      </c>
    </row>
    <row r="73" spans="1:80" s="401" customFormat="1" x14ac:dyDescent="0.3">
      <c r="A73" s="993">
        <v>192</v>
      </c>
      <c r="B73" s="993"/>
      <c r="C73" s="997">
        <v>192</v>
      </c>
      <c r="D73" s="998" t="s">
        <v>1427</v>
      </c>
      <c r="E73" s="1005">
        <v>0</v>
      </c>
      <c r="F73" s="993"/>
      <c r="BH73" s="401">
        <v>0</v>
      </c>
      <c r="BI73" s="401">
        <v>0</v>
      </c>
      <c r="BJ73" s="401">
        <v>0</v>
      </c>
      <c r="BK73" s="401">
        <v>0</v>
      </c>
      <c r="BL73" s="401">
        <v>20620</v>
      </c>
      <c r="BM73" s="401">
        <v>0</v>
      </c>
      <c r="BN73" s="401">
        <v>0</v>
      </c>
      <c r="BO73" s="401">
        <v>0</v>
      </c>
      <c r="BP73" s="401">
        <v>0</v>
      </c>
      <c r="BQ73" s="401">
        <v>0</v>
      </c>
      <c r="BR73" s="401">
        <v>0</v>
      </c>
      <c r="BS73" s="401">
        <v>0</v>
      </c>
      <c r="BT73" s="401">
        <v>0</v>
      </c>
      <c r="BU73" s="401">
        <v>0</v>
      </c>
      <c r="BV73" s="401">
        <v>0</v>
      </c>
      <c r="BW73" s="401">
        <v>0</v>
      </c>
      <c r="BX73" s="401">
        <v>0</v>
      </c>
      <c r="BY73" s="401">
        <v>0</v>
      </c>
      <c r="BZ73" s="401">
        <v>0</v>
      </c>
      <c r="CA73" s="401">
        <v>0</v>
      </c>
      <c r="CB73" s="401">
        <v>0</v>
      </c>
    </row>
    <row r="74" spans="1:80" s="401" customFormat="1" ht="28.8" x14ac:dyDescent="0.3">
      <c r="A74" s="993">
        <v>193</v>
      </c>
      <c r="B74" s="1000">
        <v>193</v>
      </c>
      <c r="C74" s="997">
        <v>193</v>
      </c>
      <c r="D74" s="1002" t="s">
        <v>311</v>
      </c>
      <c r="E74" s="1005">
        <v>393566</v>
      </c>
      <c r="F74" s="993">
        <v>193</v>
      </c>
    </row>
    <row r="75" spans="1:80" s="401" customFormat="1" ht="26.4" x14ac:dyDescent="0.3">
      <c r="A75" s="993">
        <v>194</v>
      </c>
      <c r="B75" s="993"/>
      <c r="C75" s="997">
        <v>194</v>
      </c>
      <c r="D75" s="1003" t="s">
        <v>312</v>
      </c>
      <c r="E75" s="1005">
        <v>0</v>
      </c>
      <c r="F75" s="993"/>
    </row>
    <row r="76" spans="1:80" s="401" customFormat="1" ht="28.8" x14ac:dyDescent="0.3">
      <c r="A76" s="993">
        <v>231</v>
      </c>
      <c r="B76" s="993"/>
      <c r="C76" s="997">
        <v>231</v>
      </c>
      <c r="D76" s="998" t="s">
        <v>313</v>
      </c>
      <c r="E76" s="1005">
        <v>0</v>
      </c>
      <c r="F76" s="993"/>
    </row>
    <row r="77" spans="1:80" s="401" customFormat="1" ht="28.8" x14ac:dyDescent="0.3">
      <c r="A77" s="993">
        <v>251</v>
      </c>
      <c r="B77" s="993"/>
      <c r="C77" s="997">
        <v>251</v>
      </c>
      <c r="D77" s="998" t="s">
        <v>314</v>
      </c>
      <c r="E77" s="1005">
        <v>0</v>
      </c>
      <c r="F77" s="993"/>
    </row>
    <row r="78" spans="1:80" s="401" customFormat="1" x14ac:dyDescent="0.3">
      <c r="A78" s="993">
        <v>252</v>
      </c>
      <c r="B78" s="1000"/>
      <c r="C78" s="997">
        <v>252</v>
      </c>
      <c r="D78" s="998" t="s">
        <v>103</v>
      </c>
      <c r="E78" s="1005">
        <v>0</v>
      </c>
      <c r="F78" s="993"/>
      <c r="BH78" s="401">
        <v>51249</v>
      </c>
      <c r="BI78" s="401">
        <v>2011472</v>
      </c>
      <c r="BJ78" s="401">
        <v>7591841</v>
      </c>
      <c r="BK78" s="401">
        <v>0</v>
      </c>
      <c r="BL78" s="401">
        <v>8774417</v>
      </c>
      <c r="BM78" s="401">
        <v>7330548</v>
      </c>
      <c r="BN78" s="401">
        <v>47440</v>
      </c>
      <c r="BO78" s="401">
        <v>7995695</v>
      </c>
      <c r="BP78" s="401">
        <v>4068031</v>
      </c>
      <c r="BQ78" s="401">
        <v>565322</v>
      </c>
      <c r="BR78" s="401">
        <v>1432425</v>
      </c>
      <c r="BS78" s="401">
        <v>8650791</v>
      </c>
      <c r="BT78" s="401">
        <v>251567133</v>
      </c>
      <c r="BU78" s="401">
        <v>1696284</v>
      </c>
      <c r="BV78" s="401">
        <v>2536762</v>
      </c>
      <c r="BW78" s="401">
        <v>884660</v>
      </c>
      <c r="BX78" s="401">
        <v>3420578</v>
      </c>
      <c r="BY78" s="401">
        <v>7793</v>
      </c>
      <c r="BZ78" s="401">
        <v>5739</v>
      </c>
      <c r="CA78" s="401">
        <v>48932506</v>
      </c>
      <c r="CB78" s="401">
        <v>198855</v>
      </c>
    </row>
    <row r="79" spans="1:80" s="401" customFormat="1" x14ac:dyDescent="0.3">
      <c r="A79" s="993">
        <v>253</v>
      </c>
      <c r="B79" s="1000"/>
      <c r="C79" s="997">
        <v>253</v>
      </c>
      <c r="D79" s="998" t="s">
        <v>104</v>
      </c>
      <c r="E79" s="1005">
        <v>0</v>
      </c>
      <c r="F79" s="993"/>
      <c r="BH79" s="401">
        <v>29512</v>
      </c>
      <c r="BI79" s="401">
        <v>445952</v>
      </c>
      <c r="BJ79" s="401">
        <v>453580</v>
      </c>
      <c r="BK79" s="401">
        <v>0</v>
      </c>
      <c r="BL79" s="401">
        <v>952637</v>
      </c>
      <c r="BM79" s="401">
        <v>432469</v>
      </c>
      <c r="BN79" s="401">
        <v>5800</v>
      </c>
      <c r="BO79" s="401">
        <v>1529703</v>
      </c>
      <c r="BP79" s="401">
        <v>343060</v>
      </c>
      <c r="BQ79" s="401">
        <v>226345</v>
      </c>
      <c r="BR79" s="401">
        <v>506246</v>
      </c>
      <c r="BS79" s="401">
        <v>79976</v>
      </c>
      <c r="BT79" s="401">
        <v>7149641</v>
      </c>
      <c r="BU79" s="401">
        <v>333682</v>
      </c>
      <c r="BV79" s="401">
        <v>456897</v>
      </c>
      <c r="BW79" s="401">
        <v>142338</v>
      </c>
      <c r="BX79" s="401">
        <v>553493</v>
      </c>
      <c r="BY79" s="401">
        <v>21475</v>
      </c>
      <c r="BZ79" s="401">
        <v>23979</v>
      </c>
      <c r="CA79" s="401">
        <v>2535935</v>
      </c>
      <c r="CB79" s="401">
        <v>8569</v>
      </c>
    </row>
    <row r="80" spans="1:80" s="401" customFormat="1" x14ac:dyDescent="0.3">
      <c r="A80" s="993">
        <v>254</v>
      </c>
      <c r="B80" s="1000"/>
      <c r="C80" s="997">
        <v>254</v>
      </c>
      <c r="D80" s="998" t="s">
        <v>105</v>
      </c>
      <c r="E80" s="1005">
        <v>0</v>
      </c>
      <c r="F80" s="993"/>
      <c r="BH80" s="401">
        <v>153727</v>
      </c>
      <c r="BI80" s="401">
        <v>-992453</v>
      </c>
      <c r="BJ80" s="401">
        <v>2494348</v>
      </c>
      <c r="BK80" s="401">
        <v>0</v>
      </c>
      <c r="BL80" s="401">
        <v>1783466</v>
      </c>
      <c r="BM80" s="401">
        <v>3652165</v>
      </c>
      <c r="BN80" s="401">
        <v>136189</v>
      </c>
      <c r="BO80" s="401">
        <v>1880575</v>
      </c>
      <c r="BP80" s="401">
        <v>3131400</v>
      </c>
      <c r="BQ80" s="401">
        <v>1361244</v>
      </c>
      <c r="BR80" s="401">
        <v>2141629</v>
      </c>
      <c r="BS80" s="401">
        <v>3002283</v>
      </c>
      <c r="BT80" s="401">
        <v>2926238</v>
      </c>
      <c r="BU80" s="401">
        <v>2327954</v>
      </c>
      <c r="BV80" s="401">
        <v>-1998234</v>
      </c>
      <c r="BW80" s="401">
        <v>549799</v>
      </c>
      <c r="BX80" s="401">
        <v>751260</v>
      </c>
      <c r="BY80" s="401">
        <v>165573</v>
      </c>
      <c r="BZ80" s="401">
        <v>193444</v>
      </c>
      <c r="CA80" s="401">
        <v>6215856</v>
      </c>
      <c r="CB80" s="401">
        <v>106377</v>
      </c>
    </row>
    <row r="81" spans="1:80" s="401" customFormat="1" x14ac:dyDescent="0.3">
      <c r="A81" s="993">
        <v>255</v>
      </c>
      <c r="B81" s="1000"/>
      <c r="C81" s="997">
        <v>255</v>
      </c>
      <c r="D81" s="998" t="s">
        <v>197</v>
      </c>
      <c r="E81" s="1005">
        <v>0</v>
      </c>
      <c r="F81" s="993"/>
      <c r="BH81" s="401">
        <v>16715</v>
      </c>
      <c r="BI81" s="401">
        <v>-376516</v>
      </c>
      <c r="BJ81" s="401">
        <v>471463</v>
      </c>
      <c r="BK81" s="401">
        <v>0</v>
      </c>
      <c r="BL81" s="401">
        <v>87778</v>
      </c>
      <c r="BM81" s="401">
        <v>-133539</v>
      </c>
      <c r="BN81" s="401">
        <v>6387</v>
      </c>
      <c r="BO81" s="401">
        <v>-876725</v>
      </c>
      <c r="BP81" s="401">
        <v>258453</v>
      </c>
      <c r="BQ81" s="401">
        <v>-70937</v>
      </c>
      <c r="BR81" s="401">
        <v>1403235</v>
      </c>
      <c r="BS81" s="401">
        <v>5228882</v>
      </c>
      <c r="BT81" s="401">
        <v>-292047</v>
      </c>
      <c r="BU81" s="401">
        <v>-5973</v>
      </c>
      <c r="BV81" s="401">
        <v>211489</v>
      </c>
      <c r="BW81" s="401">
        <v>-25043</v>
      </c>
      <c r="BX81" s="401">
        <v>406106</v>
      </c>
      <c r="BY81" s="401">
        <v>8253</v>
      </c>
      <c r="BZ81" s="401">
        <v>6444</v>
      </c>
      <c r="CA81" s="401">
        <v>3971837</v>
      </c>
      <c r="CB81" s="401">
        <v>12487</v>
      </c>
    </row>
    <row r="82" spans="1:80" s="401" customFormat="1" x14ac:dyDescent="0.3">
      <c r="A82" s="993">
        <v>274</v>
      </c>
      <c r="B82" s="993"/>
      <c r="C82" s="997">
        <v>274</v>
      </c>
      <c r="D82" s="1002" t="s">
        <v>315</v>
      </c>
      <c r="E82" s="1005">
        <v>0</v>
      </c>
      <c r="F82" s="993"/>
    </row>
    <row r="83" spans="1:80" s="401" customFormat="1" x14ac:dyDescent="0.3">
      <c r="A83" s="993">
        <v>294</v>
      </c>
      <c r="B83" s="993"/>
      <c r="C83" s="997">
        <v>294</v>
      </c>
      <c r="D83" s="1003" t="s">
        <v>595</v>
      </c>
      <c r="E83" s="1005">
        <v>0</v>
      </c>
      <c r="F83" s="993"/>
    </row>
    <row r="84" spans="1:80" s="401" customFormat="1" ht="26.4" x14ac:dyDescent="0.3">
      <c r="A84" s="993">
        <v>314</v>
      </c>
      <c r="B84" s="993"/>
      <c r="C84" s="997">
        <v>314</v>
      </c>
      <c r="D84" s="1003" t="s">
        <v>316</v>
      </c>
      <c r="E84" s="1005">
        <v>0</v>
      </c>
      <c r="F84" s="993"/>
    </row>
    <row r="85" spans="1:80" s="401" customFormat="1" ht="26.4" x14ac:dyDescent="0.3">
      <c r="A85" s="993">
        <v>315</v>
      </c>
      <c r="B85" s="993"/>
      <c r="C85" s="997">
        <v>315</v>
      </c>
      <c r="D85" s="1003" t="s">
        <v>317</v>
      </c>
      <c r="E85" s="1005">
        <v>0</v>
      </c>
      <c r="F85" s="993"/>
    </row>
    <row r="86" spans="1:80" s="401" customFormat="1" ht="26.4" x14ac:dyDescent="0.3">
      <c r="A86" s="993">
        <v>316</v>
      </c>
      <c r="B86" s="993"/>
      <c r="C86" s="997">
        <v>316</v>
      </c>
      <c r="D86" s="1003" t="s">
        <v>318</v>
      </c>
      <c r="E86" s="1005">
        <v>0</v>
      </c>
      <c r="F86" s="993"/>
    </row>
    <row r="87" spans="1:80" s="401" customFormat="1" x14ac:dyDescent="0.3">
      <c r="A87" s="1006">
        <v>320</v>
      </c>
      <c r="B87" s="1006"/>
      <c r="C87" s="1007">
        <v>320</v>
      </c>
      <c r="D87" s="1008" t="s">
        <v>258</v>
      </c>
      <c r="E87" s="1009">
        <v>0</v>
      </c>
      <c r="F87" s="993"/>
    </row>
    <row r="88" spans="1:80" s="401" customFormat="1" x14ac:dyDescent="0.3">
      <c r="A88" s="1006">
        <v>321</v>
      </c>
      <c r="B88" s="1006"/>
      <c r="C88" s="1007">
        <v>321</v>
      </c>
      <c r="D88" s="1008" t="s">
        <v>596</v>
      </c>
      <c r="E88" s="1009">
        <v>0</v>
      </c>
      <c r="F88" s="993"/>
    </row>
    <row r="89" spans="1:80" s="401" customFormat="1" x14ac:dyDescent="0.3">
      <c r="A89" s="1006">
        <v>322</v>
      </c>
      <c r="B89" s="1006"/>
      <c r="C89" s="1007">
        <v>322</v>
      </c>
      <c r="D89" s="1008" t="s">
        <v>260</v>
      </c>
      <c r="E89" s="1009">
        <v>0</v>
      </c>
      <c r="F89" s="993"/>
    </row>
    <row r="90" spans="1:80" s="401" customFormat="1" x14ac:dyDescent="0.3">
      <c r="A90" s="1006">
        <v>323</v>
      </c>
      <c r="B90" s="1006"/>
      <c r="C90" s="1007">
        <v>323</v>
      </c>
      <c r="D90" s="1008" t="s">
        <v>259</v>
      </c>
      <c r="E90" s="1009">
        <v>0</v>
      </c>
      <c r="F90" s="993"/>
    </row>
    <row r="91" spans="1:80" s="401" customFormat="1" x14ac:dyDescent="0.3">
      <c r="A91" s="1006">
        <v>324</v>
      </c>
      <c r="B91" s="1006"/>
      <c r="C91" s="1007">
        <v>324</v>
      </c>
      <c r="D91" s="1008" t="s">
        <v>257</v>
      </c>
      <c r="E91" s="1009">
        <v>0</v>
      </c>
      <c r="F91" s="993"/>
    </row>
    <row r="92" spans="1:80" s="401" customFormat="1" x14ac:dyDescent="0.3">
      <c r="A92" s="1006">
        <v>325</v>
      </c>
      <c r="B92" s="1000"/>
      <c r="C92" s="1007">
        <v>325</v>
      </c>
      <c r="D92" s="1008" t="s">
        <v>261</v>
      </c>
      <c r="E92" s="1010">
        <v>0</v>
      </c>
      <c r="F92" s="993"/>
    </row>
    <row r="93" spans="1:80" s="401" customFormat="1" x14ac:dyDescent="0.3">
      <c r="A93" s="993">
        <v>326</v>
      </c>
      <c r="B93" s="1000"/>
      <c r="C93" s="997">
        <v>326</v>
      </c>
      <c r="D93" s="998" t="s">
        <v>441</v>
      </c>
      <c r="E93" s="1011">
        <v>0</v>
      </c>
      <c r="F93" s="993"/>
    </row>
    <row r="94" spans="1:80" s="401" customFormat="1" x14ac:dyDescent="0.3">
      <c r="A94" s="993">
        <v>327</v>
      </c>
      <c r="B94" s="1000"/>
      <c r="C94" s="997">
        <v>327</v>
      </c>
      <c r="D94" s="998" t="s">
        <v>1428</v>
      </c>
      <c r="E94" s="1011">
        <v>0</v>
      </c>
      <c r="F94" s="993"/>
      <c r="BH94" s="401">
        <v>0</v>
      </c>
      <c r="BI94" s="401">
        <v>43326</v>
      </c>
      <c r="BJ94" s="401">
        <v>125250</v>
      </c>
      <c r="BK94" s="401">
        <v>0</v>
      </c>
      <c r="BL94" s="401">
        <v>186016</v>
      </c>
      <c r="BM94" s="401">
        <v>229735</v>
      </c>
      <c r="BN94" s="401">
        <v>0</v>
      </c>
      <c r="BO94" s="401">
        <v>101245</v>
      </c>
      <c r="BP94" s="401">
        <v>82273</v>
      </c>
      <c r="BQ94" s="401">
        <v>62472</v>
      </c>
      <c r="BR94" s="401">
        <v>25109</v>
      </c>
      <c r="BS94" s="401">
        <v>0</v>
      </c>
      <c r="BT94" s="401">
        <v>0</v>
      </c>
      <c r="BU94" s="401">
        <v>131166</v>
      </c>
      <c r="BV94" s="401">
        <v>111061</v>
      </c>
      <c r="BW94" s="401">
        <v>21500</v>
      </c>
      <c r="BX94" s="401">
        <v>0</v>
      </c>
      <c r="BY94" s="401">
        <v>0</v>
      </c>
      <c r="BZ94" s="401">
        <v>0</v>
      </c>
      <c r="CA94" s="401">
        <v>520198</v>
      </c>
      <c r="CB94" s="401">
        <v>0</v>
      </c>
    </row>
    <row r="95" spans="1:80" s="401" customFormat="1" x14ac:dyDescent="0.3">
      <c r="A95" s="993">
        <v>328</v>
      </c>
      <c r="B95" s="1000"/>
      <c r="C95" s="997">
        <v>328</v>
      </c>
      <c r="D95" s="998" t="s">
        <v>1429</v>
      </c>
      <c r="E95" s="1011">
        <v>0</v>
      </c>
      <c r="F95" s="993"/>
      <c r="BH95" s="401">
        <v>0</v>
      </c>
      <c r="BI95" s="401">
        <v>0</v>
      </c>
      <c r="BJ95" s="401">
        <v>22542</v>
      </c>
      <c r="BK95" s="401">
        <v>0</v>
      </c>
      <c r="BL95" s="401">
        <v>1066864</v>
      </c>
      <c r="BM95" s="401">
        <v>0</v>
      </c>
      <c r="BN95" s="401">
        <v>0</v>
      </c>
      <c r="BO95" s="401">
        <v>35710</v>
      </c>
      <c r="BP95" s="401">
        <v>838401</v>
      </c>
      <c r="BQ95" s="401">
        <v>0</v>
      </c>
      <c r="BR95" s="401">
        <v>592648</v>
      </c>
      <c r="BS95" s="401">
        <v>0</v>
      </c>
      <c r="BT95" s="401">
        <v>0</v>
      </c>
      <c r="BU95" s="401">
        <v>176833</v>
      </c>
      <c r="BV95" s="401">
        <v>402493</v>
      </c>
      <c r="BW95" s="401">
        <v>1512813</v>
      </c>
      <c r="BX95" s="401">
        <v>0</v>
      </c>
      <c r="BY95" s="401">
        <v>0</v>
      </c>
      <c r="BZ95" s="401">
        <v>0</v>
      </c>
      <c r="CA95" s="401">
        <v>357724</v>
      </c>
      <c r="CB95" s="401">
        <v>0</v>
      </c>
    </row>
    <row r="96" spans="1:80" s="401" customFormat="1" ht="28.8" x14ac:dyDescent="0.3">
      <c r="A96" s="993">
        <v>330</v>
      </c>
      <c r="B96" s="1000"/>
      <c r="C96" s="997">
        <v>330</v>
      </c>
      <c r="D96" s="998" t="s">
        <v>1430</v>
      </c>
      <c r="E96" s="1011">
        <v>0</v>
      </c>
      <c r="F96" s="993"/>
      <c r="BH96" s="401">
        <v>0</v>
      </c>
      <c r="BI96" s="401">
        <v>0</v>
      </c>
      <c r="BJ96" s="401">
        <v>0</v>
      </c>
      <c r="BK96" s="401">
        <v>0</v>
      </c>
      <c r="BL96" s="401">
        <v>0</v>
      </c>
      <c r="BM96" s="401">
        <v>0</v>
      </c>
      <c r="BN96" s="401">
        <v>0</v>
      </c>
      <c r="BO96" s="401">
        <v>0</v>
      </c>
      <c r="BP96" s="401">
        <v>0</v>
      </c>
      <c r="BQ96" s="401">
        <v>0</v>
      </c>
      <c r="BR96" s="401">
        <v>0</v>
      </c>
      <c r="BS96" s="401">
        <v>0</v>
      </c>
      <c r="BT96" s="401">
        <v>0</v>
      </c>
      <c r="BU96" s="401">
        <v>0</v>
      </c>
      <c r="BV96" s="401">
        <v>0</v>
      </c>
      <c r="BW96" s="401">
        <v>0</v>
      </c>
      <c r="BX96" s="401">
        <v>0</v>
      </c>
      <c r="BY96" s="401">
        <v>0</v>
      </c>
      <c r="BZ96" s="401">
        <v>0</v>
      </c>
      <c r="CA96" s="401">
        <v>0</v>
      </c>
      <c r="CB96" s="401">
        <v>0</v>
      </c>
    </row>
    <row r="97" spans="1:80" s="401" customFormat="1" ht="28.8" x14ac:dyDescent="0.3">
      <c r="A97" s="993">
        <v>331</v>
      </c>
      <c r="B97" s="1000"/>
      <c r="C97" s="997">
        <v>331</v>
      </c>
      <c r="D97" s="998" t="s">
        <v>1431</v>
      </c>
      <c r="E97" s="1011">
        <v>0</v>
      </c>
      <c r="BH97" s="401">
        <v>0</v>
      </c>
      <c r="BI97" s="401">
        <v>267321</v>
      </c>
      <c r="BJ97" s="401">
        <v>162960</v>
      </c>
      <c r="BK97" s="401">
        <v>0</v>
      </c>
      <c r="BL97" s="401">
        <v>79013</v>
      </c>
      <c r="BM97" s="401">
        <v>36664</v>
      </c>
      <c r="BN97" s="401">
        <v>0</v>
      </c>
      <c r="BO97" s="401">
        <v>280980</v>
      </c>
      <c r="BP97" s="401">
        <v>88931</v>
      </c>
      <c r="BQ97" s="401">
        <v>11600</v>
      </c>
      <c r="BR97" s="401">
        <v>97188</v>
      </c>
      <c r="BS97" s="401">
        <v>0</v>
      </c>
      <c r="BT97" s="401">
        <v>0</v>
      </c>
      <c r="BU97" s="401">
        <v>32088</v>
      </c>
      <c r="BV97" s="401">
        <v>321659</v>
      </c>
      <c r="BW97" s="401">
        <v>12132</v>
      </c>
      <c r="BX97" s="401">
        <v>0</v>
      </c>
      <c r="BY97" s="401">
        <v>0</v>
      </c>
      <c r="BZ97" s="401">
        <v>0</v>
      </c>
      <c r="CA97" s="401">
        <v>751542</v>
      </c>
      <c r="CB97" s="401">
        <v>0</v>
      </c>
    </row>
    <row r="98" spans="1:80" s="401" customFormat="1" x14ac:dyDescent="0.3">
      <c r="A98" s="993">
        <v>332</v>
      </c>
      <c r="B98" s="1000"/>
      <c r="C98" s="997">
        <v>332</v>
      </c>
      <c r="D98" s="998" t="s">
        <v>1432</v>
      </c>
      <c r="E98" s="1011">
        <v>0</v>
      </c>
      <c r="BH98" s="401">
        <v>0</v>
      </c>
      <c r="BI98" s="401">
        <v>120373</v>
      </c>
      <c r="BJ98" s="401">
        <v>61654</v>
      </c>
      <c r="BK98" s="401">
        <v>0</v>
      </c>
      <c r="BL98" s="401">
        <v>434230</v>
      </c>
      <c r="BM98" s="401">
        <v>87827</v>
      </c>
      <c r="BN98" s="401">
        <v>0</v>
      </c>
      <c r="BO98" s="401">
        <v>274395</v>
      </c>
      <c r="BP98" s="401">
        <v>251461</v>
      </c>
      <c r="BQ98" s="401">
        <v>2975</v>
      </c>
      <c r="BR98" s="401">
        <v>506613</v>
      </c>
      <c r="BS98" s="401">
        <v>0</v>
      </c>
      <c r="BT98" s="401">
        <v>0</v>
      </c>
      <c r="BU98" s="401">
        <v>71976</v>
      </c>
      <c r="BV98" s="401">
        <v>331847</v>
      </c>
      <c r="BW98" s="401">
        <v>1500846</v>
      </c>
      <c r="BX98" s="401">
        <v>359527</v>
      </c>
      <c r="BY98" s="401">
        <v>0</v>
      </c>
      <c r="BZ98" s="401">
        <v>0</v>
      </c>
      <c r="CA98" s="401">
        <v>1825053</v>
      </c>
      <c r="CB98" s="401">
        <v>0</v>
      </c>
    </row>
    <row r="99" spans="1:80" s="401" customFormat="1" x14ac:dyDescent="0.3">
      <c r="A99" s="993">
        <v>333</v>
      </c>
      <c r="B99" s="1000"/>
      <c r="C99" s="997">
        <v>333</v>
      </c>
      <c r="D99" s="998" t="s">
        <v>184</v>
      </c>
      <c r="E99" s="1011">
        <v>0</v>
      </c>
      <c r="BH99" s="401">
        <v>154205</v>
      </c>
      <c r="BI99" s="401">
        <v>2907659</v>
      </c>
      <c r="BJ99" s="401">
        <v>3433068</v>
      </c>
      <c r="BK99" s="401">
        <v>0</v>
      </c>
      <c r="BL99" s="401">
        <v>3239020</v>
      </c>
      <c r="BM99" s="401">
        <v>6246155</v>
      </c>
      <c r="BN99" s="401">
        <v>136189</v>
      </c>
      <c r="BO99" s="401">
        <v>3552094</v>
      </c>
      <c r="BP99" s="401">
        <v>3497525</v>
      </c>
      <c r="BQ99" s="401">
        <v>1469511</v>
      </c>
      <c r="BR99" s="401">
        <v>2534166</v>
      </c>
      <c r="BS99" s="401">
        <v>3043456</v>
      </c>
      <c r="BT99" s="401">
        <v>13944529</v>
      </c>
      <c r="BU99" s="401">
        <v>2184911</v>
      </c>
      <c r="BV99" s="401">
        <v>1638025</v>
      </c>
      <c r="BW99" s="401">
        <v>957606</v>
      </c>
      <c r="BX99" s="401">
        <v>1108232</v>
      </c>
      <c r="BY99" s="401">
        <v>165153</v>
      </c>
      <c r="BZ99" s="401">
        <v>192770</v>
      </c>
      <c r="CA99" s="401">
        <v>13891189</v>
      </c>
      <c r="CB99" s="401">
        <v>94313</v>
      </c>
    </row>
    <row r="100" spans="1:80" s="401" customFormat="1" x14ac:dyDescent="0.3">
      <c r="A100" s="993">
        <v>334</v>
      </c>
      <c r="B100" s="1000"/>
      <c r="C100" s="997">
        <v>334</v>
      </c>
      <c r="D100" s="998" t="s">
        <v>276</v>
      </c>
      <c r="E100" s="1011">
        <v>0</v>
      </c>
      <c r="BH100" s="401">
        <v>125775</v>
      </c>
      <c r="BI100" s="401">
        <v>6268686</v>
      </c>
      <c r="BJ100" s="401">
        <v>9087858</v>
      </c>
      <c r="BK100" s="401">
        <v>0</v>
      </c>
      <c r="BL100" s="401">
        <v>18897555</v>
      </c>
      <c r="BM100" s="401">
        <v>9185348</v>
      </c>
      <c r="BN100" s="401">
        <v>154058</v>
      </c>
      <c r="BO100" s="401">
        <v>16949536</v>
      </c>
      <c r="BP100" s="401">
        <v>9178071</v>
      </c>
      <c r="BQ100" s="401">
        <v>1250506</v>
      </c>
      <c r="BR100" s="401">
        <v>3071799</v>
      </c>
      <c r="BS100" s="401">
        <v>6069729</v>
      </c>
      <c r="BT100" s="401">
        <v>147737450</v>
      </c>
      <c r="BU100" s="401">
        <v>4927540</v>
      </c>
      <c r="BV100" s="401">
        <v>6077751</v>
      </c>
      <c r="BW100" s="401">
        <v>1824619</v>
      </c>
      <c r="BX100" s="401">
        <v>3774650</v>
      </c>
      <c r="BY100" s="401">
        <v>43270</v>
      </c>
      <c r="BZ100" s="401">
        <v>67343</v>
      </c>
      <c r="CA100" s="401">
        <v>66201823</v>
      </c>
      <c r="CB100" s="401">
        <v>312234</v>
      </c>
    </row>
    <row r="101" spans="1:80" s="401" customFormat="1" ht="28.8" x14ac:dyDescent="0.3">
      <c r="A101" s="993">
        <v>335</v>
      </c>
      <c r="B101" s="1000"/>
      <c r="C101" s="997">
        <v>335</v>
      </c>
      <c r="D101" s="998" t="s">
        <v>117</v>
      </c>
      <c r="E101" s="1011">
        <v>0</v>
      </c>
      <c r="BH101" s="401">
        <v>0</v>
      </c>
      <c r="BI101" s="401">
        <v>0</v>
      </c>
      <c r="BJ101" s="401">
        <v>0</v>
      </c>
      <c r="BK101" s="401">
        <v>0</v>
      </c>
      <c r="BL101" s="401">
        <v>148</v>
      </c>
      <c r="BM101" s="401">
        <v>0</v>
      </c>
      <c r="BN101" s="401">
        <v>0</v>
      </c>
      <c r="BO101" s="401">
        <v>0</v>
      </c>
      <c r="BP101" s="401">
        <v>0</v>
      </c>
      <c r="BQ101" s="401">
        <v>0</v>
      </c>
      <c r="BR101" s="401">
        <v>0</v>
      </c>
      <c r="BS101" s="401">
        <v>0</v>
      </c>
      <c r="BT101" s="401">
        <v>0</v>
      </c>
      <c r="BU101" s="401">
        <v>0</v>
      </c>
      <c r="BV101" s="401">
        <v>0</v>
      </c>
      <c r="BW101" s="401">
        <v>0</v>
      </c>
      <c r="BX101" s="401">
        <v>0</v>
      </c>
      <c r="BY101" s="401">
        <v>0</v>
      </c>
      <c r="BZ101" s="401">
        <v>0</v>
      </c>
      <c r="CA101" s="401">
        <v>0</v>
      </c>
      <c r="CB101" s="401">
        <v>0</v>
      </c>
    </row>
    <row r="102" spans="1:80" s="401" customFormat="1" x14ac:dyDescent="0.3">
      <c r="A102" s="993">
        <v>336</v>
      </c>
      <c r="B102" s="1000"/>
      <c r="C102" s="997">
        <v>336</v>
      </c>
      <c r="D102" s="998" t="s">
        <v>393</v>
      </c>
      <c r="E102" s="1011">
        <v>0</v>
      </c>
      <c r="BH102" s="401">
        <v>0</v>
      </c>
      <c r="BI102" s="401">
        <v>0</v>
      </c>
      <c r="BJ102" s="401">
        <v>0</v>
      </c>
      <c r="BK102" s="401">
        <v>0</v>
      </c>
      <c r="BL102" s="401">
        <v>0</v>
      </c>
      <c r="BM102" s="401">
        <v>0</v>
      </c>
      <c r="BN102" s="401">
        <v>0</v>
      </c>
      <c r="BO102" s="401">
        <v>0</v>
      </c>
      <c r="BP102" s="401">
        <v>0</v>
      </c>
      <c r="BQ102" s="401">
        <v>0</v>
      </c>
      <c r="BR102" s="401">
        <v>0</v>
      </c>
      <c r="BS102" s="401">
        <v>0</v>
      </c>
      <c r="BT102" s="401">
        <v>0</v>
      </c>
      <c r="BU102" s="401">
        <v>0</v>
      </c>
      <c r="BV102" s="401">
        <v>0</v>
      </c>
      <c r="BW102" s="401">
        <v>0</v>
      </c>
      <c r="BX102" s="401">
        <v>0</v>
      </c>
      <c r="BY102" s="401">
        <v>0</v>
      </c>
      <c r="BZ102" s="401">
        <v>0</v>
      </c>
      <c r="CA102" s="401">
        <v>0</v>
      </c>
      <c r="CB102" s="401">
        <v>0</v>
      </c>
    </row>
    <row r="103" spans="1:80" s="401" customFormat="1" ht="43.2" x14ac:dyDescent="0.3">
      <c r="A103" s="993">
        <v>337</v>
      </c>
      <c r="B103" s="993"/>
      <c r="C103" s="997">
        <v>337</v>
      </c>
      <c r="D103" s="998" t="s">
        <v>1433</v>
      </c>
      <c r="E103" s="1011">
        <v>0</v>
      </c>
      <c r="BH103" s="401">
        <v>0</v>
      </c>
      <c r="BI103" s="401">
        <v>104357</v>
      </c>
      <c r="BJ103" s="401">
        <v>0</v>
      </c>
      <c r="BK103" s="401">
        <v>0</v>
      </c>
      <c r="BL103" s="401">
        <v>1736667</v>
      </c>
      <c r="BM103" s="401">
        <v>0</v>
      </c>
      <c r="BN103" s="401">
        <v>0</v>
      </c>
      <c r="BO103" s="401">
        <v>1592703</v>
      </c>
      <c r="BP103" s="401">
        <v>0</v>
      </c>
      <c r="BQ103" s="401">
        <v>0</v>
      </c>
      <c r="BR103" s="401">
        <v>0</v>
      </c>
      <c r="BS103" s="401">
        <v>0</v>
      </c>
      <c r="BT103" s="401">
        <v>6563429</v>
      </c>
      <c r="BU103" s="401">
        <v>509638</v>
      </c>
      <c r="BV103" s="401">
        <v>271856</v>
      </c>
      <c r="BW103" s="401">
        <v>233497</v>
      </c>
      <c r="BX103" s="401">
        <v>0</v>
      </c>
      <c r="BY103" s="401">
        <v>0</v>
      </c>
      <c r="BZ103" s="401">
        <v>0</v>
      </c>
      <c r="CA103" s="401">
        <v>8371909</v>
      </c>
      <c r="CB103" s="401">
        <v>52121</v>
      </c>
    </row>
    <row r="104" spans="1:80" s="401" customFormat="1" ht="28.8" x14ac:dyDescent="0.3">
      <c r="A104" s="993">
        <v>338</v>
      </c>
      <c r="B104" s="1000"/>
      <c r="C104" s="997">
        <v>338</v>
      </c>
      <c r="D104" s="998" t="s">
        <v>116</v>
      </c>
      <c r="E104" s="1011">
        <v>0</v>
      </c>
      <c r="BH104" s="401">
        <v>2267</v>
      </c>
      <c r="BI104" s="401">
        <v>5058840</v>
      </c>
      <c r="BJ104" s="401">
        <v>1173100</v>
      </c>
      <c r="BK104" s="401">
        <v>0</v>
      </c>
      <c r="BL104" s="401">
        <v>3627249</v>
      </c>
      <c r="BM104" s="401">
        <v>3025909</v>
      </c>
      <c r="BN104" s="401">
        <v>0</v>
      </c>
      <c r="BO104" s="401">
        <v>4247810</v>
      </c>
      <c r="BP104" s="401">
        <v>836771</v>
      </c>
      <c r="BQ104" s="401">
        <v>241283</v>
      </c>
      <c r="BR104" s="401">
        <v>669506</v>
      </c>
      <c r="BS104" s="401">
        <v>153655</v>
      </c>
      <c r="BT104" s="401">
        <v>16149902</v>
      </c>
      <c r="BU104" s="401">
        <v>1133803</v>
      </c>
      <c r="BV104" s="401">
        <v>4353773</v>
      </c>
      <c r="BW104" s="401">
        <v>946560</v>
      </c>
      <c r="BX104" s="401">
        <v>48929</v>
      </c>
      <c r="BY104" s="401">
        <v>0</v>
      </c>
      <c r="BZ104" s="401">
        <v>0</v>
      </c>
      <c r="CA104" s="401">
        <v>22361004</v>
      </c>
      <c r="CB104" s="401">
        <v>52121</v>
      </c>
    </row>
    <row r="105" spans="1:80" s="401" customFormat="1" x14ac:dyDescent="0.3">
      <c r="A105" s="993">
        <v>339</v>
      </c>
      <c r="B105" s="1000"/>
      <c r="C105" s="997">
        <v>339</v>
      </c>
      <c r="D105" s="998" t="s">
        <v>190</v>
      </c>
      <c r="E105" s="1011">
        <v>0</v>
      </c>
      <c r="BH105" s="401">
        <v>5405</v>
      </c>
      <c r="BI105" s="401">
        <v>197651</v>
      </c>
      <c r="BJ105" s="401">
        <v>130499</v>
      </c>
      <c r="BK105" s="401">
        <v>0</v>
      </c>
      <c r="BL105" s="401">
        <v>257541</v>
      </c>
      <c r="BM105" s="401">
        <v>296519</v>
      </c>
      <c r="BN105" s="401">
        <v>0</v>
      </c>
      <c r="BO105" s="401">
        <v>1544228</v>
      </c>
      <c r="BP105" s="401">
        <v>29014</v>
      </c>
      <c r="BQ105" s="401">
        <v>40912</v>
      </c>
      <c r="BR105" s="401">
        <v>240044</v>
      </c>
      <c r="BS105" s="401">
        <v>92534</v>
      </c>
      <c r="BT105" s="401">
        <v>2131895</v>
      </c>
      <c r="BU105" s="401">
        <v>256648</v>
      </c>
      <c r="BV105" s="401">
        <v>275192</v>
      </c>
      <c r="BW105" s="401">
        <v>141522</v>
      </c>
      <c r="BX105" s="401">
        <v>1075</v>
      </c>
      <c r="BY105" s="401">
        <v>0</v>
      </c>
      <c r="BZ105" s="401">
        <v>0</v>
      </c>
      <c r="CA105" s="401">
        <v>1464352</v>
      </c>
      <c r="CB105" s="401">
        <v>384</v>
      </c>
    </row>
    <row r="106" spans="1:80" s="401" customFormat="1" ht="28.8" x14ac:dyDescent="0.3">
      <c r="A106" s="993">
        <v>340</v>
      </c>
      <c r="B106" s="993"/>
      <c r="C106" s="997">
        <v>340</v>
      </c>
      <c r="D106" s="998" t="s">
        <v>1434</v>
      </c>
      <c r="E106" s="1011">
        <v>0</v>
      </c>
    </row>
    <row r="107" spans="1:80" s="401" customFormat="1" x14ac:dyDescent="0.3">
      <c r="A107" s="993">
        <v>341</v>
      </c>
      <c r="B107" s="1000"/>
      <c r="C107" s="997">
        <v>341</v>
      </c>
      <c r="D107" s="998" t="s">
        <v>193</v>
      </c>
      <c r="E107" s="1011">
        <v>0</v>
      </c>
      <c r="BH107" s="401">
        <v>60740</v>
      </c>
      <c r="BI107" s="401">
        <v>2956856</v>
      </c>
      <c r="BJ107" s="401">
        <v>2597072</v>
      </c>
      <c r="BK107" s="401">
        <v>0</v>
      </c>
      <c r="BL107" s="401">
        <v>8356070</v>
      </c>
      <c r="BM107" s="401">
        <v>4139203</v>
      </c>
      <c r="BN107" s="401">
        <v>50974</v>
      </c>
      <c r="BO107" s="401">
        <v>5058536</v>
      </c>
      <c r="BP107" s="401">
        <v>1941710</v>
      </c>
      <c r="BQ107" s="401">
        <v>890328</v>
      </c>
      <c r="BR107" s="401">
        <v>1696198</v>
      </c>
      <c r="BS107" s="401">
        <v>1372902</v>
      </c>
      <c r="BT107" s="401">
        <v>21903074</v>
      </c>
      <c r="BU107" s="401">
        <v>1724066</v>
      </c>
      <c r="BV107" s="401">
        <v>2437775</v>
      </c>
      <c r="BW107" s="401">
        <v>515242</v>
      </c>
      <c r="BX107" s="401">
        <v>958648</v>
      </c>
      <c r="BY107" s="401">
        <v>36718</v>
      </c>
      <c r="BZ107" s="401">
        <v>43403</v>
      </c>
      <c r="CA107" s="401">
        <v>17058382</v>
      </c>
      <c r="CB107" s="401">
        <v>82344</v>
      </c>
    </row>
    <row r="108" spans="1:80" s="401" customFormat="1" x14ac:dyDescent="0.3">
      <c r="A108" s="993">
        <v>342</v>
      </c>
      <c r="B108" s="993"/>
      <c r="C108" s="997">
        <v>342</v>
      </c>
      <c r="D108" s="998" t="s">
        <v>394</v>
      </c>
      <c r="E108" s="1011">
        <v>0</v>
      </c>
    </row>
    <row r="109" spans="1:80" s="401" customFormat="1" ht="28.8" x14ac:dyDescent="0.3">
      <c r="A109" s="993">
        <v>343</v>
      </c>
      <c r="B109" s="993"/>
      <c r="C109" s="997">
        <v>343</v>
      </c>
      <c r="D109" s="998" t="s">
        <v>1435</v>
      </c>
      <c r="E109" s="1011">
        <v>0</v>
      </c>
      <c r="BH109" s="401">
        <v>0</v>
      </c>
      <c r="BI109" s="401">
        <v>20808</v>
      </c>
      <c r="BJ109" s="401">
        <v>59991</v>
      </c>
      <c r="BK109" s="401">
        <v>0</v>
      </c>
      <c r="BL109" s="401">
        <v>218333</v>
      </c>
      <c r="BM109" s="401">
        <v>0</v>
      </c>
      <c r="BN109" s="401">
        <v>0</v>
      </c>
      <c r="BO109" s="401">
        <v>187311</v>
      </c>
      <c r="BP109" s="401">
        <v>0</v>
      </c>
      <c r="BQ109" s="401">
        <v>12019</v>
      </c>
      <c r="BR109" s="401">
        <v>0</v>
      </c>
      <c r="BS109" s="401">
        <v>0</v>
      </c>
      <c r="BT109" s="401">
        <v>1080011</v>
      </c>
      <c r="BU109" s="401">
        <v>46518</v>
      </c>
      <c r="BV109" s="401">
        <v>69583</v>
      </c>
      <c r="BW109" s="401">
        <v>80922</v>
      </c>
      <c r="BX109" s="401">
        <v>0</v>
      </c>
      <c r="BY109" s="401">
        <v>0</v>
      </c>
      <c r="BZ109" s="401">
        <v>0</v>
      </c>
      <c r="CA109" s="401">
        <v>1273190</v>
      </c>
      <c r="CB109" s="401">
        <v>2548</v>
      </c>
    </row>
    <row r="110" spans="1:80" s="401" customFormat="1" x14ac:dyDescent="0.3">
      <c r="A110" s="993">
        <v>344</v>
      </c>
      <c r="B110" s="993"/>
      <c r="C110" s="997">
        <v>344</v>
      </c>
      <c r="D110" s="998" t="s">
        <v>1436</v>
      </c>
      <c r="E110" s="1011">
        <v>0</v>
      </c>
      <c r="BH110" s="401">
        <v>0</v>
      </c>
      <c r="BI110" s="401">
        <v>2659</v>
      </c>
      <c r="BJ110" s="401">
        <v>1193</v>
      </c>
      <c r="BK110" s="401">
        <v>0</v>
      </c>
      <c r="BL110" s="401">
        <v>52728</v>
      </c>
      <c r="BM110" s="401">
        <v>7474</v>
      </c>
      <c r="BN110" s="401">
        <v>0</v>
      </c>
      <c r="BO110" s="401">
        <v>32521</v>
      </c>
      <c r="BP110" s="401">
        <v>0</v>
      </c>
      <c r="BQ110" s="401">
        <v>269</v>
      </c>
      <c r="BR110" s="401">
        <v>0</v>
      </c>
      <c r="BS110" s="401">
        <v>0</v>
      </c>
      <c r="BT110" s="401">
        <v>177933</v>
      </c>
      <c r="BU110" s="401">
        <v>20874</v>
      </c>
      <c r="BV110" s="401">
        <v>7416</v>
      </c>
      <c r="BW110" s="401">
        <v>1182</v>
      </c>
      <c r="BX110" s="401">
        <v>0</v>
      </c>
      <c r="BY110" s="401">
        <v>0</v>
      </c>
      <c r="BZ110" s="401">
        <v>0</v>
      </c>
      <c r="CA110" s="401">
        <v>257803</v>
      </c>
      <c r="CB110" s="401">
        <v>2408</v>
      </c>
    </row>
    <row r="111" spans="1:80" s="401" customFormat="1" x14ac:dyDescent="0.3">
      <c r="A111" s="993">
        <v>346</v>
      </c>
      <c r="B111" s="993"/>
      <c r="C111" s="997">
        <v>346</v>
      </c>
      <c r="D111" s="998" t="s">
        <v>395</v>
      </c>
      <c r="E111" s="1011">
        <v>0</v>
      </c>
      <c r="BH111" s="401">
        <v>0</v>
      </c>
      <c r="BI111" s="401">
        <v>0</v>
      </c>
      <c r="BJ111" s="401">
        <v>0</v>
      </c>
      <c r="BK111" s="401">
        <v>0</v>
      </c>
      <c r="BL111" s="401">
        <v>0</v>
      </c>
      <c r="BM111" s="401">
        <v>0</v>
      </c>
      <c r="BN111" s="401">
        <v>0</v>
      </c>
      <c r="BO111" s="401">
        <v>0</v>
      </c>
      <c r="BP111" s="401">
        <v>0</v>
      </c>
      <c r="BQ111" s="401">
        <v>0</v>
      </c>
      <c r="BR111" s="401">
        <v>0</v>
      </c>
      <c r="BS111" s="401">
        <v>0</v>
      </c>
      <c r="BT111" s="401">
        <v>0</v>
      </c>
      <c r="BU111" s="401">
        <v>0</v>
      </c>
      <c r="BV111" s="401">
        <v>0</v>
      </c>
      <c r="BW111" s="401">
        <v>0</v>
      </c>
      <c r="BX111" s="401">
        <v>0</v>
      </c>
      <c r="BY111" s="401">
        <v>0</v>
      </c>
      <c r="BZ111" s="401">
        <v>0</v>
      </c>
      <c r="CA111" s="401">
        <v>0</v>
      </c>
      <c r="CB111" s="401">
        <v>0</v>
      </c>
    </row>
    <row r="112" spans="1:80" s="401" customFormat="1" ht="28.8" x14ac:dyDescent="0.3">
      <c r="A112" s="993">
        <v>347</v>
      </c>
      <c r="B112" s="993"/>
      <c r="C112" s="997">
        <v>347</v>
      </c>
      <c r="D112" s="998" t="s">
        <v>1437</v>
      </c>
      <c r="E112" s="1011">
        <v>0</v>
      </c>
      <c r="BH112" s="401">
        <v>0</v>
      </c>
      <c r="BI112" s="401">
        <v>0</v>
      </c>
      <c r="BJ112" s="401">
        <v>0</v>
      </c>
      <c r="BK112" s="401">
        <v>0</v>
      </c>
      <c r="BL112" s="401">
        <v>0</v>
      </c>
      <c r="BM112" s="401">
        <v>0</v>
      </c>
      <c r="BN112" s="401">
        <v>0</v>
      </c>
      <c r="BO112" s="401">
        <v>0</v>
      </c>
      <c r="BP112" s="401">
        <v>0</v>
      </c>
      <c r="BQ112" s="401">
        <v>0</v>
      </c>
      <c r="BR112" s="401">
        <v>0</v>
      </c>
      <c r="BS112" s="401">
        <v>0</v>
      </c>
      <c r="BT112" s="401">
        <v>0</v>
      </c>
      <c r="BU112" s="401">
        <v>0</v>
      </c>
      <c r="BV112" s="401">
        <v>0</v>
      </c>
      <c r="BW112" s="401">
        <v>0</v>
      </c>
      <c r="BX112" s="401">
        <v>0</v>
      </c>
      <c r="BY112" s="401">
        <v>0</v>
      </c>
      <c r="BZ112" s="401">
        <v>0</v>
      </c>
      <c r="CA112" s="401">
        <v>0</v>
      </c>
      <c r="CB112" s="401">
        <v>0</v>
      </c>
    </row>
    <row r="113" spans="1:80" s="401" customFormat="1" x14ac:dyDescent="0.3">
      <c r="A113" s="993">
        <v>349</v>
      </c>
      <c r="B113" s="993"/>
      <c r="C113" s="997">
        <v>349</v>
      </c>
      <c r="D113" s="998" t="s">
        <v>1438</v>
      </c>
      <c r="E113" s="1011">
        <v>0</v>
      </c>
      <c r="BH113" s="401">
        <v>0</v>
      </c>
      <c r="BI113" s="401">
        <v>2101556</v>
      </c>
      <c r="BJ113" s="401">
        <v>1506849</v>
      </c>
      <c r="BK113" s="401">
        <v>0</v>
      </c>
      <c r="BL113" s="401">
        <v>933745</v>
      </c>
      <c r="BM113" s="401">
        <v>1416241</v>
      </c>
      <c r="BN113" s="401">
        <v>0</v>
      </c>
      <c r="BO113" s="401">
        <v>1984459</v>
      </c>
      <c r="BP113" s="401">
        <v>933225</v>
      </c>
      <c r="BQ113" s="401">
        <v>771094</v>
      </c>
      <c r="BR113" s="401">
        <v>1828025</v>
      </c>
      <c r="BS113" s="401">
        <v>0</v>
      </c>
      <c r="BT113" s="401">
        <v>0</v>
      </c>
      <c r="BU113" s="401">
        <v>436931</v>
      </c>
      <c r="BV113" s="401">
        <v>5024080</v>
      </c>
      <c r="BW113" s="401">
        <v>819581</v>
      </c>
      <c r="BX113" s="401">
        <v>605259</v>
      </c>
      <c r="BY113" s="401">
        <v>0</v>
      </c>
      <c r="BZ113" s="401">
        <v>0</v>
      </c>
      <c r="CA113" s="401">
        <v>10364647</v>
      </c>
      <c r="CB113" s="401">
        <v>0</v>
      </c>
    </row>
    <row r="114" spans="1:80" s="401" customFormat="1" ht="28.8" x14ac:dyDescent="0.3">
      <c r="A114" s="993">
        <v>350</v>
      </c>
      <c r="B114" s="993"/>
      <c r="C114" s="997">
        <v>350</v>
      </c>
      <c r="D114" s="998" t="s">
        <v>1439</v>
      </c>
      <c r="E114" s="1011">
        <v>0</v>
      </c>
      <c r="BH114" s="401">
        <v>0</v>
      </c>
      <c r="BI114" s="401">
        <v>4034</v>
      </c>
      <c r="BJ114" s="401">
        <v>45722</v>
      </c>
      <c r="BK114" s="401">
        <v>0</v>
      </c>
      <c r="BL114" s="401">
        <v>47493</v>
      </c>
      <c r="BM114" s="401">
        <v>39119</v>
      </c>
      <c r="BN114" s="401">
        <v>0</v>
      </c>
      <c r="BO114" s="401">
        <v>93841</v>
      </c>
      <c r="BP114" s="401">
        <v>39318</v>
      </c>
      <c r="BQ114" s="401">
        <v>0</v>
      </c>
      <c r="BR114" s="401">
        <v>5521</v>
      </c>
      <c r="BS114" s="401">
        <v>0</v>
      </c>
      <c r="BT114" s="401">
        <v>0</v>
      </c>
      <c r="BU114" s="401">
        <v>32472</v>
      </c>
      <c r="BV114" s="401">
        <v>44374</v>
      </c>
      <c r="BW114" s="401">
        <v>27849</v>
      </c>
      <c r="BX114" s="401">
        <v>5481</v>
      </c>
      <c r="BY114" s="401">
        <v>0</v>
      </c>
      <c r="BZ114" s="401">
        <v>0</v>
      </c>
      <c r="CA114" s="401">
        <v>105857</v>
      </c>
      <c r="CB114" s="401">
        <v>0</v>
      </c>
    </row>
    <row r="115" spans="1:80" s="401" customFormat="1" ht="28.8" x14ac:dyDescent="0.3">
      <c r="A115" s="993">
        <v>351</v>
      </c>
      <c r="B115" s="993"/>
      <c r="C115" s="997">
        <v>351</v>
      </c>
      <c r="D115" s="998" t="s">
        <v>1440</v>
      </c>
      <c r="E115" s="1011">
        <v>0</v>
      </c>
      <c r="BH115" s="401">
        <v>0</v>
      </c>
      <c r="BI115" s="401">
        <v>50191</v>
      </c>
      <c r="BJ115" s="401">
        <v>30800</v>
      </c>
      <c r="BK115" s="401">
        <v>0</v>
      </c>
      <c r="BL115" s="401">
        <v>0</v>
      </c>
      <c r="BM115" s="401">
        <v>7474</v>
      </c>
      <c r="BN115" s="401">
        <v>0</v>
      </c>
      <c r="BO115" s="401">
        <v>18358</v>
      </c>
      <c r="BP115" s="401">
        <v>23427</v>
      </c>
      <c r="BQ115" s="401">
        <v>34246</v>
      </c>
      <c r="BR115" s="401">
        <v>0</v>
      </c>
      <c r="BS115" s="401">
        <v>0</v>
      </c>
      <c r="BT115" s="401">
        <v>0</v>
      </c>
      <c r="BU115" s="401">
        <v>9443</v>
      </c>
      <c r="BV115" s="401">
        <v>47228</v>
      </c>
      <c r="BW115" s="401">
        <v>17803</v>
      </c>
      <c r="BX115" s="401">
        <v>1084610</v>
      </c>
      <c r="BY115" s="401">
        <v>0</v>
      </c>
      <c r="BZ115" s="401">
        <v>0</v>
      </c>
      <c r="CA115" s="401">
        <v>100206</v>
      </c>
      <c r="CB115" s="401">
        <v>0</v>
      </c>
    </row>
    <row r="116" spans="1:80" s="401" customFormat="1" x14ac:dyDescent="0.3">
      <c r="A116" s="993">
        <v>352</v>
      </c>
      <c r="B116" s="1000"/>
      <c r="C116" s="997">
        <v>352</v>
      </c>
      <c r="D116" s="998" t="s">
        <v>1441</v>
      </c>
      <c r="E116" s="1011">
        <v>0</v>
      </c>
      <c r="BH116" s="401">
        <v>0</v>
      </c>
      <c r="BI116" s="401">
        <v>0</v>
      </c>
      <c r="BJ116" s="401">
        <v>0</v>
      </c>
      <c r="BK116" s="401">
        <v>0</v>
      </c>
      <c r="BL116" s="401">
        <v>0</v>
      </c>
      <c r="BM116" s="401">
        <v>0</v>
      </c>
      <c r="BN116" s="401">
        <v>0</v>
      </c>
      <c r="BO116" s="401">
        <v>0</v>
      </c>
      <c r="BP116" s="401">
        <v>0</v>
      </c>
      <c r="BQ116" s="401">
        <v>0</v>
      </c>
      <c r="BR116" s="401">
        <v>0</v>
      </c>
      <c r="BS116" s="401">
        <v>0</v>
      </c>
      <c r="BT116" s="401">
        <v>0</v>
      </c>
      <c r="BU116" s="401">
        <v>6211</v>
      </c>
      <c r="BV116" s="401">
        <v>21072</v>
      </c>
      <c r="BW116" s="401">
        <v>129596</v>
      </c>
      <c r="BX116" s="401">
        <v>0</v>
      </c>
      <c r="BY116" s="401">
        <v>0</v>
      </c>
      <c r="BZ116" s="401">
        <v>0</v>
      </c>
      <c r="CA116" s="401">
        <v>1395</v>
      </c>
      <c r="CB116" s="401">
        <v>0</v>
      </c>
    </row>
    <row r="117" spans="1:80" s="401" customFormat="1" ht="28.8" x14ac:dyDescent="0.3">
      <c r="A117" s="993">
        <v>353</v>
      </c>
      <c r="B117" s="1000"/>
      <c r="C117" s="997">
        <v>353</v>
      </c>
      <c r="D117" s="998" t="s">
        <v>1442</v>
      </c>
      <c r="E117" s="1011">
        <v>0</v>
      </c>
      <c r="BH117" s="401">
        <v>0</v>
      </c>
      <c r="BI117" s="401">
        <v>0</v>
      </c>
      <c r="BJ117" s="401">
        <v>0</v>
      </c>
      <c r="BK117" s="401">
        <v>0</v>
      </c>
      <c r="BL117" s="401">
        <v>0</v>
      </c>
      <c r="BM117" s="401">
        <v>0</v>
      </c>
      <c r="BN117" s="401">
        <v>0</v>
      </c>
      <c r="BO117" s="401">
        <v>173000</v>
      </c>
      <c r="BP117" s="401">
        <v>0</v>
      </c>
      <c r="BQ117" s="401">
        <v>0</v>
      </c>
      <c r="BR117" s="401">
        <v>1495868</v>
      </c>
      <c r="BS117" s="401">
        <v>0</v>
      </c>
      <c r="BT117" s="401">
        <v>0</v>
      </c>
      <c r="BU117" s="401">
        <v>0</v>
      </c>
      <c r="BV117" s="401">
        <v>0</v>
      </c>
      <c r="BW117" s="401">
        <v>0</v>
      </c>
      <c r="BX117" s="401">
        <v>0</v>
      </c>
      <c r="BY117" s="401">
        <v>0</v>
      </c>
      <c r="BZ117" s="401">
        <v>0</v>
      </c>
      <c r="CA117" s="401">
        <v>0</v>
      </c>
      <c r="CB117" s="401">
        <v>0</v>
      </c>
    </row>
    <row r="118" spans="1:80" s="401" customFormat="1" x14ac:dyDescent="0.3">
      <c r="A118" s="993">
        <v>356</v>
      </c>
      <c r="B118" s="1000"/>
      <c r="C118" s="997">
        <v>356</v>
      </c>
      <c r="D118" s="998" t="s">
        <v>1443</v>
      </c>
      <c r="E118" s="1011">
        <v>0</v>
      </c>
      <c r="BH118" s="401">
        <v>0</v>
      </c>
      <c r="BI118" s="401">
        <v>0</v>
      </c>
      <c r="BJ118" s="401">
        <v>0</v>
      </c>
      <c r="BK118" s="401">
        <v>0</v>
      </c>
      <c r="BL118" s="401">
        <v>6765833</v>
      </c>
      <c r="BM118" s="401">
        <v>0</v>
      </c>
      <c r="BN118" s="401">
        <v>0</v>
      </c>
      <c r="BO118" s="401">
        <v>0</v>
      </c>
      <c r="BP118" s="401">
        <v>0</v>
      </c>
      <c r="BQ118" s="401">
        <v>0</v>
      </c>
      <c r="BR118" s="401">
        <v>0</v>
      </c>
      <c r="BS118" s="401">
        <v>0</v>
      </c>
      <c r="BT118" s="401">
        <v>0</v>
      </c>
      <c r="BU118" s="401">
        <v>0</v>
      </c>
      <c r="BV118" s="401">
        <v>0</v>
      </c>
      <c r="BW118" s="401">
        <v>0</v>
      </c>
      <c r="BX118" s="401">
        <v>0</v>
      </c>
      <c r="BY118" s="401">
        <v>0</v>
      </c>
      <c r="BZ118" s="401">
        <v>0</v>
      </c>
      <c r="CA118" s="401">
        <v>0</v>
      </c>
      <c r="CB118" s="401">
        <v>0</v>
      </c>
    </row>
    <row r="119" spans="1:80" s="401" customFormat="1" ht="28.8" x14ac:dyDescent="0.3">
      <c r="A119" s="993">
        <v>357</v>
      </c>
      <c r="B119" s="1000"/>
      <c r="C119" s="997">
        <v>357</v>
      </c>
      <c r="D119" s="998" t="s">
        <v>1444</v>
      </c>
      <c r="E119" s="1011">
        <v>0</v>
      </c>
      <c r="BH119" s="401">
        <v>0</v>
      </c>
      <c r="BI119" s="401">
        <v>0</v>
      </c>
      <c r="BJ119" s="401">
        <v>0</v>
      </c>
      <c r="BK119" s="401">
        <v>0</v>
      </c>
      <c r="BL119" s="401">
        <v>4499353</v>
      </c>
      <c r="BM119" s="401">
        <v>0</v>
      </c>
      <c r="BN119" s="401">
        <v>0</v>
      </c>
      <c r="BO119" s="401">
        <v>0</v>
      </c>
      <c r="BP119" s="401">
        <v>0</v>
      </c>
      <c r="BQ119" s="401">
        <v>0</v>
      </c>
      <c r="BR119" s="401">
        <v>0</v>
      </c>
      <c r="BS119" s="401">
        <v>0</v>
      </c>
      <c r="BT119" s="401">
        <v>0</v>
      </c>
      <c r="BU119" s="401">
        <v>0</v>
      </c>
      <c r="BV119" s="401">
        <v>0</v>
      </c>
      <c r="BW119" s="401">
        <v>0</v>
      </c>
      <c r="BX119" s="401">
        <v>0</v>
      </c>
      <c r="BY119" s="401">
        <v>0</v>
      </c>
      <c r="BZ119" s="401">
        <v>0</v>
      </c>
      <c r="CA119" s="401">
        <v>0</v>
      </c>
      <c r="CB119" s="401">
        <v>0</v>
      </c>
    </row>
    <row r="120" spans="1:80" s="401" customFormat="1" ht="43.2" x14ac:dyDescent="0.3">
      <c r="A120" s="993">
        <v>359</v>
      </c>
      <c r="B120" s="1000"/>
      <c r="C120" s="997">
        <v>359</v>
      </c>
      <c r="D120" s="998" t="s">
        <v>1445</v>
      </c>
      <c r="E120" s="1011">
        <v>0</v>
      </c>
      <c r="BH120" s="401">
        <v>0</v>
      </c>
      <c r="BI120" s="401">
        <v>0</v>
      </c>
      <c r="BJ120" s="401">
        <v>0</v>
      </c>
      <c r="BK120" s="401">
        <v>0</v>
      </c>
      <c r="BL120" s="401">
        <v>0</v>
      </c>
      <c r="BM120" s="401">
        <v>0</v>
      </c>
      <c r="BN120" s="401">
        <v>0</v>
      </c>
      <c r="BO120" s="401">
        <v>0</v>
      </c>
      <c r="BP120" s="401">
        <v>0</v>
      </c>
      <c r="BQ120" s="401">
        <v>0</v>
      </c>
      <c r="BR120" s="401">
        <v>0</v>
      </c>
      <c r="BS120" s="401">
        <v>0</v>
      </c>
      <c r="BT120" s="401">
        <v>0</v>
      </c>
      <c r="BU120" s="401">
        <v>0</v>
      </c>
      <c r="BV120" s="401">
        <v>0</v>
      </c>
      <c r="BW120" s="401">
        <v>0</v>
      </c>
      <c r="BX120" s="401">
        <v>0</v>
      </c>
      <c r="BY120" s="401">
        <v>0</v>
      </c>
      <c r="BZ120" s="401">
        <v>0</v>
      </c>
      <c r="CA120" s="401">
        <v>0</v>
      </c>
      <c r="CB120" s="401">
        <v>0</v>
      </c>
    </row>
    <row r="121" spans="1:80" s="401" customFormat="1" x14ac:dyDescent="0.3">
      <c r="A121" s="993">
        <v>360</v>
      </c>
      <c r="B121" s="1000"/>
      <c r="C121" s="997">
        <v>360</v>
      </c>
      <c r="D121" s="998" t="s">
        <v>1446</v>
      </c>
      <c r="E121" s="1011">
        <v>0</v>
      </c>
      <c r="BH121" s="401">
        <v>0</v>
      </c>
      <c r="BI121" s="401">
        <v>0</v>
      </c>
      <c r="BJ121" s="401">
        <v>0</v>
      </c>
      <c r="BK121" s="401">
        <v>0</v>
      </c>
      <c r="BL121" s="401">
        <v>315641</v>
      </c>
      <c r="BM121" s="401">
        <v>0</v>
      </c>
      <c r="BN121" s="401">
        <v>0</v>
      </c>
      <c r="BO121" s="401">
        <v>0</v>
      </c>
      <c r="BP121" s="401">
        <v>0</v>
      </c>
      <c r="BQ121" s="401">
        <v>0</v>
      </c>
      <c r="BR121" s="401">
        <v>0</v>
      </c>
      <c r="BS121" s="401">
        <v>0</v>
      </c>
      <c r="BT121" s="401">
        <v>0</v>
      </c>
      <c r="BU121" s="401">
        <v>0</v>
      </c>
      <c r="BV121" s="401">
        <v>0</v>
      </c>
      <c r="BW121" s="401">
        <v>0</v>
      </c>
      <c r="BX121" s="401">
        <v>0</v>
      </c>
      <c r="BY121" s="401">
        <v>0</v>
      </c>
      <c r="BZ121" s="401">
        <v>0</v>
      </c>
      <c r="CA121" s="401">
        <v>0</v>
      </c>
      <c r="CB121" s="401">
        <v>0</v>
      </c>
    </row>
    <row r="122" spans="1:80" s="401" customFormat="1" x14ac:dyDescent="0.3">
      <c r="A122" s="993">
        <v>361</v>
      </c>
      <c r="B122" s="1000"/>
      <c r="C122" s="997">
        <v>361</v>
      </c>
      <c r="D122" s="998" t="s">
        <v>1447</v>
      </c>
      <c r="E122" s="1011">
        <v>0</v>
      </c>
      <c r="BH122" s="401">
        <v>0</v>
      </c>
      <c r="BI122" s="401">
        <v>0</v>
      </c>
      <c r="BJ122" s="401">
        <v>0</v>
      </c>
      <c r="BK122" s="401">
        <v>0</v>
      </c>
      <c r="BL122" s="401">
        <v>3323193</v>
      </c>
      <c r="BM122" s="401">
        <v>0</v>
      </c>
      <c r="BN122" s="401">
        <v>0</v>
      </c>
      <c r="BO122" s="401">
        <v>0</v>
      </c>
      <c r="BP122" s="401">
        <v>0</v>
      </c>
      <c r="BQ122" s="401">
        <v>0</v>
      </c>
      <c r="BR122" s="401">
        <v>0</v>
      </c>
      <c r="BS122" s="401">
        <v>0</v>
      </c>
      <c r="BT122" s="401">
        <v>0</v>
      </c>
      <c r="BU122" s="401">
        <v>0</v>
      </c>
      <c r="BV122" s="401">
        <v>0</v>
      </c>
      <c r="BW122" s="401">
        <v>0</v>
      </c>
      <c r="BX122" s="401">
        <v>0</v>
      </c>
      <c r="BY122" s="401">
        <v>0</v>
      </c>
      <c r="BZ122" s="401">
        <v>0</v>
      </c>
      <c r="CA122" s="401">
        <v>0</v>
      </c>
      <c r="CB122" s="401">
        <v>0</v>
      </c>
    </row>
    <row r="123" spans="1:80" s="401" customFormat="1" x14ac:dyDescent="0.3">
      <c r="A123" s="993">
        <v>362</v>
      </c>
      <c r="B123" s="1000"/>
      <c r="C123" s="997">
        <v>362</v>
      </c>
      <c r="D123" s="998" t="s">
        <v>1448</v>
      </c>
      <c r="E123" s="1011">
        <v>0</v>
      </c>
      <c r="BH123" s="401">
        <v>0</v>
      </c>
      <c r="BI123" s="401">
        <v>0</v>
      </c>
      <c r="BJ123" s="401">
        <v>0</v>
      </c>
      <c r="BK123" s="401">
        <v>0</v>
      </c>
      <c r="BL123" s="401">
        <v>5609473</v>
      </c>
      <c r="BM123" s="401">
        <v>0</v>
      </c>
      <c r="BN123" s="401">
        <v>0</v>
      </c>
      <c r="BO123" s="401">
        <v>0</v>
      </c>
      <c r="BP123" s="401">
        <v>0</v>
      </c>
      <c r="BQ123" s="401">
        <v>0</v>
      </c>
      <c r="BR123" s="401">
        <v>0</v>
      </c>
      <c r="BS123" s="401">
        <v>0</v>
      </c>
      <c r="BT123" s="401">
        <v>0</v>
      </c>
      <c r="BU123" s="401">
        <v>0</v>
      </c>
      <c r="BV123" s="401">
        <v>0</v>
      </c>
      <c r="BW123" s="401">
        <v>0</v>
      </c>
      <c r="BX123" s="401">
        <v>0</v>
      </c>
      <c r="BY123" s="401">
        <v>0</v>
      </c>
      <c r="BZ123" s="401">
        <v>0</v>
      </c>
      <c r="CA123" s="401">
        <v>0</v>
      </c>
      <c r="CB123" s="401">
        <v>0</v>
      </c>
    </row>
    <row r="124" spans="1:80" s="401" customFormat="1" ht="28.8" x14ac:dyDescent="0.3">
      <c r="A124" s="993">
        <v>363</v>
      </c>
      <c r="B124" s="1000"/>
      <c r="C124" s="997">
        <v>363</v>
      </c>
      <c r="D124" s="998" t="s">
        <v>1449</v>
      </c>
      <c r="E124" s="1011">
        <v>0</v>
      </c>
      <c r="BH124" s="401">
        <v>0</v>
      </c>
      <c r="BI124" s="401">
        <v>0</v>
      </c>
      <c r="BJ124" s="401">
        <v>0</v>
      </c>
      <c r="BK124" s="401">
        <v>0</v>
      </c>
      <c r="BL124" s="401">
        <v>8698</v>
      </c>
      <c r="BM124" s="401">
        <v>0</v>
      </c>
      <c r="BN124" s="401">
        <v>0</v>
      </c>
      <c r="BO124" s="401">
        <v>0</v>
      </c>
      <c r="BP124" s="401">
        <v>0</v>
      </c>
      <c r="BQ124" s="401">
        <v>0</v>
      </c>
      <c r="BR124" s="401">
        <v>0</v>
      </c>
      <c r="BS124" s="401">
        <v>0</v>
      </c>
      <c r="BT124" s="401">
        <v>0</v>
      </c>
      <c r="BU124" s="401">
        <v>0</v>
      </c>
      <c r="BV124" s="401">
        <v>0</v>
      </c>
      <c r="BW124" s="401">
        <v>0</v>
      </c>
      <c r="BX124" s="401">
        <v>0</v>
      </c>
      <c r="BY124" s="401">
        <v>0</v>
      </c>
      <c r="BZ124" s="401">
        <v>0</v>
      </c>
      <c r="CA124" s="401">
        <v>0</v>
      </c>
      <c r="CB124" s="401">
        <v>0</v>
      </c>
    </row>
    <row r="125" spans="1:80" s="401" customFormat="1" ht="28.8" x14ac:dyDescent="0.3">
      <c r="A125" s="993">
        <v>364</v>
      </c>
      <c r="B125" s="1000"/>
      <c r="C125" s="997">
        <v>364</v>
      </c>
      <c r="D125" s="998" t="s">
        <v>1450</v>
      </c>
      <c r="E125" s="1011">
        <v>0</v>
      </c>
      <c r="BH125" s="401">
        <v>0</v>
      </c>
      <c r="BI125" s="401">
        <v>0</v>
      </c>
      <c r="BJ125" s="401">
        <v>0</v>
      </c>
      <c r="BK125" s="401">
        <v>0</v>
      </c>
      <c r="BL125" s="401">
        <v>0</v>
      </c>
      <c r="BM125" s="401">
        <v>0</v>
      </c>
      <c r="BN125" s="401">
        <v>0</v>
      </c>
      <c r="BO125" s="401">
        <v>0</v>
      </c>
      <c r="BP125" s="401">
        <v>0</v>
      </c>
      <c r="BQ125" s="401">
        <v>0</v>
      </c>
      <c r="BR125" s="401">
        <v>0</v>
      </c>
      <c r="BS125" s="401">
        <v>0</v>
      </c>
      <c r="BT125" s="401">
        <v>0</v>
      </c>
      <c r="BU125" s="401">
        <v>0</v>
      </c>
      <c r="BV125" s="401">
        <v>0</v>
      </c>
      <c r="BW125" s="401">
        <v>0</v>
      </c>
      <c r="BX125" s="401">
        <v>0</v>
      </c>
      <c r="BY125" s="401">
        <v>0</v>
      </c>
      <c r="BZ125" s="401">
        <v>0</v>
      </c>
      <c r="CA125" s="401">
        <v>0</v>
      </c>
      <c r="CB125" s="401">
        <v>0</v>
      </c>
    </row>
    <row r="126" spans="1:80" s="401" customFormat="1" x14ac:dyDescent="0.3">
      <c r="A126" s="993">
        <v>365</v>
      </c>
      <c r="B126" s="1000"/>
      <c r="C126" s="997">
        <v>365</v>
      </c>
      <c r="D126" s="998" t="s">
        <v>1451</v>
      </c>
      <c r="E126" s="1011">
        <v>0</v>
      </c>
      <c r="BH126" s="401">
        <v>0</v>
      </c>
      <c r="BI126" s="401">
        <v>0</v>
      </c>
      <c r="BJ126" s="401">
        <v>0</v>
      </c>
      <c r="BK126" s="401">
        <v>0</v>
      </c>
      <c r="BL126" s="401">
        <v>0</v>
      </c>
      <c r="BM126" s="401">
        <v>0</v>
      </c>
      <c r="BN126" s="401">
        <v>0</v>
      </c>
      <c r="BO126" s="401">
        <v>0</v>
      </c>
      <c r="BP126" s="401">
        <v>0</v>
      </c>
      <c r="BQ126" s="401">
        <v>0</v>
      </c>
      <c r="BR126" s="401">
        <v>0</v>
      </c>
      <c r="BS126" s="401">
        <v>0</v>
      </c>
      <c r="BT126" s="401">
        <v>0</v>
      </c>
      <c r="BU126" s="401">
        <v>0</v>
      </c>
      <c r="BV126" s="401">
        <v>0</v>
      </c>
      <c r="BW126" s="401">
        <v>0</v>
      </c>
      <c r="BX126" s="401">
        <v>0</v>
      </c>
      <c r="BY126" s="401">
        <v>0</v>
      </c>
      <c r="BZ126" s="401">
        <v>0</v>
      </c>
      <c r="CA126" s="401">
        <v>0</v>
      </c>
      <c r="CB126" s="401">
        <v>0</v>
      </c>
    </row>
    <row r="127" spans="1:80" s="401" customFormat="1" ht="28.8" x14ac:dyDescent="0.3">
      <c r="A127" s="993">
        <v>366</v>
      </c>
      <c r="B127" s="1000"/>
      <c r="C127" s="997">
        <v>366</v>
      </c>
      <c r="D127" s="998" t="s">
        <v>1452</v>
      </c>
      <c r="E127" s="1011">
        <v>0</v>
      </c>
      <c r="BH127" s="401">
        <v>0</v>
      </c>
      <c r="BI127" s="401">
        <v>0</v>
      </c>
      <c r="BJ127" s="401">
        <v>0</v>
      </c>
      <c r="BK127" s="401">
        <v>0</v>
      </c>
      <c r="BL127" s="401">
        <v>0</v>
      </c>
      <c r="BM127" s="401">
        <v>0</v>
      </c>
      <c r="BN127" s="401">
        <v>0</v>
      </c>
      <c r="BO127" s="401">
        <v>0</v>
      </c>
      <c r="BP127" s="401">
        <v>0</v>
      </c>
      <c r="BQ127" s="401">
        <v>0</v>
      </c>
      <c r="BR127" s="401">
        <v>0</v>
      </c>
      <c r="BS127" s="401">
        <v>0</v>
      </c>
      <c r="BT127" s="401">
        <v>0</v>
      </c>
      <c r="BU127" s="401">
        <v>0</v>
      </c>
      <c r="BV127" s="401">
        <v>0</v>
      </c>
      <c r="BW127" s="401">
        <v>0</v>
      </c>
      <c r="BX127" s="401">
        <v>0</v>
      </c>
      <c r="BY127" s="401">
        <v>0</v>
      </c>
      <c r="BZ127" s="401">
        <v>0</v>
      </c>
      <c r="CA127" s="401">
        <v>0</v>
      </c>
      <c r="CB127" s="401">
        <v>0</v>
      </c>
    </row>
    <row r="128" spans="1:80" s="401" customFormat="1" x14ac:dyDescent="0.3">
      <c r="A128" s="993">
        <v>367</v>
      </c>
      <c r="B128" s="1000"/>
      <c r="C128" s="997">
        <v>367</v>
      </c>
      <c r="D128" s="998" t="s">
        <v>396</v>
      </c>
      <c r="E128" s="1011">
        <v>0</v>
      </c>
    </row>
    <row r="129" spans="1:80" s="401" customFormat="1" ht="28.8" x14ac:dyDescent="0.3">
      <c r="A129" s="993">
        <v>368</v>
      </c>
      <c r="B129" s="1000"/>
      <c r="C129" s="997">
        <v>368</v>
      </c>
      <c r="D129" s="998" t="s">
        <v>1453</v>
      </c>
      <c r="E129" s="1011">
        <v>0</v>
      </c>
      <c r="BH129" s="401">
        <v>0</v>
      </c>
      <c r="BI129" s="401">
        <v>0</v>
      </c>
      <c r="BJ129" s="401">
        <v>22090</v>
      </c>
      <c r="BK129" s="401">
        <v>0</v>
      </c>
      <c r="BL129" s="401">
        <v>155</v>
      </c>
      <c r="BM129" s="401">
        <v>0</v>
      </c>
      <c r="BN129" s="401">
        <v>0</v>
      </c>
      <c r="BO129" s="401">
        <v>7637</v>
      </c>
      <c r="BP129" s="401">
        <v>0</v>
      </c>
      <c r="BQ129" s="401">
        <v>0</v>
      </c>
      <c r="BR129" s="401">
        <v>0</v>
      </c>
      <c r="BS129" s="401">
        <v>33020</v>
      </c>
      <c r="BT129" s="401">
        <v>0</v>
      </c>
      <c r="BU129" s="401">
        <v>0</v>
      </c>
      <c r="BV129" s="401">
        <v>0</v>
      </c>
      <c r="BW129" s="401">
        <v>0</v>
      </c>
      <c r="BX129" s="401">
        <v>0</v>
      </c>
      <c r="BY129" s="401">
        <v>0</v>
      </c>
      <c r="BZ129" s="401">
        <v>0</v>
      </c>
      <c r="CA129" s="401">
        <v>863078</v>
      </c>
      <c r="CB129" s="401">
        <v>0</v>
      </c>
    </row>
    <row r="130" spans="1:80" s="401" customFormat="1" ht="28.8" x14ac:dyDescent="0.3">
      <c r="A130" s="993">
        <v>369</v>
      </c>
      <c r="B130" s="1000"/>
      <c r="C130" s="997">
        <v>369</v>
      </c>
      <c r="D130" s="998" t="s">
        <v>1454</v>
      </c>
      <c r="E130" s="1011">
        <v>0</v>
      </c>
      <c r="BH130" s="401">
        <v>49771</v>
      </c>
      <c r="BI130" s="401">
        <v>1399197</v>
      </c>
      <c r="BJ130" s="401">
        <v>138984</v>
      </c>
      <c r="BK130" s="401">
        <v>0</v>
      </c>
      <c r="BL130" s="401">
        <v>1970496</v>
      </c>
      <c r="BM130" s="401">
        <v>2005501</v>
      </c>
      <c r="BN130" s="401">
        <v>49869</v>
      </c>
      <c r="BO130" s="401">
        <v>1516479</v>
      </c>
      <c r="BP130" s="401">
        <v>818748</v>
      </c>
      <c r="BQ130" s="401">
        <v>551419</v>
      </c>
      <c r="BR130" s="401">
        <v>612233</v>
      </c>
      <c r="BS130" s="401">
        <v>673590</v>
      </c>
      <c r="BT130" s="401">
        <v>1363487</v>
      </c>
      <c r="BU130" s="401">
        <v>914547</v>
      </c>
      <c r="BV130" s="401">
        <v>444054</v>
      </c>
      <c r="BW130" s="401">
        <v>224595</v>
      </c>
      <c r="BX130" s="401">
        <v>468182</v>
      </c>
      <c r="BY130" s="401">
        <v>36662</v>
      </c>
      <c r="BZ130" s="401">
        <v>35011</v>
      </c>
      <c r="CA130" s="401">
        <v>6695775</v>
      </c>
      <c r="CB130" s="401">
        <v>27563</v>
      </c>
    </row>
    <row r="131" spans="1:80" s="401" customFormat="1" ht="28.8" x14ac:dyDescent="0.3">
      <c r="A131" s="993">
        <v>370</v>
      </c>
      <c r="B131" s="1000"/>
      <c r="C131" s="997">
        <v>370</v>
      </c>
      <c r="D131" s="998" t="s">
        <v>1455</v>
      </c>
      <c r="E131" s="1011">
        <v>0</v>
      </c>
      <c r="BH131" s="401">
        <v>0</v>
      </c>
      <c r="BI131" s="401">
        <v>23467</v>
      </c>
      <c r="BJ131" s="401">
        <v>61184</v>
      </c>
      <c r="BK131" s="401">
        <v>0</v>
      </c>
      <c r="BL131" s="401">
        <v>271196</v>
      </c>
      <c r="BM131" s="401">
        <v>0</v>
      </c>
      <c r="BN131" s="401">
        <v>0</v>
      </c>
      <c r="BO131" s="401">
        <v>220529</v>
      </c>
      <c r="BP131" s="401">
        <v>0</v>
      </c>
      <c r="BQ131" s="401">
        <v>12288</v>
      </c>
      <c r="BR131" s="401">
        <v>0</v>
      </c>
      <c r="BS131" s="401">
        <v>0</v>
      </c>
      <c r="BT131" s="401">
        <v>1090674</v>
      </c>
      <c r="BU131" s="401">
        <v>59295</v>
      </c>
      <c r="BV131" s="401">
        <v>76999</v>
      </c>
      <c r="BW131" s="401">
        <v>82104</v>
      </c>
      <c r="BX131" s="401">
        <v>0</v>
      </c>
      <c r="BY131" s="401">
        <v>0</v>
      </c>
      <c r="BZ131" s="401">
        <v>0</v>
      </c>
      <c r="CA131" s="401">
        <v>1536937</v>
      </c>
      <c r="CB131" s="401">
        <v>4956</v>
      </c>
    </row>
    <row r="132" spans="1:80" s="401" customFormat="1" ht="28.8" x14ac:dyDescent="0.3">
      <c r="A132" s="993">
        <v>371</v>
      </c>
      <c r="B132" s="1000"/>
      <c r="C132" s="997">
        <v>371</v>
      </c>
      <c r="D132" s="998" t="s">
        <v>1456</v>
      </c>
      <c r="E132" s="1011">
        <v>0</v>
      </c>
      <c r="BH132" s="401">
        <v>0</v>
      </c>
      <c r="BI132" s="401">
        <v>0</v>
      </c>
      <c r="BJ132" s="401">
        <v>0</v>
      </c>
      <c r="BK132" s="401">
        <v>0</v>
      </c>
      <c r="BL132" s="401">
        <v>0</v>
      </c>
      <c r="BM132" s="401">
        <v>0</v>
      </c>
      <c r="BN132" s="401">
        <v>0</v>
      </c>
      <c r="BO132" s="401">
        <v>0</v>
      </c>
      <c r="BP132" s="401">
        <v>0</v>
      </c>
      <c r="BQ132" s="401">
        <v>0</v>
      </c>
      <c r="BR132" s="401">
        <v>0</v>
      </c>
      <c r="BS132" s="401">
        <v>0</v>
      </c>
      <c r="BT132" s="401">
        <v>0</v>
      </c>
      <c r="BU132" s="401">
        <v>0</v>
      </c>
      <c r="BV132" s="401">
        <v>0</v>
      </c>
      <c r="BW132" s="401">
        <v>0</v>
      </c>
      <c r="BX132" s="401">
        <v>0</v>
      </c>
      <c r="BY132" s="401">
        <v>0</v>
      </c>
      <c r="BZ132" s="401">
        <v>0</v>
      </c>
      <c r="CA132" s="401">
        <v>0</v>
      </c>
      <c r="CB132" s="401">
        <v>0</v>
      </c>
    </row>
    <row r="133" spans="1:80" s="401" customFormat="1" x14ac:dyDescent="0.3">
      <c r="A133" s="993">
        <v>373</v>
      </c>
      <c r="B133" s="1000"/>
      <c r="C133" s="997">
        <v>373</v>
      </c>
      <c r="D133" s="998" t="s">
        <v>343</v>
      </c>
      <c r="E133" s="1011">
        <v>0</v>
      </c>
      <c r="BH133" s="401">
        <v>98178</v>
      </c>
      <c r="BI133" s="401">
        <v>4498730</v>
      </c>
      <c r="BJ133" s="401">
        <v>3740345</v>
      </c>
      <c r="BK133" s="401">
        <v>0</v>
      </c>
      <c r="BL133" s="401">
        <v>9713890</v>
      </c>
      <c r="BM133" s="401">
        <v>4181121</v>
      </c>
      <c r="BN133" s="401">
        <v>113773</v>
      </c>
      <c r="BO133" s="401">
        <v>10048026</v>
      </c>
      <c r="BP133" s="401">
        <v>5921092</v>
      </c>
      <c r="BQ133" s="401">
        <v>744819</v>
      </c>
      <c r="BR133" s="401">
        <v>1952720</v>
      </c>
      <c r="BS133" s="401">
        <v>363062</v>
      </c>
      <c r="BT133" s="401">
        <v>119622405</v>
      </c>
      <c r="BU133" s="401">
        <v>2819623</v>
      </c>
      <c r="BV133" s="401">
        <v>3956837</v>
      </c>
      <c r="BW133" s="401">
        <v>754399</v>
      </c>
      <c r="BX133" s="401">
        <v>876572</v>
      </c>
      <c r="BY133" s="401">
        <v>35477</v>
      </c>
      <c r="BZ133" s="401">
        <v>62604</v>
      </c>
      <c r="CA133" s="401">
        <v>15999429</v>
      </c>
      <c r="CB133" s="401">
        <v>72671</v>
      </c>
    </row>
    <row r="134" spans="1:80" s="401" customFormat="1" x14ac:dyDescent="0.3">
      <c r="A134" s="993">
        <v>375</v>
      </c>
      <c r="B134" s="993"/>
      <c r="C134" s="997">
        <v>375</v>
      </c>
      <c r="D134" s="998" t="s">
        <v>1457</v>
      </c>
      <c r="E134" s="1011">
        <v>0</v>
      </c>
      <c r="BH134" s="401">
        <v>0</v>
      </c>
      <c r="BI134" s="401">
        <v>2175811</v>
      </c>
      <c r="BJ134" s="401">
        <v>1934549</v>
      </c>
      <c r="BK134" s="401">
        <v>0</v>
      </c>
      <c r="BL134" s="401">
        <v>12787813</v>
      </c>
      <c r="BM134" s="401">
        <v>2220946</v>
      </c>
      <c r="BN134" s="401">
        <v>0</v>
      </c>
      <c r="BO134" s="401">
        <v>2189563</v>
      </c>
      <c r="BP134" s="401">
        <v>3910590</v>
      </c>
      <c r="BQ134" s="401">
        <v>1007395</v>
      </c>
      <c r="BR134" s="401">
        <v>1220077</v>
      </c>
      <c r="BS134" s="401">
        <v>0</v>
      </c>
      <c r="BT134" s="401">
        <v>0</v>
      </c>
      <c r="BU134" s="401">
        <v>1192745</v>
      </c>
      <c r="BV134" s="401">
        <v>-518361</v>
      </c>
      <c r="BW134" s="401">
        <v>199918</v>
      </c>
      <c r="BX134" s="401">
        <v>909649</v>
      </c>
      <c r="BY134" s="401">
        <v>0</v>
      </c>
      <c r="BZ134" s="401">
        <v>0</v>
      </c>
      <c r="CA134" s="401">
        <v>6837732</v>
      </c>
      <c r="CB134" s="401">
        <v>0</v>
      </c>
    </row>
    <row r="135" spans="1:80" s="401" customFormat="1" x14ac:dyDescent="0.3">
      <c r="A135" s="993">
        <v>376</v>
      </c>
      <c r="B135" s="1000"/>
      <c r="C135" s="997">
        <v>376</v>
      </c>
      <c r="D135" s="998" t="s">
        <v>108</v>
      </c>
      <c r="E135" s="1011">
        <v>0</v>
      </c>
      <c r="BH135" s="401">
        <v>0</v>
      </c>
      <c r="BI135" s="401">
        <v>0</v>
      </c>
      <c r="BJ135" s="401">
        <v>0</v>
      </c>
      <c r="BK135" s="401">
        <v>0</v>
      </c>
      <c r="BL135" s="401">
        <v>0</v>
      </c>
      <c r="BM135" s="401">
        <v>0</v>
      </c>
      <c r="BN135" s="401">
        <v>0</v>
      </c>
      <c r="BO135" s="401">
        <v>0</v>
      </c>
      <c r="BP135" s="401">
        <v>0</v>
      </c>
      <c r="BQ135" s="401">
        <v>0</v>
      </c>
      <c r="BR135" s="401">
        <v>-1</v>
      </c>
      <c r="BS135" s="401">
        <v>0</v>
      </c>
      <c r="BT135" s="401">
        <v>0</v>
      </c>
      <c r="BU135" s="401">
        <v>0</v>
      </c>
      <c r="BV135" s="401">
        <v>0</v>
      </c>
      <c r="BW135" s="401">
        <v>-450000</v>
      </c>
      <c r="BX135" s="401">
        <v>0</v>
      </c>
      <c r="BY135" s="401">
        <v>0</v>
      </c>
      <c r="BZ135" s="401">
        <v>0</v>
      </c>
      <c r="CA135" s="401">
        <v>0</v>
      </c>
      <c r="CB135" s="401">
        <v>1</v>
      </c>
    </row>
    <row r="136" spans="1:80" s="401" customFormat="1" x14ac:dyDescent="0.3">
      <c r="A136" s="993">
        <v>377</v>
      </c>
      <c r="B136" s="993"/>
      <c r="C136" s="997">
        <v>377</v>
      </c>
      <c r="D136" s="998" t="s">
        <v>1458</v>
      </c>
      <c r="E136" s="1011">
        <v>0</v>
      </c>
      <c r="BH136" s="401">
        <v>0</v>
      </c>
      <c r="BI136" s="401">
        <v>0</v>
      </c>
      <c r="BJ136" s="401">
        <v>0</v>
      </c>
      <c r="BK136" s="401">
        <v>0</v>
      </c>
      <c r="BL136" s="401">
        <v>0</v>
      </c>
      <c r="BM136" s="401">
        <v>0</v>
      </c>
      <c r="BN136" s="401">
        <v>0</v>
      </c>
      <c r="BO136" s="401">
        <v>0</v>
      </c>
      <c r="BP136" s="401">
        <v>0</v>
      </c>
      <c r="BQ136" s="401">
        <v>0</v>
      </c>
      <c r="BR136" s="401">
        <v>2</v>
      </c>
      <c r="BS136" s="401">
        <v>0</v>
      </c>
      <c r="BT136" s="401">
        <v>0</v>
      </c>
      <c r="BU136" s="401">
        <v>0</v>
      </c>
      <c r="BV136" s="401">
        <v>1</v>
      </c>
      <c r="BW136" s="401">
        <v>-1</v>
      </c>
      <c r="BX136" s="401">
        <v>0</v>
      </c>
      <c r="BY136" s="401">
        <v>0</v>
      </c>
      <c r="BZ136" s="401">
        <v>0</v>
      </c>
      <c r="CA136" s="401">
        <v>0</v>
      </c>
      <c r="CB136" s="401">
        <v>0</v>
      </c>
    </row>
    <row r="137" spans="1:80" s="401" customFormat="1" x14ac:dyDescent="0.3">
      <c r="A137" s="993">
        <v>378</v>
      </c>
      <c r="B137" s="993"/>
      <c r="C137" s="997">
        <v>378</v>
      </c>
      <c r="D137" s="998" t="s">
        <v>1459</v>
      </c>
      <c r="E137" s="1011">
        <v>0</v>
      </c>
      <c r="BH137" s="401">
        <v>0</v>
      </c>
      <c r="BI137" s="401">
        <v>0</v>
      </c>
      <c r="BJ137" s="401">
        <v>0</v>
      </c>
      <c r="BK137" s="401">
        <v>0</v>
      </c>
      <c r="BL137" s="401">
        <v>0</v>
      </c>
      <c r="BM137" s="401">
        <v>0</v>
      </c>
      <c r="BN137" s="401">
        <v>0</v>
      </c>
      <c r="BO137" s="401">
        <v>0</v>
      </c>
      <c r="BP137" s="401">
        <v>0</v>
      </c>
      <c r="BQ137" s="401">
        <v>0</v>
      </c>
      <c r="BR137" s="401">
        <v>0</v>
      </c>
      <c r="BS137" s="401">
        <v>0</v>
      </c>
      <c r="BT137" s="401">
        <v>0</v>
      </c>
      <c r="BU137" s="401">
        <v>0</v>
      </c>
      <c r="BV137" s="401">
        <v>0</v>
      </c>
      <c r="BW137" s="401">
        <v>0</v>
      </c>
      <c r="BX137" s="401">
        <v>0</v>
      </c>
      <c r="BY137" s="401">
        <v>0</v>
      </c>
      <c r="BZ137" s="401">
        <v>0</v>
      </c>
      <c r="CA137" s="401">
        <v>0</v>
      </c>
      <c r="CB137" s="401">
        <v>0</v>
      </c>
    </row>
    <row r="138" spans="1:80" s="401" customFormat="1" ht="28.8" x14ac:dyDescent="0.3">
      <c r="A138" s="993">
        <v>379</v>
      </c>
      <c r="B138" s="1000"/>
      <c r="C138" s="997">
        <v>379</v>
      </c>
      <c r="D138" s="998" t="s">
        <v>118</v>
      </c>
      <c r="E138" s="1011">
        <v>0</v>
      </c>
      <c r="BH138" s="401">
        <v>185339</v>
      </c>
      <c r="BI138" s="401">
        <v>3037385</v>
      </c>
      <c r="BJ138" s="401">
        <v>3862533</v>
      </c>
      <c r="BK138" s="401">
        <v>0</v>
      </c>
      <c r="BL138" s="401">
        <v>3465457</v>
      </c>
      <c r="BM138" s="401">
        <v>6236100</v>
      </c>
      <c r="BN138" s="401">
        <v>141989</v>
      </c>
      <c r="BO138" s="401">
        <v>4783507</v>
      </c>
      <c r="BP138" s="401">
        <v>3875164</v>
      </c>
      <c r="BQ138" s="401">
        <v>1725155</v>
      </c>
      <c r="BR138" s="401">
        <v>3090698</v>
      </c>
      <c r="BS138" s="401">
        <v>2163436</v>
      </c>
      <c r="BT138" s="401">
        <v>13822058</v>
      </c>
      <c r="BU138" s="401">
        <v>3018789</v>
      </c>
      <c r="BV138" s="401">
        <v>2086608</v>
      </c>
      <c r="BW138" s="401">
        <v>1125269</v>
      </c>
      <c r="BX138" s="401">
        <v>1331772</v>
      </c>
      <c r="BY138" s="401">
        <v>187048</v>
      </c>
      <c r="BZ138" s="401">
        <v>217423</v>
      </c>
      <c r="CA138" s="401">
        <v>16790502</v>
      </c>
      <c r="CB138" s="401">
        <v>114946</v>
      </c>
    </row>
    <row r="139" spans="1:80" s="401" customFormat="1" ht="28.8" x14ac:dyDescent="0.3">
      <c r="A139" s="993">
        <v>380</v>
      </c>
      <c r="B139" s="1000"/>
      <c r="C139" s="997">
        <v>380</v>
      </c>
      <c r="D139" s="998" t="s">
        <v>121</v>
      </c>
      <c r="E139" s="1011">
        <v>0</v>
      </c>
      <c r="BH139" s="401">
        <v>1622</v>
      </c>
      <c r="BI139" s="401">
        <v>47490</v>
      </c>
      <c r="BJ139" s="401">
        <v>58391</v>
      </c>
      <c r="BK139" s="401">
        <v>0</v>
      </c>
      <c r="BL139" s="401">
        <v>16442</v>
      </c>
      <c r="BM139" s="401">
        <v>44469</v>
      </c>
      <c r="BN139" s="401">
        <v>0</v>
      </c>
      <c r="BO139" s="401">
        <v>78877</v>
      </c>
      <c r="BP139" s="401">
        <v>37727</v>
      </c>
      <c r="BQ139" s="401">
        <v>25299</v>
      </c>
      <c r="BR139" s="401">
        <v>50285</v>
      </c>
      <c r="BS139" s="401">
        <v>3464</v>
      </c>
      <c r="BT139" s="401">
        <v>376628</v>
      </c>
      <c r="BU139" s="401">
        <v>500196</v>
      </c>
      <c r="BV139" s="401">
        <v>30651</v>
      </c>
      <c r="BW139" s="401">
        <v>525325</v>
      </c>
      <c r="BX139" s="401">
        <v>5047</v>
      </c>
      <c r="BY139" s="401">
        <v>420</v>
      </c>
      <c r="BZ139" s="401">
        <v>674</v>
      </c>
      <c r="CA139" s="401">
        <v>110641</v>
      </c>
      <c r="CB139" s="401">
        <v>12064</v>
      </c>
    </row>
    <row r="140" spans="1:80" s="401" customFormat="1" x14ac:dyDescent="0.3">
      <c r="A140" s="993">
        <v>381</v>
      </c>
      <c r="B140" s="993"/>
      <c r="C140" s="997">
        <v>381</v>
      </c>
      <c r="D140" s="998" t="s">
        <v>1460</v>
      </c>
      <c r="E140" s="1011">
        <v>0</v>
      </c>
      <c r="BH140" s="401">
        <v>0</v>
      </c>
      <c r="BI140" s="401">
        <v>7677098</v>
      </c>
      <c r="BJ140" s="401">
        <v>7663619</v>
      </c>
      <c r="BK140" s="401">
        <v>0</v>
      </c>
      <c r="BL140" s="401">
        <v>13721558</v>
      </c>
      <c r="BM140" s="401">
        <v>8462815</v>
      </c>
      <c r="BN140" s="401">
        <v>0</v>
      </c>
      <c r="BO140" s="401">
        <v>21355927</v>
      </c>
      <c r="BP140" s="401">
        <v>12624222</v>
      </c>
      <c r="BQ140" s="401">
        <v>8940927</v>
      </c>
      <c r="BR140" s="401">
        <v>7040594</v>
      </c>
      <c r="BS140" s="401">
        <v>0</v>
      </c>
      <c r="BT140" s="401">
        <v>0</v>
      </c>
      <c r="BU140" s="401">
        <v>7030022</v>
      </c>
      <c r="BV140" s="401">
        <v>17529503</v>
      </c>
      <c r="BW140" s="401">
        <v>5670917</v>
      </c>
      <c r="BX140" s="401">
        <v>3214217</v>
      </c>
      <c r="BY140" s="401">
        <v>0</v>
      </c>
      <c r="BZ140" s="401">
        <v>0</v>
      </c>
      <c r="CA140" s="401">
        <v>63410531</v>
      </c>
      <c r="CB140" s="401">
        <v>0</v>
      </c>
    </row>
    <row r="141" spans="1:80" s="401" customFormat="1" x14ac:dyDescent="0.3">
      <c r="A141" s="993">
        <v>382</v>
      </c>
      <c r="B141" s="993"/>
      <c r="C141" s="997">
        <v>382</v>
      </c>
      <c r="D141" s="998" t="s">
        <v>1461</v>
      </c>
      <c r="E141" s="1011">
        <v>0</v>
      </c>
      <c r="BH141" s="401">
        <v>0</v>
      </c>
      <c r="BI141" s="401">
        <v>0</v>
      </c>
      <c r="BJ141" s="401">
        <v>0</v>
      </c>
      <c r="BK141" s="401">
        <v>0</v>
      </c>
      <c r="BL141" s="401">
        <v>5925114</v>
      </c>
      <c r="BM141" s="401">
        <v>0</v>
      </c>
      <c r="BN141" s="401">
        <v>0</v>
      </c>
      <c r="BO141" s="401">
        <v>0</v>
      </c>
      <c r="BP141" s="401">
        <v>0</v>
      </c>
      <c r="BQ141" s="401">
        <v>0</v>
      </c>
      <c r="BR141" s="401">
        <v>0</v>
      </c>
      <c r="BS141" s="401">
        <v>0</v>
      </c>
      <c r="BT141" s="401">
        <v>0</v>
      </c>
      <c r="BU141" s="401">
        <v>0</v>
      </c>
      <c r="BV141" s="401">
        <v>0</v>
      </c>
      <c r="BW141" s="401">
        <v>0</v>
      </c>
      <c r="BX141" s="401">
        <v>0</v>
      </c>
      <c r="BY141" s="401">
        <v>0</v>
      </c>
      <c r="BZ141" s="401">
        <v>0</v>
      </c>
      <c r="CA141" s="401">
        <v>0</v>
      </c>
      <c r="CB141" s="401">
        <v>0</v>
      </c>
    </row>
    <row r="142" spans="1:80" s="401" customFormat="1" x14ac:dyDescent="0.3">
      <c r="A142" s="993">
        <v>383</v>
      </c>
      <c r="B142" s="993"/>
      <c r="C142" s="997">
        <v>383</v>
      </c>
      <c r="D142" s="998" t="s">
        <v>1462</v>
      </c>
      <c r="E142" s="1011">
        <v>0</v>
      </c>
      <c r="BH142" s="401">
        <v>0</v>
      </c>
      <c r="BI142" s="401">
        <v>0</v>
      </c>
      <c r="BJ142" s="401">
        <v>0</v>
      </c>
      <c r="BK142" s="401">
        <v>0</v>
      </c>
      <c r="BL142" s="401">
        <v>0</v>
      </c>
      <c r="BM142" s="401">
        <v>0</v>
      </c>
      <c r="BN142" s="401">
        <v>0</v>
      </c>
      <c r="BO142" s="401">
        <v>0</v>
      </c>
      <c r="BP142" s="401">
        <v>6921</v>
      </c>
      <c r="BQ142" s="401">
        <v>0</v>
      </c>
      <c r="BR142" s="401">
        <v>0</v>
      </c>
      <c r="BS142" s="401">
        <v>0</v>
      </c>
      <c r="BT142" s="401">
        <v>0</v>
      </c>
      <c r="BU142" s="401">
        <v>0</v>
      </c>
      <c r="BV142" s="401">
        <v>0</v>
      </c>
      <c r="BW142" s="401">
        <v>25000</v>
      </c>
      <c r="BX142" s="401">
        <v>0</v>
      </c>
      <c r="BY142" s="401">
        <v>0</v>
      </c>
      <c r="BZ142" s="401">
        <v>0</v>
      </c>
      <c r="CA142" s="401">
        <v>0</v>
      </c>
      <c r="CB142" s="401">
        <v>0</v>
      </c>
    </row>
    <row r="143" spans="1:80" s="401" customFormat="1" x14ac:dyDescent="0.3">
      <c r="A143" s="993">
        <v>384</v>
      </c>
      <c r="B143" s="993"/>
      <c r="C143" s="997">
        <v>384</v>
      </c>
      <c r="D143" s="998" t="s">
        <v>1463</v>
      </c>
      <c r="E143" s="1011">
        <v>0</v>
      </c>
      <c r="BH143" s="401">
        <v>0</v>
      </c>
      <c r="BI143" s="401">
        <v>0</v>
      </c>
      <c r="BJ143" s="401">
        <v>0</v>
      </c>
      <c r="BK143" s="401">
        <v>0</v>
      </c>
      <c r="BL143" s="401">
        <v>0</v>
      </c>
      <c r="BM143" s="401">
        <v>0</v>
      </c>
      <c r="BN143" s="401">
        <v>0</v>
      </c>
      <c r="BO143" s="401">
        <v>0</v>
      </c>
      <c r="BP143" s="401">
        <v>0</v>
      </c>
      <c r="BQ143" s="401">
        <v>0</v>
      </c>
      <c r="BR143" s="401">
        <v>0</v>
      </c>
      <c r="BS143" s="401">
        <v>0</v>
      </c>
      <c r="BT143" s="401">
        <v>0</v>
      </c>
      <c r="BU143" s="401">
        <v>0</v>
      </c>
      <c r="BV143" s="401">
        <v>0</v>
      </c>
      <c r="BW143" s="401">
        <v>0</v>
      </c>
      <c r="BX143" s="401">
        <v>0</v>
      </c>
      <c r="BY143" s="401">
        <v>0</v>
      </c>
      <c r="BZ143" s="401">
        <v>0</v>
      </c>
      <c r="CA143" s="401">
        <v>0</v>
      </c>
      <c r="CB143" s="401">
        <v>0</v>
      </c>
    </row>
    <row r="144" spans="1:80" s="401" customFormat="1" x14ac:dyDescent="0.3">
      <c r="A144" s="993">
        <v>385</v>
      </c>
      <c r="B144" s="1000"/>
      <c r="C144" s="997">
        <v>385</v>
      </c>
      <c r="D144" s="998" t="s">
        <v>115</v>
      </c>
      <c r="E144" s="1011">
        <v>0</v>
      </c>
      <c r="BH144" s="401">
        <v>236755</v>
      </c>
      <c r="BI144" s="401">
        <v>6523811</v>
      </c>
      <c r="BJ144" s="401">
        <v>11712869</v>
      </c>
      <c r="BK144" s="401">
        <v>0</v>
      </c>
      <c r="BL144" s="401">
        <v>15137769</v>
      </c>
      <c r="BM144" s="401">
        <v>14441091</v>
      </c>
      <c r="BN144" s="401">
        <v>189429</v>
      </c>
      <c r="BO144" s="401">
        <v>15653783</v>
      </c>
      <c r="BP144" s="401">
        <v>8379262</v>
      </c>
      <c r="BQ144" s="401">
        <v>2394194</v>
      </c>
      <c r="BR144" s="401">
        <v>4749806</v>
      </c>
      <c r="BS144" s="401">
        <v>11886705</v>
      </c>
      <c r="BT144" s="401">
        <v>277792914</v>
      </c>
      <c r="BU144" s="401">
        <v>5491723</v>
      </c>
      <c r="BV144" s="401">
        <v>5349198</v>
      </c>
      <c r="BW144" s="401">
        <v>2523357</v>
      </c>
      <c r="BX144" s="401">
        <v>4774260</v>
      </c>
      <c r="BY144" s="401">
        <v>194841</v>
      </c>
      <c r="BZ144" s="401">
        <v>223162</v>
      </c>
      <c r="CA144" s="401">
        <v>80045301</v>
      </c>
      <c r="CB144" s="401">
        <v>365922</v>
      </c>
    </row>
    <row r="145" spans="1:80" s="401" customFormat="1" x14ac:dyDescent="0.3">
      <c r="A145" s="993">
        <v>386</v>
      </c>
      <c r="B145" s="1000"/>
      <c r="C145" s="997">
        <v>386</v>
      </c>
      <c r="D145" s="998" t="s">
        <v>194</v>
      </c>
      <c r="E145" s="1011">
        <v>0</v>
      </c>
      <c r="F145" s="993"/>
      <c r="BH145" s="401">
        <v>0</v>
      </c>
      <c r="BI145" s="401">
        <v>0</v>
      </c>
      <c r="BJ145" s="401">
        <v>0</v>
      </c>
      <c r="BK145" s="401">
        <v>0</v>
      </c>
      <c r="BL145" s="401">
        <v>0</v>
      </c>
      <c r="BM145" s="401">
        <v>0</v>
      </c>
      <c r="BN145" s="401">
        <v>0</v>
      </c>
      <c r="BO145" s="401">
        <v>173000</v>
      </c>
      <c r="BP145" s="401">
        <v>0</v>
      </c>
      <c r="BQ145" s="401">
        <v>0</v>
      </c>
      <c r="BR145" s="401">
        <v>1495868</v>
      </c>
      <c r="BS145" s="401">
        <v>0</v>
      </c>
      <c r="BT145" s="401">
        <v>0</v>
      </c>
      <c r="BU145" s="401">
        <v>0</v>
      </c>
      <c r="BV145" s="401">
        <v>0</v>
      </c>
      <c r="BW145" s="401">
        <v>0</v>
      </c>
      <c r="BX145" s="401">
        <v>0</v>
      </c>
      <c r="BY145" s="401">
        <v>0</v>
      </c>
      <c r="BZ145" s="401">
        <v>0</v>
      </c>
      <c r="CA145" s="401">
        <v>0</v>
      </c>
      <c r="CB145" s="401">
        <v>0</v>
      </c>
    </row>
    <row r="146" spans="1:80" s="401" customFormat="1" x14ac:dyDescent="0.3">
      <c r="A146" s="993">
        <v>387</v>
      </c>
      <c r="B146" s="1000"/>
      <c r="C146" s="997">
        <v>387</v>
      </c>
      <c r="D146" s="998" t="s">
        <v>195</v>
      </c>
      <c r="E146" s="1011">
        <v>0</v>
      </c>
      <c r="F146" s="993"/>
      <c r="BH146" s="401">
        <v>0</v>
      </c>
      <c r="BI146" s="401">
        <v>0</v>
      </c>
      <c r="BJ146" s="401">
        <v>0</v>
      </c>
      <c r="BK146" s="401">
        <v>0</v>
      </c>
      <c r="BL146" s="401">
        <v>0</v>
      </c>
      <c r="BM146" s="401">
        <v>0</v>
      </c>
      <c r="BN146" s="401">
        <v>0</v>
      </c>
      <c r="BO146" s="401">
        <v>0</v>
      </c>
      <c r="BP146" s="401">
        <v>0</v>
      </c>
      <c r="BQ146" s="401">
        <v>0</v>
      </c>
      <c r="BR146" s="401">
        <v>0</v>
      </c>
      <c r="BS146" s="401">
        <v>0</v>
      </c>
      <c r="BT146" s="401">
        <v>0</v>
      </c>
      <c r="BU146" s="401">
        <v>6211</v>
      </c>
      <c r="BV146" s="401">
        <v>21072</v>
      </c>
      <c r="BW146" s="401">
        <v>129596</v>
      </c>
      <c r="BX146" s="401">
        <v>0</v>
      </c>
      <c r="BY146" s="401">
        <v>0</v>
      </c>
      <c r="BZ146" s="401">
        <v>0</v>
      </c>
      <c r="CA146" s="401">
        <v>1395</v>
      </c>
      <c r="CB146" s="401">
        <v>0</v>
      </c>
    </row>
    <row r="147" spans="1:80" s="401" customFormat="1" x14ac:dyDescent="0.3">
      <c r="A147" s="993">
        <v>388</v>
      </c>
      <c r="B147" s="1000"/>
      <c r="C147" s="997">
        <v>388</v>
      </c>
      <c r="D147" s="998" t="s">
        <v>189</v>
      </c>
      <c r="E147" s="1011">
        <v>0</v>
      </c>
      <c r="F147" s="993"/>
      <c r="BH147" s="401">
        <v>54089</v>
      </c>
      <c r="BI147" s="401">
        <v>3829487</v>
      </c>
      <c r="BJ147" s="401">
        <v>2497138</v>
      </c>
      <c r="BK147" s="401">
        <v>0</v>
      </c>
      <c r="BL147" s="401">
        <v>9055035</v>
      </c>
      <c r="BM147" s="401">
        <v>4718111</v>
      </c>
      <c r="BN147" s="401">
        <v>44587</v>
      </c>
      <c r="BO147" s="401">
        <v>8753077</v>
      </c>
      <c r="BP147" s="401">
        <v>1843615</v>
      </c>
      <c r="BQ147" s="401">
        <v>1128251</v>
      </c>
      <c r="BR147" s="401">
        <v>2097243</v>
      </c>
      <c r="BS147" s="401">
        <v>1255505</v>
      </c>
      <c r="BT147" s="401">
        <v>26250443</v>
      </c>
      <c r="BU147" s="401">
        <v>2117639</v>
      </c>
      <c r="BV147" s="401">
        <v>2761065</v>
      </c>
      <c r="BW147" s="401">
        <v>1254934</v>
      </c>
      <c r="BX147" s="401">
        <v>920300</v>
      </c>
      <c r="BY147" s="401">
        <v>32146</v>
      </c>
      <c r="BZ147" s="401">
        <v>41461</v>
      </c>
      <c r="CA147" s="401">
        <v>19434064</v>
      </c>
      <c r="CB147" s="401">
        <v>76600</v>
      </c>
    </row>
    <row r="148" spans="1:80" s="401" customFormat="1" x14ac:dyDescent="0.3">
      <c r="A148" s="993">
        <v>389</v>
      </c>
      <c r="B148" s="1000"/>
      <c r="C148" s="997">
        <v>389</v>
      </c>
      <c r="D148" s="998" t="s">
        <v>196</v>
      </c>
      <c r="E148" s="1011">
        <v>0</v>
      </c>
      <c r="F148" s="993"/>
      <c r="BH148" s="401">
        <v>0</v>
      </c>
      <c r="BI148" s="401">
        <v>0</v>
      </c>
      <c r="BJ148" s="401">
        <v>0</v>
      </c>
      <c r="BK148" s="401">
        <v>0</v>
      </c>
      <c r="BL148" s="401">
        <v>0</v>
      </c>
      <c r="BM148" s="401">
        <v>0</v>
      </c>
      <c r="BN148" s="401">
        <v>0</v>
      </c>
      <c r="BO148" s="401">
        <v>0</v>
      </c>
      <c r="BP148" s="401">
        <v>0</v>
      </c>
      <c r="BQ148" s="401">
        <v>0</v>
      </c>
      <c r="BR148" s="401">
        <v>0</v>
      </c>
      <c r="BS148" s="401">
        <v>0</v>
      </c>
      <c r="BT148" s="401">
        <v>0</v>
      </c>
      <c r="BU148" s="401">
        <v>0</v>
      </c>
      <c r="BV148" s="401">
        <v>0</v>
      </c>
      <c r="BW148" s="401">
        <v>0</v>
      </c>
      <c r="BX148" s="401">
        <v>0</v>
      </c>
      <c r="BY148" s="401">
        <v>0</v>
      </c>
      <c r="BZ148" s="401">
        <v>0</v>
      </c>
      <c r="CA148" s="401">
        <v>0</v>
      </c>
      <c r="CB148" s="401">
        <v>0</v>
      </c>
    </row>
    <row r="149" spans="1:80" s="401" customFormat="1" x14ac:dyDescent="0.3">
      <c r="A149" s="993">
        <v>391</v>
      </c>
      <c r="B149" s="1000"/>
      <c r="C149" s="997">
        <v>391</v>
      </c>
      <c r="D149" s="998" t="s">
        <v>201</v>
      </c>
      <c r="E149" s="1011">
        <v>0</v>
      </c>
      <c r="F149" s="993"/>
      <c r="BH149" s="401">
        <v>5911</v>
      </c>
      <c r="BI149" s="401">
        <v>256323</v>
      </c>
      <c r="BJ149" s="401">
        <v>329696</v>
      </c>
      <c r="BK149" s="401">
        <v>0</v>
      </c>
      <c r="BL149" s="401">
        <v>689755</v>
      </c>
      <c r="BM149" s="401">
        <v>364769</v>
      </c>
      <c r="BN149" s="401">
        <v>5800</v>
      </c>
      <c r="BO149" s="401">
        <v>928658</v>
      </c>
      <c r="BP149" s="401">
        <v>200207</v>
      </c>
      <c r="BQ149" s="401">
        <v>78564</v>
      </c>
      <c r="BR149" s="401">
        <v>326850</v>
      </c>
      <c r="BS149" s="401">
        <v>61635</v>
      </c>
      <c r="BT149" s="401">
        <v>1529483</v>
      </c>
      <c r="BU149" s="401">
        <v>305666</v>
      </c>
      <c r="BV149" s="401">
        <v>208288</v>
      </c>
      <c r="BW149" s="401">
        <v>104263</v>
      </c>
      <c r="BX149" s="401">
        <v>454037</v>
      </c>
      <c r="BY149" s="401">
        <v>966</v>
      </c>
      <c r="BZ149" s="401">
        <v>5323</v>
      </c>
      <c r="CA149" s="401">
        <v>2422768</v>
      </c>
      <c r="CB149" s="401">
        <v>3541</v>
      </c>
    </row>
    <row r="150" spans="1:80" s="401" customFormat="1" x14ac:dyDescent="0.3">
      <c r="A150" s="993">
        <v>500</v>
      </c>
      <c r="B150" s="1000"/>
      <c r="C150" s="997">
        <v>500</v>
      </c>
      <c r="D150" s="998" t="s">
        <v>183</v>
      </c>
      <c r="E150" s="1011">
        <v>0</v>
      </c>
      <c r="F150" s="993"/>
      <c r="BH150" s="401">
        <v>23601</v>
      </c>
      <c r="BI150" s="401">
        <v>7771</v>
      </c>
      <c r="BJ150" s="401">
        <v>145974</v>
      </c>
      <c r="BK150" s="401">
        <v>0</v>
      </c>
      <c r="BL150" s="401">
        <v>263304</v>
      </c>
      <c r="BM150" s="401">
        <v>67699</v>
      </c>
      <c r="BN150" s="401">
        <v>0</v>
      </c>
      <c r="BO150" s="401">
        <v>597559</v>
      </c>
      <c r="BP150" s="401">
        <v>141279</v>
      </c>
      <c r="BQ150" s="401">
        <v>147781</v>
      </c>
      <c r="BR150" s="401">
        <v>179396</v>
      </c>
      <c r="BS150" s="401">
        <v>51361</v>
      </c>
      <c r="BT150" s="401">
        <v>4808620</v>
      </c>
      <c r="BU150" s="401">
        <v>28016</v>
      </c>
      <c r="BV150" s="401">
        <v>248609</v>
      </c>
      <c r="BW150" s="401">
        <v>38075</v>
      </c>
      <c r="BX150" s="401">
        <v>99456</v>
      </c>
      <c r="BY150" s="401">
        <v>20509</v>
      </c>
      <c r="BZ150" s="401">
        <v>18656</v>
      </c>
      <c r="CA150" s="401">
        <v>1170936</v>
      </c>
      <c r="CB150" s="401">
        <v>5028</v>
      </c>
    </row>
    <row r="151" spans="1:80" s="401" customFormat="1" x14ac:dyDescent="0.3">
      <c r="A151" s="993">
        <v>501</v>
      </c>
      <c r="B151" s="993"/>
      <c r="C151" s="997">
        <v>501</v>
      </c>
      <c r="D151" s="998" t="s">
        <v>185</v>
      </c>
      <c r="E151" s="1011">
        <v>0</v>
      </c>
      <c r="F151" s="993"/>
      <c r="BH151" s="401">
        <v>0</v>
      </c>
      <c r="BI151" s="401">
        <v>0</v>
      </c>
      <c r="BJ151" s="401">
        <v>0</v>
      </c>
      <c r="BK151" s="401">
        <v>0</v>
      </c>
      <c r="BL151" s="401">
        <v>0</v>
      </c>
      <c r="BM151" s="401">
        <v>0</v>
      </c>
      <c r="BN151" s="401">
        <v>0</v>
      </c>
      <c r="BO151" s="401">
        <v>0</v>
      </c>
      <c r="BP151" s="401">
        <v>0</v>
      </c>
      <c r="BQ151" s="401">
        <v>0</v>
      </c>
      <c r="BR151" s="401">
        <v>0</v>
      </c>
      <c r="BS151" s="401">
        <v>0</v>
      </c>
      <c r="BT151" s="401">
        <v>0</v>
      </c>
      <c r="BU151" s="401">
        <v>0</v>
      </c>
      <c r="BV151" s="401">
        <v>0</v>
      </c>
      <c r="BW151" s="401">
        <v>0</v>
      </c>
      <c r="BX151" s="401">
        <v>0</v>
      </c>
      <c r="BY151" s="401">
        <v>0</v>
      </c>
      <c r="BZ151" s="401">
        <v>0</v>
      </c>
      <c r="CA151" s="401">
        <v>0</v>
      </c>
      <c r="CB151" s="401">
        <v>0</v>
      </c>
    </row>
    <row r="152" spans="1:80" s="401" customFormat="1" x14ac:dyDescent="0.3">
      <c r="A152" s="993">
        <v>502</v>
      </c>
      <c r="B152" s="1000">
        <v>502</v>
      </c>
      <c r="C152" s="997">
        <v>502</v>
      </c>
      <c r="D152" s="998" t="s">
        <v>186</v>
      </c>
      <c r="E152" s="1011">
        <v>2947318</v>
      </c>
      <c r="F152" s="1012"/>
      <c r="BH152" s="401">
        <v>0</v>
      </c>
      <c r="BI152" s="401">
        <v>629957</v>
      </c>
      <c r="BJ152" s="401">
        <v>1950576</v>
      </c>
      <c r="BK152" s="401">
        <v>0</v>
      </c>
      <c r="BL152" s="401">
        <v>7223410</v>
      </c>
      <c r="BM152" s="401">
        <v>2736585</v>
      </c>
      <c r="BN152" s="401">
        <v>0</v>
      </c>
      <c r="BO152" s="401">
        <v>1676370</v>
      </c>
      <c r="BP152" s="401">
        <v>3215759</v>
      </c>
      <c r="BQ152" s="401">
        <v>997878</v>
      </c>
      <c r="BR152" s="401">
        <v>1748084</v>
      </c>
      <c r="BS152" s="401">
        <v>0</v>
      </c>
      <c r="BT152" s="401">
        <v>0</v>
      </c>
      <c r="BU152" s="401">
        <v>1039729</v>
      </c>
      <c r="BV152" s="401">
        <v>1684666</v>
      </c>
      <c r="BW152" s="401">
        <v>170669</v>
      </c>
      <c r="BX152" s="401">
        <v>1208339</v>
      </c>
      <c r="BY152" s="401">
        <v>0</v>
      </c>
      <c r="BZ152" s="401">
        <v>0</v>
      </c>
      <c r="CA152" s="401">
        <v>7586901</v>
      </c>
      <c r="CB152" s="401">
        <v>0</v>
      </c>
    </row>
    <row r="153" spans="1:80" s="401" customFormat="1" x14ac:dyDescent="0.3">
      <c r="A153" s="993">
        <v>503</v>
      </c>
      <c r="B153" s="1000">
        <v>503</v>
      </c>
      <c r="C153" s="997">
        <v>503</v>
      </c>
      <c r="D153" s="998" t="s">
        <v>187</v>
      </c>
      <c r="E153" s="1011">
        <v>0</v>
      </c>
      <c r="F153" s="1012"/>
      <c r="BH153" s="401">
        <v>0</v>
      </c>
      <c r="BI153" s="401">
        <v>41630</v>
      </c>
      <c r="BJ153" s="401">
        <v>0</v>
      </c>
      <c r="BK153" s="401">
        <v>0</v>
      </c>
      <c r="BL153" s="401">
        <v>165493</v>
      </c>
      <c r="BM153" s="401">
        <v>183172</v>
      </c>
      <c r="BN153" s="401">
        <v>0</v>
      </c>
      <c r="BO153" s="401">
        <v>248740</v>
      </c>
      <c r="BP153" s="401">
        <v>320529</v>
      </c>
      <c r="BQ153" s="401">
        <v>39450</v>
      </c>
      <c r="BR153" s="401">
        <v>64381</v>
      </c>
      <c r="BS153" s="401">
        <v>0</v>
      </c>
      <c r="BT153" s="401">
        <v>0</v>
      </c>
      <c r="BU153" s="401">
        <v>0</v>
      </c>
      <c r="BV153" s="401">
        <v>79520</v>
      </c>
      <c r="BW153" s="401">
        <v>42761</v>
      </c>
      <c r="BX153" s="401">
        <v>26655</v>
      </c>
      <c r="BY153" s="401">
        <v>0</v>
      </c>
      <c r="BZ153" s="401">
        <v>0</v>
      </c>
      <c r="CA153" s="401">
        <v>1573791</v>
      </c>
      <c r="CB153" s="401">
        <v>0</v>
      </c>
    </row>
    <row r="154" spans="1:80" s="401" customFormat="1" x14ac:dyDescent="0.3">
      <c r="A154" s="993">
        <v>504</v>
      </c>
      <c r="B154" s="1000"/>
      <c r="C154" s="997">
        <v>504</v>
      </c>
      <c r="D154" s="998" t="s">
        <v>191</v>
      </c>
      <c r="E154" s="1011">
        <v>0</v>
      </c>
      <c r="F154" s="1012"/>
      <c r="BH154" s="401">
        <v>4659</v>
      </c>
      <c r="BI154" s="401">
        <v>184214</v>
      </c>
      <c r="BJ154" s="401">
        <v>241030</v>
      </c>
      <c r="BK154" s="401">
        <v>0</v>
      </c>
      <c r="BL154" s="401">
        <v>529202</v>
      </c>
      <c r="BM154" s="401">
        <v>148850</v>
      </c>
      <c r="BN154" s="401">
        <v>0</v>
      </c>
      <c r="BO154" s="401">
        <v>985998</v>
      </c>
      <c r="BP154" s="401">
        <v>131344</v>
      </c>
      <c r="BQ154" s="401">
        <v>126074</v>
      </c>
      <c r="BR154" s="401">
        <v>68368</v>
      </c>
      <c r="BS154" s="401">
        <v>141345</v>
      </c>
      <c r="BT154" s="401">
        <v>1272607</v>
      </c>
      <c r="BU154" s="401">
        <v>137163</v>
      </c>
      <c r="BV154" s="401">
        <v>192159</v>
      </c>
      <c r="BW154" s="401">
        <v>702723</v>
      </c>
      <c r="BX154" s="401">
        <v>19153</v>
      </c>
      <c r="BY154" s="401">
        <v>3681</v>
      </c>
      <c r="BZ154" s="401">
        <v>4502</v>
      </c>
      <c r="CA154" s="401">
        <v>957002</v>
      </c>
      <c r="CB154" s="401">
        <v>6359</v>
      </c>
    </row>
    <row r="155" spans="1:80" s="401" customFormat="1" x14ac:dyDescent="0.3">
      <c r="A155" s="993">
        <v>505</v>
      </c>
      <c r="B155" s="1000"/>
      <c r="C155" s="997">
        <v>505</v>
      </c>
      <c r="D155" s="998" t="s">
        <v>192</v>
      </c>
      <c r="E155" s="1011">
        <v>0</v>
      </c>
      <c r="F155" s="1012"/>
      <c r="BH155" s="401">
        <v>0</v>
      </c>
      <c r="BI155" s="401">
        <v>114250</v>
      </c>
      <c r="BJ155" s="401">
        <v>0</v>
      </c>
      <c r="BK155" s="401">
        <v>0</v>
      </c>
      <c r="BL155" s="401">
        <v>0</v>
      </c>
      <c r="BM155" s="401">
        <v>0</v>
      </c>
      <c r="BN155" s="401">
        <v>0</v>
      </c>
      <c r="BO155" s="401">
        <v>114590</v>
      </c>
      <c r="BP155" s="401">
        <v>0</v>
      </c>
      <c r="BQ155" s="401">
        <v>0</v>
      </c>
      <c r="BR155" s="401">
        <v>0</v>
      </c>
      <c r="BS155" s="401">
        <v>4877606</v>
      </c>
      <c r="BT155" s="401">
        <v>650820</v>
      </c>
      <c r="BU155" s="401">
        <v>0</v>
      </c>
      <c r="BV155" s="401">
        <v>88500</v>
      </c>
      <c r="BW155" s="401">
        <v>0</v>
      </c>
      <c r="BX155" s="401">
        <v>347530</v>
      </c>
      <c r="BY155" s="401">
        <v>0</v>
      </c>
      <c r="BZ155" s="401">
        <v>0</v>
      </c>
      <c r="CA155" s="401">
        <v>3927560</v>
      </c>
      <c r="CB155" s="401">
        <v>0</v>
      </c>
    </row>
    <row r="156" spans="1:80" s="401" customFormat="1" x14ac:dyDescent="0.3">
      <c r="A156" s="993">
        <v>506</v>
      </c>
      <c r="B156" s="1000"/>
      <c r="C156" s="997">
        <v>506</v>
      </c>
      <c r="D156" s="998" t="s">
        <v>198</v>
      </c>
      <c r="E156" s="1011">
        <v>0</v>
      </c>
      <c r="F156" s="1012"/>
      <c r="BH156" s="401">
        <v>154205</v>
      </c>
      <c r="BI156" s="401">
        <v>2725801</v>
      </c>
      <c r="BJ156" s="401">
        <v>3433068</v>
      </c>
      <c r="BK156" s="401">
        <v>0</v>
      </c>
      <c r="BL156" s="401">
        <v>2696052</v>
      </c>
      <c r="BM156" s="401">
        <v>5760391</v>
      </c>
      <c r="BN156" s="401">
        <v>136189</v>
      </c>
      <c r="BO156" s="401">
        <v>3443225</v>
      </c>
      <c r="BP156" s="401">
        <v>3495951</v>
      </c>
      <c r="BQ156" s="401">
        <v>1469511</v>
      </c>
      <c r="BR156" s="401">
        <v>2534166</v>
      </c>
      <c r="BS156" s="401">
        <v>2046076</v>
      </c>
      <c r="BT156" s="401">
        <v>11231747</v>
      </c>
      <c r="BU156" s="401">
        <v>2184911</v>
      </c>
      <c r="BV156" s="401">
        <v>1570453</v>
      </c>
      <c r="BW156" s="401">
        <v>957606</v>
      </c>
      <c r="BX156" s="401">
        <v>1108232</v>
      </c>
      <c r="BY156" s="401">
        <v>165153</v>
      </c>
      <c r="BZ156" s="401">
        <v>192770</v>
      </c>
      <c r="CA156" s="401">
        <v>13311576</v>
      </c>
      <c r="CB156" s="401">
        <v>89620</v>
      </c>
    </row>
    <row r="157" spans="1:80" s="401" customFormat="1" x14ac:dyDescent="0.3">
      <c r="A157" s="993">
        <v>507</v>
      </c>
      <c r="B157" s="1000"/>
      <c r="C157" s="997">
        <v>507</v>
      </c>
      <c r="D157" s="998" t="s">
        <v>216</v>
      </c>
      <c r="E157" s="1011">
        <v>0</v>
      </c>
      <c r="F157" s="1012"/>
      <c r="BH157" s="401">
        <v>0</v>
      </c>
      <c r="BI157" s="401">
        <v>0</v>
      </c>
      <c r="BJ157" s="401">
        <v>0</v>
      </c>
      <c r="BK157" s="401">
        <v>0</v>
      </c>
      <c r="BL157" s="401">
        <v>0</v>
      </c>
      <c r="BM157" s="401">
        <v>0</v>
      </c>
      <c r="BN157" s="401">
        <v>0</v>
      </c>
      <c r="BO157" s="401">
        <v>0</v>
      </c>
      <c r="BP157" s="401">
        <v>0</v>
      </c>
      <c r="BQ157" s="401">
        <v>0</v>
      </c>
      <c r="BR157" s="401">
        <v>1</v>
      </c>
      <c r="BS157" s="401">
        <v>0</v>
      </c>
      <c r="BT157" s="401">
        <v>0</v>
      </c>
      <c r="BU157" s="401">
        <v>0</v>
      </c>
      <c r="BV157" s="401">
        <v>0</v>
      </c>
      <c r="BW157" s="401">
        <v>-450000</v>
      </c>
      <c r="BX157" s="401">
        <v>0</v>
      </c>
      <c r="BY157" s="401">
        <v>0</v>
      </c>
      <c r="BZ157" s="401">
        <v>0</v>
      </c>
      <c r="CA157" s="401">
        <v>0</v>
      </c>
      <c r="CB157" s="401">
        <v>0</v>
      </c>
    </row>
    <row r="158" spans="1:80" s="401" customFormat="1" x14ac:dyDescent="0.3">
      <c r="A158" s="993">
        <v>508</v>
      </c>
      <c r="B158" s="1000"/>
      <c r="C158" s="997">
        <v>508</v>
      </c>
      <c r="D158" s="998" t="s">
        <v>213</v>
      </c>
      <c r="E158" s="1011">
        <v>0</v>
      </c>
      <c r="F158" s="1012"/>
      <c r="BH158" s="401">
        <v>0</v>
      </c>
      <c r="BI158" s="401">
        <v>0</v>
      </c>
      <c r="BJ158" s="401">
        <v>0</v>
      </c>
      <c r="BK158" s="401">
        <v>0</v>
      </c>
      <c r="BL158" s="401">
        <v>0</v>
      </c>
      <c r="BM158" s="401">
        <v>0</v>
      </c>
      <c r="BN158" s="401">
        <v>0</v>
      </c>
      <c r="BO158" s="401">
        <v>0</v>
      </c>
      <c r="BP158" s="401">
        <v>0</v>
      </c>
      <c r="BQ158" s="401">
        <v>0</v>
      </c>
      <c r="BR158" s="401">
        <v>0</v>
      </c>
      <c r="BS158" s="401">
        <v>0</v>
      </c>
      <c r="BT158" s="401">
        <v>0</v>
      </c>
      <c r="BU158" s="401">
        <v>0</v>
      </c>
      <c r="BV158" s="401">
        <v>0</v>
      </c>
      <c r="BW158" s="401">
        <v>0</v>
      </c>
      <c r="BX158" s="401">
        <v>0</v>
      </c>
      <c r="BY158" s="401">
        <v>0</v>
      </c>
      <c r="BZ158" s="401">
        <v>0</v>
      </c>
      <c r="CA158" s="401">
        <v>0</v>
      </c>
      <c r="CB158" s="401">
        <v>0</v>
      </c>
    </row>
    <row r="159" spans="1:80" s="401" customFormat="1" x14ac:dyDescent="0.3">
      <c r="A159" s="993">
        <v>509</v>
      </c>
      <c r="B159" s="1000"/>
      <c r="C159" s="997">
        <v>509</v>
      </c>
      <c r="D159" s="998" t="s">
        <v>214</v>
      </c>
      <c r="E159" s="1011">
        <v>0</v>
      </c>
      <c r="F159" s="1012"/>
      <c r="BH159" s="401">
        <v>0</v>
      </c>
      <c r="BI159" s="401">
        <v>0</v>
      </c>
      <c r="BJ159" s="401">
        <v>0</v>
      </c>
      <c r="BK159" s="401">
        <v>0</v>
      </c>
      <c r="BL159" s="401">
        <v>0</v>
      </c>
      <c r="BM159" s="401">
        <v>0</v>
      </c>
      <c r="BN159" s="401">
        <v>0</v>
      </c>
      <c r="BO159" s="401">
        <v>0</v>
      </c>
      <c r="BP159" s="401">
        <v>0</v>
      </c>
      <c r="BQ159" s="401">
        <v>0</v>
      </c>
      <c r="BR159" s="401">
        <v>0</v>
      </c>
      <c r="BS159" s="401">
        <v>0</v>
      </c>
      <c r="BT159" s="401">
        <v>0</v>
      </c>
      <c r="BU159" s="401">
        <v>0</v>
      </c>
      <c r="BV159" s="401">
        <v>0</v>
      </c>
      <c r="BW159" s="401">
        <v>0</v>
      </c>
      <c r="BX159" s="401">
        <v>0</v>
      </c>
      <c r="BY159" s="401">
        <v>0</v>
      </c>
      <c r="BZ159" s="401">
        <v>0</v>
      </c>
      <c r="CA159" s="401">
        <v>0</v>
      </c>
      <c r="CB159" s="401">
        <v>0</v>
      </c>
    </row>
    <row r="160" spans="1:80" s="401" customFormat="1" x14ac:dyDescent="0.3">
      <c r="A160" s="993">
        <v>510</v>
      </c>
      <c r="B160" s="993"/>
      <c r="C160" s="997">
        <v>510</v>
      </c>
      <c r="D160" s="998" t="s">
        <v>220</v>
      </c>
      <c r="E160" s="1011">
        <v>0</v>
      </c>
      <c r="F160" s="1012"/>
      <c r="BH160" s="401">
        <v>0</v>
      </c>
      <c r="BI160" s="401">
        <v>127752</v>
      </c>
      <c r="BJ160" s="401">
        <v>1595</v>
      </c>
      <c r="BK160" s="401">
        <v>0</v>
      </c>
      <c r="BL160" s="401">
        <v>224738</v>
      </c>
      <c r="BM160" s="401">
        <v>0</v>
      </c>
      <c r="BN160" s="401">
        <v>0</v>
      </c>
      <c r="BO160" s="401">
        <v>68959</v>
      </c>
      <c r="BP160" s="401">
        <v>72653</v>
      </c>
      <c r="BQ160" s="401">
        <v>0</v>
      </c>
      <c r="BR160" s="401">
        <v>72805</v>
      </c>
      <c r="BS160" s="401">
        <v>0</v>
      </c>
      <c r="BT160" s="401">
        <v>0</v>
      </c>
      <c r="BU160" s="401">
        <v>49591</v>
      </c>
      <c r="BV160" s="401">
        <v>87736</v>
      </c>
      <c r="BW160" s="401">
        <v>3747</v>
      </c>
      <c r="BX160" s="401">
        <v>189</v>
      </c>
      <c r="BY160" s="401">
        <v>0</v>
      </c>
      <c r="BZ160" s="401">
        <v>0</v>
      </c>
      <c r="CA160" s="401">
        <v>0</v>
      </c>
      <c r="CB160" s="401">
        <v>0</v>
      </c>
    </row>
    <row r="161" spans="1:80" s="401" customFormat="1" ht="28.8" x14ac:dyDescent="0.3">
      <c r="A161" s="993">
        <v>511</v>
      </c>
      <c r="B161" s="993"/>
      <c r="C161" s="997">
        <v>511</v>
      </c>
      <c r="D161" s="998" t="s">
        <v>225</v>
      </c>
      <c r="E161" s="1011">
        <v>0</v>
      </c>
      <c r="F161" s="1012"/>
      <c r="BH161" s="401">
        <v>0</v>
      </c>
      <c r="BI161" s="401">
        <v>0</v>
      </c>
      <c r="BJ161" s="401">
        <v>0</v>
      </c>
      <c r="BK161" s="401">
        <v>0</v>
      </c>
      <c r="BL161" s="401">
        <v>441073</v>
      </c>
      <c r="BM161" s="401">
        <v>0</v>
      </c>
      <c r="BN161" s="401">
        <v>0</v>
      </c>
      <c r="BO161" s="401">
        <v>0</v>
      </c>
      <c r="BP161" s="401">
        <v>0</v>
      </c>
      <c r="BQ161" s="401">
        <v>0</v>
      </c>
      <c r="BR161" s="401">
        <v>0</v>
      </c>
      <c r="BS161" s="401">
        <v>0</v>
      </c>
      <c r="BT161" s="401">
        <v>0</v>
      </c>
      <c r="BU161" s="401">
        <v>0</v>
      </c>
      <c r="BV161" s="401">
        <v>0</v>
      </c>
      <c r="BW161" s="401">
        <v>0</v>
      </c>
      <c r="BX161" s="401">
        <v>0</v>
      </c>
      <c r="BY161" s="401">
        <v>0</v>
      </c>
      <c r="BZ161" s="401">
        <v>0</v>
      </c>
      <c r="CA161" s="401">
        <v>0</v>
      </c>
      <c r="CB161" s="401">
        <v>0</v>
      </c>
    </row>
    <row r="162" spans="1:80" s="401" customFormat="1" x14ac:dyDescent="0.3">
      <c r="A162" s="993">
        <v>512</v>
      </c>
      <c r="B162" s="1000">
        <v>512</v>
      </c>
      <c r="C162" s="997">
        <v>512</v>
      </c>
      <c r="D162" s="998" t="s">
        <v>252</v>
      </c>
      <c r="E162" s="1011">
        <v>4416992</v>
      </c>
      <c r="F162" s="1012"/>
      <c r="BH162" s="401">
        <v>0</v>
      </c>
      <c r="BI162" s="401">
        <v>122190</v>
      </c>
      <c r="BJ162" s="401">
        <v>0</v>
      </c>
      <c r="BK162" s="401">
        <v>0</v>
      </c>
      <c r="BL162" s="401">
        <v>0</v>
      </c>
      <c r="BM162" s="401">
        <v>0</v>
      </c>
      <c r="BN162" s="401">
        <v>0</v>
      </c>
      <c r="BO162" s="401">
        <v>0</v>
      </c>
      <c r="BP162" s="401">
        <v>0</v>
      </c>
      <c r="BQ162" s="401">
        <v>0</v>
      </c>
      <c r="BR162" s="401">
        <v>0</v>
      </c>
      <c r="BS162" s="401">
        <v>0</v>
      </c>
      <c r="BT162" s="401">
        <v>0</v>
      </c>
      <c r="BU162" s="401">
        <v>0</v>
      </c>
      <c r="BV162" s="401">
        <v>0</v>
      </c>
      <c r="BW162" s="401">
        <v>0</v>
      </c>
      <c r="BX162" s="401">
        <v>0</v>
      </c>
      <c r="BY162" s="401">
        <v>0</v>
      </c>
      <c r="BZ162" s="401">
        <v>0</v>
      </c>
      <c r="CA162" s="401">
        <v>0</v>
      </c>
      <c r="CB162" s="401">
        <v>0</v>
      </c>
    </row>
    <row r="163" spans="1:80" s="401" customFormat="1" x14ac:dyDescent="0.3">
      <c r="A163" s="993">
        <v>513</v>
      </c>
      <c r="B163" s="993"/>
      <c r="C163" s="997">
        <v>513</v>
      </c>
      <c r="D163" s="998" t="s">
        <v>263</v>
      </c>
      <c r="E163" s="1011">
        <v>0</v>
      </c>
      <c r="F163" s="1012"/>
      <c r="BH163" s="401">
        <v>0</v>
      </c>
      <c r="BI163" s="401">
        <v>0</v>
      </c>
      <c r="BJ163" s="401">
        <v>0</v>
      </c>
      <c r="BK163" s="401">
        <v>0</v>
      </c>
      <c r="BL163" s="401">
        <v>0</v>
      </c>
      <c r="BM163" s="401">
        <v>0</v>
      </c>
      <c r="BN163" s="401">
        <v>0</v>
      </c>
      <c r="BO163" s="401">
        <v>0</v>
      </c>
      <c r="BP163" s="401">
        <v>0</v>
      </c>
      <c r="BQ163" s="401">
        <v>0</v>
      </c>
      <c r="BR163" s="401">
        <v>0</v>
      </c>
      <c r="BS163" s="401">
        <v>0</v>
      </c>
      <c r="BT163" s="401">
        <v>0</v>
      </c>
      <c r="BU163" s="401">
        <v>0</v>
      </c>
      <c r="BV163" s="401">
        <v>0</v>
      </c>
      <c r="BW163" s="401">
        <v>0</v>
      </c>
      <c r="BX163" s="401">
        <v>0</v>
      </c>
      <c r="BY163" s="401">
        <v>0</v>
      </c>
      <c r="BZ163" s="401">
        <v>0</v>
      </c>
      <c r="CA163" s="401">
        <v>0</v>
      </c>
      <c r="CB163" s="401">
        <v>0</v>
      </c>
    </row>
    <row r="164" spans="1:80" s="401" customFormat="1" x14ac:dyDescent="0.3">
      <c r="A164" s="993">
        <v>514</v>
      </c>
      <c r="B164" s="993"/>
      <c r="C164" s="997">
        <v>514</v>
      </c>
      <c r="D164" s="998" t="s">
        <v>264</v>
      </c>
      <c r="E164" s="1011">
        <v>0</v>
      </c>
      <c r="F164" s="1012"/>
      <c r="BH164" s="401">
        <v>0</v>
      </c>
      <c r="BI164" s="401">
        <v>0</v>
      </c>
      <c r="BJ164" s="401">
        <v>0</v>
      </c>
      <c r="BK164" s="401">
        <v>0</v>
      </c>
      <c r="BL164" s="401">
        <v>0</v>
      </c>
      <c r="BM164" s="401">
        <v>0</v>
      </c>
      <c r="BN164" s="401">
        <v>0</v>
      </c>
      <c r="BO164" s="401">
        <v>0</v>
      </c>
      <c r="BP164" s="401">
        <v>0</v>
      </c>
      <c r="BQ164" s="401">
        <v>0</v>
      </c>
      <c r="BR164" s="401">
        <v>0</v>
      </c>
      <c r="BS164" s="401">
        <v>0</v>
      </c>
      <c r="BT164" s="401">
        <v>0</v>
      </c>
      <c r="BU164" s="401">
        <v>0</v>
      </c>
      <c r="BV164" s="401">
        <v>0</v>
      </c>
      <c r="BW164" s="401">
        <v>0</v>
      </c>
      <c r="BX164" s="401">
        <v>0</v>
      </c>
      <c r="BY164" s="401">
        <v>0</v>
      </c>
      <c r="BZ164" s="401">
        <v>0</v>
      </c>
      <c r="CA164" s="401">
        <v>0</v>
      </c>
      <c r="CB164" s="401">
        <v>0</v>
      </c>
    </row>
    <row r="165" spans="1:80" s="401" customFormat="1" x14ac:dyDescent="0.3">
      <c r="A165" s="993">
        <v>515</v>
      </c>
      <c r="B165" s="993"/>
      <c r="C165" s="997">
        <v>515</v>
      </c>
      <c r="D165" s="998" t="s">
        <v>277</v>
      </c>
      <c r="E165" s="1011">
        <v>0</v>
      </c>
      <c r="F165" s="1012"/>
      <c r="BH165" s="401">
        <v>0</v>
      </c>
      <c r="BI165" s="401">
        <v>0</v>
      </c>
      <c r="BJ165" s="401">
        <v>0</v>
      </c>
      <c r="BK165" s="401">
        <v>0</v>
      </c>
      <c r="BL165" s="401">
        <v>124260</v>
      </c>
      <c r="BM165" s="401">
        <v>0</v>
      </c>
      <c r="BN165" s="401">
        <v>0</v>
      </c>
      <c r="BO165" s="401">
        <v>7521010</v>
      </c>
      <c r="BP165" s="401">
        <v>671860</v>
      </c>
      <c r="BQ165" s="401">
        <v>0</v>
      </c>
      <c r="BR165" s="401">
        <v>364151</v>
      </c>
      <c r="BS165" s="401">
        <v>0</v>
      </c>
      <c r="BT165" s="401">
        <v>0</v>
      </c>
      <c r="BU165" s="401">
        <v>2483050</v>
      </c>
      <c r="BV165" s="401">
        <v>0</v>
      </c>
      <c r="BW165" s="401">
        <v>0</v>
      </c>
      <c r="BX165" s="401">
        <v>0</v>
      </c>
      <c r="BY165" s="401">
        <v>0</v>
      </c>
      <c r="BZ165" s="401">
        <v>0</v>
      </c>
      <c r="CA165" s="401">
        <v>9136888</v>
      </c>
      <c r="CB165" s="401">
        <v>0</v>
      </c>
    </row>
    <row r="166" spans="1:80" s="401" customFormat="1" x14ac:dyDescent="0.3">
      <c r="A166" s="993">
        <v>516</v>
      </c>
      <c r="B166" s="993"/>
      <c r="C166" s="997">
        <v>516</v>
      </c>
      <c r="D166" s="998" t="s">
        <v>278</v>
      </c>
      <c r="E166" s="1011">
        <v>0</v>
      </c>
      <c r="F166" s="1012"/>
      <c r="BH166" s="401">
        <v>0</v>
      </c>
      <c r="BI166" s="401">
        <v>11744116</v>
      </c>
      <c r="BJ166" s="401">
        <v>8234496</v>
      </c>
      <c r="BK166" s="401">
        <v>0</v>
      </c>
      <c r="BL166" s="401">
        <v>16829587</v>
      </c>
      <c r="BM166" s="401">
        <v>10888924</v>
      </c>
      <c r="BN166" s="401">
        <v>0</v>
      </c>
      <c r="BO166" s="401">
        <v>24577966</v>
      </c>
      <c r="BP166" s="401">
        <v>14235973</v>
      </c>
      <c r="BQ166" s="401">
        <v>15049071</v>
      </c>
      <c r="BR166" s="401">
        <v>6316273</v>
      </c>
      <c r="BS166" s="401">
        <v>0</v>
      </c>
      <c r="BT166" s="401">
        <v>0</v>
      </c>
      <c r="BU166" s="401">
        <v>4880718</v>
      </c>
      <c r="BV166" s="401">
        <v>23580566</v>
      </c>
      <c r="BW166" s="401">
        <v>5905822</v>
      </c>
      <c r="BX166" s="401">
        <v>2166959</v>
      </c>
      <c r="BY166" s="401">
        <v>0</v>
      </c>
      <c r="BZ166" s="401">
        <v>0</v>
      </c>
      <c r="CA166" s="401">
        <v>61464767</v>
      </c>
      <c r="CB166" s="401">
        <v>0</v>
      </c>
    </row>
    <row r="167" spans="1:80" s="401" customFormat="1" x14ac:dyDescent="0.3">
      <c r="A167" s="993">
        <v>517</v>
      </c>
      <c r="B167" s="993"/>
      <c r="C167" s="997">
        <v>517</v>
      </c>
      <c r="D167" s="998" t="s">
        <v>279</v>
      </c>
      <c r="E167" s="1011">
        <v>0</v>
      </c>
      <c r="F167" s="1012"/>
      <c r="BH167" s="401">
        <v>0</v>
      </c>
      <c r="BI167" s="401">
        <v>0</v>
      </c>
      <c r="BJ167" s="401">
        <v>0</v>
      </c>
      <c r="BK167" s="401">
        <v>0</v>
      </c>
      <c r="BL167" s="401">
        <v>0</v>
      </c>
      <c r="BM167" s="401">
        <v>0</v>
      </c>
      <c r="BN167" s="401">
        <v>0</v>
      </c>
      <c r="BO167" s="401">
        <v>0</v>
      </c>
      <c r="BP167" s="401">
        <v>0</v>
      </c>
      <c r="BQ167" s="401">
        <v>0</v>
      </c>
      <c r="BR167" s="401">
        <v>0</v>
      </c>
      <c r="BS167" s="401">
        <v>0</v>
      </c>
      <c r="BT167" s="401">
        <v>0</v>
      </c>
      <c r="BU167" s="401">
        <v>0</v>
      </c>
      <c r="BV167" s="401">
        <v>0</v>
      </c>
      <c r="BW167" s="401">
        <v>0</v>
      </c>
      <c r="BX167" s="401">
        <v>0</v>
      </c>
      <c r="BY167" s="401">
        <v>0</v>
      </c>
      <c r="BZ167" s="401">
        <v>0</v>
      </c>
      <c r="CA167" s="401">
        <v>0</v>
      </c>
      <c r="CB167" s="401">
        <v>0</v>
      </c>
    </row>
    <row r="168" spans="1:80" s="401" customFormat="1" x14ac:dyDescent="0.3">
      <c r="A168" s="993">
        <v>518</v>
      </c>
      <c r="B168" s="993"/>
      <c r="C168" s="997">
        <v>518</v>
      </c>
      <c r="D168" s="998" t="s">
        <v>280</v>
      </c>
      <c r="E168" s="1011">
        <v>0</v>
      </c>
      <c r="F168" s="1012"/>
      <c r="BH168" s="401">
        <v>0</v>
      </c>
      <c r="BI168" s="401">
        <v>1048774</v>
      </c>
      <c r="BJ168" s="401">
        <v>460765</v>
      </c>
      <c r="BK168" s="401">
        <v>0</v>
      </c>
      <c r="BL168" s="401">
        <v>1972861</v>
      </c>
      <c r="BM168" s="401">
        <v>568233</v>
      </c>
      <c r="BN168" s="401">
        <v>0</v>
      </c>
      <c r="BO168" s="401">
        <v>4516818</v>
      </c>
      <c r="BP168" s="401">
        <v>491489</v>
      </c>
      <c r="BQ168" s="401">
        <v>183278</v>
      </c>
      <c r="BR168" s="401">
        <v>720898</v>
      </c>
      <c r="BS168" s="401">
        <v>0</v>
      </c>
      <c r="BT168" s="401">
        <v>0</v>
      </c>
      <c r="BU168" s="401">
        <v>1918580</v>
      </c>
      <c r="BV168" s="401">
        <v>1128535</v>
      </c>
      <c r="BW168" s="401">
        <v>414954</v>
      </c>
      <c r="BX168" s="401">
        <v>0</v>
      </c>
      <c r="BY168" s="401">
        <v>0</v>
      </c>
      <c r="BZ168" s="401">
        <v>0</v>
      </c>
      <c r="CA168" s="401">
        <v>2376306</v>
      </c>
      <c r="CB168" s="401">
        <v>0</v>
      </c>
    </row>
    <row r="169" spans="1:80" s="401" customFormat="1" x14ac:dyDescent="0.3">
      <c r="A169" s="993">
        <v>519</v>
      </c>
      <c r="B169" s="993"/>
      <c r="C169" s="997">
        <v>519</v>
      </c>
      <c r="D169" s="998" t="s">
        <v>281</v>
      </c>
      <c r="E169" s="1011">
        <v>0</v>
      </c>
      <c r="F169" s="1012"/>
      <c r="BH169" s="401">
        <v>0</v>
      </c>
      <c r="BI169" s="401">
        <v>0</v>
      </c>
      <c r="BJ169" s="401">
        <v>0</v>
      </c>
      <c r="BK169" s="401">
        <v>0</v>
      </c>
      <c r="BL169" s="401">
        <v>2255</v>
      </c>
      <c r="BM169" s="401">
        <v>0</v>
      </c>
      <c r="BN169" s="401">
        <v>0</v>
      </c>
      <c r="BO169" s="401">
        <v>133423</v>
      </c>
      <c r="BP169" s="401">
        <v>16590</v>
      </c>
      <c r="BQ169" s="401">
        <v>0</v>
      </c>
      <c r="BR169" s="401">
        <v>9546</v>
      </c>
      <c r="BS169" s="401">
        <v>0</v>
      </c>
      <c r="BT169" s="401">
        <v>0</v>
      </c>
      <c r="BU169" s="401">
        <v>111269</v>
      </c>
      <c r="BV169" s="401">
        <v>0</v>
      </c>
      <c r="BW169" s="401">
        <v>0</v>
      </c>
      <c r="BX169" s="401">
        <v>0</v>
      </c>
      <c r="BY169" s="401">
        <v>0</v>
      </c>
      <c r="BZ169" s="401">
        <v>0</v>
      </c>
      <c r="CA169" s="401">
        <v>197886</v>
      </c>
      <c r="CB169" s="401">
        <v>0</v>
      </c>
    </row>
    <row r="170" spans="1:80" s="401" customFormat="1" x14ac:dyDescent="0.3">
      <c r="A170" s="993">
        <v>520</v>
      </c>
      <c r="B170" s="993"/>
      <c r="C170" s="997">
        <v>520</v>
      </c>
      <c r="D170" s="998" t="s">
        <v>282</v>
      </c>
      <c r="E170" s="1011">
        <v>0</v>
      </c>
      <c r="F170" s="1012"/>
      <c r="BH170" s="401">
        <v>0</v>
      </c>
      <c r="BI170" s="401">
        <v>228834</v>
      </c>
      <c r="BJ170" s="401">
        <v>168715</v>
      </c>
      <c r="BK170" s="401">
        <v>0</v>
      </c>
      <c r="BL170" s="401">
        <v>316154</v>
      </c>
      <c r="BM170" s="401">
        <v>286842</v>
      </c>
      <c r="BN170" s="401">
        <v>0</v>
      </c>
      <c r="BO170" s="401">
        <v>565284</v>
      </c>
      <c r="BP170" s="401">
        <v>243838</v>
      </c>
      <c r="BQ170" s="401">
        <v>305096</v>
      </c>
      <c r="BR170" s="401">
        <v>104558</v>
      </c>
      <c r="BS170" s="401">
        <v>0</v>
      </c>
      <c r="BT170" s="401">
        <v>0</v>
      </c>
      <c r="BU170" s="401">
        <v>60509</v>
      </c>
      <c r="BV170" s="401">
        <v>109500</v>
      </c>
      <c r="BW170" s="401">
        <v>133785</v>
      </c>
      <c r="BX170" s="401">
        <v>42547</v>
      </c>
      <c r="BY170" s="401">
        <v>0</v>
      </c>
      <c r="BZ170" s="401">
        <v>0</v>
      </c>
      <c r="CA170" s="401">
        <v>1237946</v>
      </c>
      <c r="CB170" s="401">
        <v>0</v>
      </c>
    </row>
    <row r="171" spans="1:80" s="401" customFormat="1" x14ac:dyDescent="0.3">
      <c r="A171" s="993">
        <v>521</v>
      </c>
      <c r="B171" s="993"/>
      <c r="C171" s="997">
        <v>521</v>
      </c>
      <c r="D171" s="998" t="s">
        <v>283</v>
      </c>
      <c r="E171" s="1011">
        <v>0</v>
      </c>
      <c r="F171" s="1012"/>
      <c r="BH171" s="401">
        <v>0</v>
      </c>
      <c r="BI171" s="401">
        <v>0</v>
      </c>
      <c r="BJ171" s="401">
        <v>0</v>
      </c>
      <c r="BK171" s="401">
        <v>0</v>
      </c>
      <c r="BL171" s="401">
        <v>0</v>
      </c>
      <c r="BM171" s="401">
        <v>0</v>
      </c>
      <c r="BN171" s="401">
        <v>0</v>
      </c>
      <c r="BO171" s="401">
        <v>0</v>
      </c>
      <c r="BP171" s="401">
        <v>0</v>
      </c>
      <c r="BQ171" s="401">
        <v>0</v>
      </c>
      <c r="BR171" s="401">
        <v>0</v>
      </c>
      <c r="BS171" s="401">
        <v>0</v>
      </c>
      <c r="BT171" s="401">
        <v>0</v>
      </c>
      <c r="BU171" s="401">
        <v>0</v>
      </c>
      <c r="BV171" s="401">
        <v>0</v>
      </c>
      <c r="BW171" s="401">
        <v>0</v>
      </c>
      <c r="BX171" s="401">
        <v>0</v>
      </c>
      <c r="BY171" s="401">
        <v>0</v>
      </c>
      <c r="BZ171" s="401">
        <v>0</v>
      </c>
      <c r="CA171" s="401">
        <v>0</v>
      </c>
      <c r="CB171" s="401">
        <v>0</v>
      </c>
    </row>
    <row r="172" spans="1:80" s="401" customFormat="1" ht="28.8" x14ac:dyDescent="0.3">
      <c r="A172" s="993">
        <v>522</v>
      </c>
      <c r="B172" s="993"/>
      <c r="C172" s="997">
        <v>522</v>
      </c>
      <c r="D172" s="998" t="s">
        <v>284</v>
      </c>
      <c r="E172" s="1011">
        <v>0</v>
      </c>
      <c r="F172" s="1012"/>
      <c r="BH172" s="401">
        <v>0</v>
      </c>
      <c r="BI172" s="401">
        <v>8312</v>
      </c>
      <c r="BJ172" s="401">
        <v>21155</v>
      </c>
      <c r="BK172" s="401">
        <v>0</v>
      </c>
      <c r="BL172" s="401">
        <v>47398</v>
      </c>
      <c r="BM172" s="401">
        <v>37328</v>
      </c>
      <c r="BN172" s="401">
        <v>0</v>
      </c>
      <c r="BO172" s="401">
        <v>210784</v>
      </c>
      <c r="BP172" s="401">
        <v>16211</v>
      </c>
      <c r="BQ172" s="401">
        <v>14539</v>
      </c>
      <c r="BR172" s="401">
        <v>62608</v>
      </c>
      <c r="BS172" s="401">
        <v>0</v>
      </c>
      <c r="BT172" s="401">
        <v>0</v>
      </c>
      <c r="BU172" s="401">
        <v>81296</v>
      </c>
      <c r="BV172" s="401">
        <v>56598</v>
      </c>
      <c r="BW172" s="401">
        <v>15381</v>
      </c>
      <c r="BX172" s="401">
        <v>0</v>
      </c>
      <c r="BY172" s="401">
        <v>0</v>
      </c>
      <c r="BZ172" s="401">
        <v>0</v>
      </c>
      <c r="CA172" s="401">
        <v>128484</v>
      </c>
      <c r="CB172" s="401">
        <v>0</v>
      </c>
    </row>
    <row r="173" spans="1:80" s="401" customFormat="1" x14ac:dyDescent="0.3">
      <c r="A173" s="993">
        <v>523</v>
      </c>
      <c r="B173" s="993"/>
      <c r="C173" s="997">
        <v>523</v>
      </c>
      <c r="D173" s="998" t="s">
        <v>285</v>
      </c>
      <c r="E173" s="1011">
        <v>0</v>
      </c>
      <c r="F173" s="1012"/>
      <c r="BH173" s="401">
        <v>0</v>
      </c>
      <c r="BI173" s="401">
        <v>0</v>
      </c>
      <c r="BJ173" s="401">
        <v>0</v>
      </c>
      <c r="BK173" s="401">
        <v>0</v>
      </c>
      <c r="BL173" s="401">
        <v>2550</v>
      </c>
      <c r="BM173" s="401">
        <v>0</v>
      </c>
      <c r="BN173" s="401">
        <v>0</v>
      </c>
      <c r="BO173" s="401">
        <v>5233733</v>
      </c>
      <c r="BP173" s="401">
        <v>192327</v>
      </c>
      <c r="BQ173" s="401">
        <v>0</v>
      </c>
      <c r="BR173" s="401">
        <v>237354</v>
      </c>
      <c r="BS173" s="401">
        <v>0</v>
      </c>
      <c r="BT173" s="401">
        <v>0</v>
      </c>
      <c r="BU173" s="401">
        <v>250288</v>
      </c>
      <c r="BV173" s="401">
        <v>0</v>
      </c>
      <c r="BW173" s="401">
        <v>0</v>
      </c>
      <c r="BX173" s="401">
        <v>0</v>
      </c>
      <c r="BY173" s="401">
        <v>0</v>
      </c>
      <c r="BZ173" s="401">
        <v>0</v>
      </c>
      <c r="CA173" s="401">
        <v>3647356</v>
      </c>
      <c r="CB173" s="401">
        <v>0</v>
      </c>
    </row>
    <row r="174" spans="1:80" s="401" customFormat="1" x14ac:dyDescent="0.3">
      <c r="A174" s="993">
        <v>524</v>
      </c>
      <c r="B174" s="993"/>
      <c r="C174" s="997">
        <v>524</v>
      </c>
      <c r="D174" s="998" t="s">
        <v>286</v>
      </c>
      <c r="E174" s="1011">
        <v>0</v>
      </c>
      <c r="F174" s="1012"/>
      <c r="BH174" s="401">
        <v>0</v>
      </c>
      <c r="BI174" s="401">
        <v>7203144</v>
      </c>
      <c r="BJ174" s="401">
        <v>3107743</v>
      </c>
      <c r="BK174" s="401">
        <v>0</v>
      </c>
      <c r="BL174" s="401">
        <v>10000991</v>
      </c>
      <c r="BM174" s="401">
        <v>6170262</v>
      </c>
      <c r="BN174" s="401">
        <v>0</v>
      </c>
      <c r="BO174" s="401">
        <v>9803220</v>
      </c>
      <c r="BP174" s="401">
        <v>7247171</v>
      </c>
      <c r="BQ174" s="401">
        <v>7394576</v>
      </c>
      <c r="BR174" s="401">
        <v>2117287</v>
      </c>
      <c r="BS174" s="401">
        <v>0</v>
      </c>
      <c r="BT174" s="401">
        <v>0</v>
      </c>
      <c r="BU174" s="401">
        <v>1482933</v>
      </c>
      <c r="BV174" s="401">
        <v>23580566</v>
      </c>
      <c r="BW174" s="401">
        <v>2221094</v>
      </c>
      <c r="BX174" s="401">
        <v>467650</v>
      </c>
      <c r="BY174" s="401">
        <v>0</v>
      </c>
      <c r="BZ174" s="401">
        <v>0</v>
      </c>
      <c r="CA174" s="401">
        <v>16203596</v>
      </c>
      <c r="CB174" s="401">
        <v>0</v>
      </c>
    </row>
    <row r="175" spans="1:80" s="401" customFormat="1" x14ac:dyDescent="0.3">
      <c r="A175" s="993">
        <v>525</v>
      </c>
      <c r="B175" s="993"/>
      <c r="C175" s="997">
        <v>525</v>
      </c>
      <c r="D175" s="998" t="s">
        <v>287</v>
      </c>
      <c r="E175" s="1011">
        <v>0</v>
      </c>
      <c r="F175" s="1012"/>
      <c r="BH175" s="401">
        <v>0</v>
      </c>
      <c r="BI175" s="401">
        <v>0</v>
      </c>
      <c r="BJ175" s="401">
        <v>0</v>
      </c>
      <c r="BK175" s="401">
        <v>0</v>
      </c>
      <c r="BL175" s="401">
        <v>0</v>
      </c>
      <c r="BM175" s="401">
        <v>0</v>
      </c>
      <c r="BN175" s="401">
        <v>0</v>
      </c>
      <c r="BO175" s="401">
        <v>0</v>
      </c>
      <c r="BP175" s="401">
        <v>0</v>
      </c>
      <c r="BQ175" s="401">
        <v>0</v>
      </c>
      <c r="BR175" s="401">
        <v>0</v>
      </c>
      <c r="BS175" s="401">
        <v>0</v>
      </c>
      <c r="BT175" s="401">
        <v>0</v>
      </c>
      <c r="BU175" s="401">
        <v>0</v>
      </c>
      <c r="BV175" s="401">
        <v>0</v>
      </c>
      <c r="BW175" s="401">
        <v>0</v>
      </c>
      <c r="BX175" s="401">
        <v>0</v>
      </c>
      <c r="BY175" s="401">
        <v>0</v>
      </c>
      <c r="BZ175" s="401">
        <v>0</v>
      </c>
      <c r="CA175" s="401">
        <v>0</v>
      </c>
      <c r="CB175" s="401">
        <v>0</v>
      </c>
    </row>
    <row r="176" spans="1:80" s="401" customFormat="1" x14ac:dyDescent="0.3">
      <c r="A176" s="993">
        <v>526</v>
      </c>
      <c r="B176" s="1000"/>
      <c r="C176" s="997">
        <v>526</v>
      </c>
      <c r="D176" s="998" t="s">
        <v>288</v>
      </c>
      <c r="E176" s="1011">
        <v>0</v>
      </c>
      <c r="F176" s="1012"/>
      <c r="BH176" s="401">
        <v>0</v>
      </c>
      <c r="BI176" s="401">
        <v>1013057</v>
      </c>
      <c r="BJ176" s="401">
        <v>209403</v>
      </c>
      <c r="BK176" s="401">
        <v>0</v>
      </c>
      <c r="BL176" s="401">
        <v>1663736</v>
      </c>
      <c r="BM176" s="401">
        <v>397690</v>
      </c>
      <c r="BN176" s="401">
        <v>0</v>
      </c>
      <c r="BO176" s="401">
        <v>3246377</v>
      </c>
      <c r="BP176" s="401">
        <v>402165</v>
      </c>
      <c r="BQ176" s="401">
        <v>101742</v>
      </c>
      <c r="BR176" s="401">
        <v>610640</v>
      </c>
      <c r="BS176" s="401">
        <v>0</v>
      </c>
      <c r="BT176" s="401">
        <v>0</v>
      </c>
      <c r="BU176" s="401">
        <v>2191496</v>
      </c>
      <c r="BV176" s="401">
        <v>1128575</v>
      </c>
      <c r="BW176" s="401">
        <v>318173</v>
      </c>
      <c r="BX176" s="401">
        <v>0</v>
      </c>
      <c r="BY176" s="401">
        <v>0</v>
      </c>
      <c r="BZ176" s="401">
        <v>0</v>
      </c>
      <c r="CA176" s="401">
        <v>1283656</v>
      </c>
      <c r="CB176" s="401">
        <v>0</v>
      </c>
    </row>
    <row r="177" spans="1:80" s="401" customFormat="1" ht="28.8" x14ac:dyDescent="0.3">
      <c r="A177" s="993">
        <v>527</v>
      </c>
      <c r="B177" s="1000"/>
      <c r="C177" s="997">
        <v>527</v>
      </c>
      <c r="D177" s="998" t="s">
        <v>289</v>
      </c>
      <c r="E177" s="1011">
        <v>0</v>
      </c>
      <c r="F177" s="1012"/>
      <c r="BH177" s="401">
        <v>0</v>
      </c>
      <c r="BI177" s="401">
        <v>0</v>
      </c>
      <c r="BJ177" s="401">
        <v>0</v>
      </c>
      <c r="BK177" s="401">
        <v>0</v>
      </c>
      <c r="BL177" s="401">
        <v>19800</v>
      </c>
      <c r="BM177" s="401">
        <v>0</v>
      </c>
      <c r="BN177" s="401">
        <v>0</v>
      </c>
      <c r="BO177" s="401">
        <v>0</v>
      </c>
      <c r="BP177" s="401">
        <v>0</v>
      </c>
      <c r="BQ177" s="401">
        <v>0</v>
      </c>
      <c r="BR177" s="401">
        <v>0</v>
      </c>
      <c r="BS177" s="401">
        <v>0</v>
      </c>
      <c r="BT177" s="401">
        <v>0</v>
      </c>
      <c r="BU177" s="401">
        <v>0</v>
      </c>
      <c r="BV177" s="401">
        <v>0</v>
      </c>
      <c r="BW177" s="401">
        <v>0</v>
      </c>
      <c r="BX177" s="401">
        <v>0</v>
      </c>
      <c r="BY177" s="401">
        <v>0</v>
      </c>
      <c r="BZ177" s="401">
        <v>0</v>
      </c>
      <c r="CA177" s="401">
        <v>0</v>
      </c>
      <c r="CB177" s="401">
        <v>0</v>
      </c>
    </row>
    <row r="178" spans="1:80" s="401" customFormat="1" ht="28.8" x14ac:dyDescent="0.3">
      <c r="A178" s="993">
        <v>528</v>
      </c>
      <c r="B178" s="1000"/>
      <c r="C178" s="997">
        <v>528</v>
      </c>
      <c r="D178" s="998" t="s">
        <v>271</v>
      </c>
      <c r="E178" s="1011">
        <v>0</v>
      </c>
      <c r="F178" s="1012"/>
      <c r="BH178" s="401">
        <v>13390</v>
      </c>
      <c r="BI178" s="401">
        <v>1637937</v>
      </c>
      <c r="BJ178" s="401">
        <v>1678928</v>
      </c>
      <c r="BK178" s="401">
        <v>0</v>
      </c>
      <c r="BL178" s="401">
        <v>6390125</v>
      </c>
      <c r="BM178" s="401">
        <v>2109279</v>
      </c>
      <c r="BN178" s="401">
        <v>0</v>
      </c>
      <c r="BO178" s="401">
        <v>2624171</v>
      </c>
      <c r="BP178" s="401">
        <v>524932</v>
      </c>
      <c r="BQ178" s="401">
        <v>443148</v>
      </c>
      <c r="BR178" s="401">
        <v>923138</v>
      </c>
      <c r="BS178" s="401">
        <v>562689</v>
      </c>
      <c r="BT178" s="401">
        <v>13106529</v>
      </c>
      <c r="BU178" s="401">
        <v>684893</v>
      </c>
      <c r="BV178" s="401">
        <v>1440331</v>
      </c>
      <c r="BW178" s="401">
        <v>225204</v>
      </c>
      <c r="BX178" s="401">
        <v>463274</v>
      </c>
      <c r="BY178" s="401">
        <v>1812</v>
      </c>
      <c r="BZ178" s="401">
        <v>8252</v>
      </c>
      <c r="CA178" s="401">
        <v>10133364</v>
      </c>
      <c r="CB178" s="401">
        <v>26674</v>
      </c>
    </row>
    <row r="179" spans="1:80" s="401" customFormat="1" x14ac:dyDescent="0.3">
      <c r="A179" s="993">
        <v>529</v>
      </c>
      <c r="B179" s="1000"/>
      <c r="C179" s="997">
        <v>529</v>
      </c>
      <c r="D179" s="998" t="s">
        <v>272</v>
      </c>
      <c r="E179" s="1011">
        <v>0</v>
      </c>
      <c r="F179" s="1012"/>
      <c r="BH179" s="401">
        <v>1925</v>
      </c>
      <c r="BI179" s="401">
        <v>118829</v>
      </c>
      <c r="BJ179" s="401">
        <v>97882</v>
      </c>
      <c r="BK179" s="401">
        <v>0</v>
      </c>
      <c r="BL179" s="401">
        <v>114048</v>
      </c>
      <c r="BM179" s="401">
        <v>85031</v>
      </c>
      <c r="BN179" s="401">
        <v>0</v>
      </c>
      <c r="BO179" s="401">
        <v>209162</v>
      </c>
      <c r="BP179" s="401">
        <v>52930</v>
      </c>
      <c r="BQ179" s="401">
        <v>25608</v>
      </c>
      <c r="BR179" s="401">
        <v>95350</v>
      </c>
      <c r="BS179" s="401">
        <v>51314</v>
      </c>
      <c r="BT179" s="401">
        <v>1460724</v>
      </c>
      <c r="BU179" s="401">
        <v>107808</v>
      </c>
      <c r="BV179" s="401">
        <v>94810</v>
      </c>
      <c r="BW179" s="401">
        <v>36879</v>
      </c>
      <c r="BX179" s="401">
        <v>33616</v>
      </c>
      <c r="BY179" s="401">
        <v>185</v>
      </c>
      <c r="BZ179" s="401">
        <v>1490</v>
      </c>
      <c r="CA179" s="401">
        <v>721200</v>
      </c>
      <c r="CB179" s="401">
        <v>6200</v>
      </c>
    </row>
    <row r="180" spans="1:80" s="401" customFormat="1" ht="28.8" x14ac:dyDescent="0.3">
      <c r="A180" s="993">
        <v>530</v>
      </c>
      <c r="B180" s="1000"/>
      <c r="C180" s="997">
        <v>530</v>
      </c>
      <c r="D180" s="998" t="s">
        <v>273</v>
      </c>
      <c r="E180" s="1011">
        <v>0</v>
      </c>
      <c r="F180" s="1012"/>
      <c r="BH180" s="401">
        <v>1230</v>
      </c>
      <c r="BI180" s="401">
        <v>15570</v>
      </c>
      <c r="BJ180" s="401">
        <v>45384</v>
      </c>
      <c r="BK180" s="401">
        <v>0</v>
      </c>
      <c r="BL180" s="401">
        <v>15672</v>
      </c>
      <c r="BM180" s="401">
        <v>27591</v>
      </c>
      <c r="BN180" s="401">
        <v>0</v>
      </c>
      <c r="BO180" s="401">
        <v>30098</v>
      </c>
      <c r="BP180" s="401">
        <v>17132</v>
      </c>
      <c r="BQ180" s="401">
        <v>13808</v>
      </c>
      <c r="BR180" s="401">
        <v>13808</v>
      </c>
      <c r="BS180" s="401">
        <v>2464</v>
      </c>
      <c r="BT180" s="401">
        <v>125395</v>
      </c>
      <c r="BU180" s="401">
        <v>110786</v>
      </c>
      <c r="BV180" s="401">
        <v>11809</v>
      </c>
      <c r="BW180" s="401">
        <v>13347</v>
      </c>
      <c r="BX180" s="401">
        <v>2860</v>
      </c>
      <c r="BY180" s="401">
        <v>90</v>
      </c>
      <c r="BZ180" s="401">
        <v>211</v>
      </c>
      <c r="CA180" s="401">
        <v>33910</v>
      </c>
      <c r="CB180" s="401">
        <v>3002</v>
      </c>
    </row>
    <row r="181" spans="1:80" s="401" customFormat="1" ht="28.8" x14ac:dyDescent="0.3">
      <c r="A181" s="993">
        <v>531</v>
      </c>
      <c r="B181" s="1000"/>
      <c r="C181" s="997">
        <v>531</v>
      </c>
      <c r="D181" s="998" t="s">
        <v>274</v>
      </c>
      <c r="E181" s="1011">
        <v>0</v>
      </c>
      <c r="F181" s="1012"/>
      <c r="BH181" s="401">
        <v>0</v>
      </c>
      <c r="BI181" s="401">
        <v>0</v>
      </c>
      <c r="BJ181" s="401">
        <v>1183</v>
      </c>
      <c r="BK181" s="401">
        <v>0</v>
      </c>
      <c r="BL181" s="401">
        <v>0</v>
      </c>
      <c r="BM181" s="401">
        <v>0</v>
      </c>
      <c r="BN181" s="401">
        <v>0</v>
      </c>
      <c r="BO181" s="401">
        <v>0</v>
      </c>
      <c r="BP181" s="401">
        <v>0</v>
      </c>
      <c r="BQ181" s="401">
        <v>0</v>
      </c>
      <c r="BR181" s="401">
        <v>0</v>
      </c>
      <c r="BS181" s="401">
        <v>0</v>
      </c>
      <c r="BT181" s="401">
        <v>0</v>
      </c>
      <c r="BU181" s="401">
        <v>894</v>
      </c>
      <c r="BV181" s="401">
        <v>0</v>
      </c>
      <c r="BW181" s="401">
        <v>0</v>
      </c>
      <c r="BX181" s="401">
        <v>0</v>
      </c>
      <c r="BY181" s="401">
        <v>0</v>
      </c>
      <c r="BZ181" s="401">
        <v>0</v>
      </c>
      <c r="CA181" s="401">
        <v>2810</v>
      </c>
      <c r="CB181" s="401">
        <v>0</v>
      </c>
    </row>
    <row r="182" spans="1:80" s="401" customFormat="1" x14ac:dyDescent="0.3">
      <c r="A182" s="993">
        <v>532</v>
      </c>
      <c r="B182" s="1000"/>
      <c r="C182" s="997">
        <v>532</v>
      </c>
      <c r="D182" s="998" t="s">
        <v>361</v>
      </c>
      <c r="E182" s="1011">
        <v>0</v>
      </c>
      <c r="F182" s="1012"/>
      <c r="BH182" s="401">
        <v>47685</v>
      </c>
      <c r="BI182" s="401">
        <v>3009729</v>
      </c>
      <c r="BJ182" s="401">
        <v>2485704</v>
      </c>
      <c r="BK182" s="401">
        <v>0</v>
      </c>
      <c r="BL182" s="401">
        <v>9454369</v>
      </c>
      <c r="BM182" s="401">
        <v>3969664</v>
      </c>
      <c r="BN182" s="401">
        <v>40551</v>
      </c>
      <c r="BO182" s="401">
        <v>6810370</v>
      </c>
      <c r="BP182" s="401">
        <v>1565361</v>
      </c>
      <c r="BQ182" s="401">
        <v>1043552</v>
      </c>
      <c r="BR182" s="401">
        <v>1983298</v>
      </c>
      <c r="BS182" s="401">
        <v>1093978</v>
      </c>
      <c r="BT182" s="401">
        <v>24836255</v>
      </c>
      <c r="BU182" s="401">
        <v>2013876</v>
      </c>
      <c r="BV182" s="401">
        <v>2720361</v>
      </c>
      <c r="BW182" s="401">
        <v>1305887</v>
      </c>
      <c r="BX182" s="401">
        <v>782442</v>
      </c>
      <c r="BY182" s="401">
        <v>31281</v>
      </c>
      <c r="BZ182" s="401">
        <v>40519</v>
      </c>
      <c r="CA182" s="401">
        <v>17009885</v>
      </c>
      <c r="CB182" s="401">
        <v>157054</v>
      </c>
    </row>
    <row r="183" spans="1:80" s="401" customFormat="1" x14ac:dyDescent="0.3">
      <c r="A183" s="993">
        <v>533</v>
      </c>
      <c r="B183" s="1000"/>
      <c r="C183" s="997">
        <v>533</v>
      </c>
      <c r="D183" s="998" t="s">
        <v>362</v>
      </c>
      <c r="E183" s="1011">
        <v>0</v>
      </c>
      <c r="F183" s="1012"/>
      <c r="BH183" s="401">
        <v>0</v>
      </c>
      <c r="BI183" s="401">
        <v>0</v>
      </c>
      <c r="BJ183" s="401">
        <v>0</v>
      </c>
      <c r="BK183" s="401">
        <v>0</v>
      </c>
      <c r="BL183" s="401">
        <v>0</v>
      </c>
      <c r="BM183" s="401">
        <v>0</v>
      </c>
      <c r="BN183" s="401">
        <v>0</v>
      </c>
      <c r="BO183" s="401">
        <v>0</v>
      </c>
      <c r="BP183" s="401">
        <v>0</v>
      </c>
      <c r="BQ183" s="401">
        <v>0</v>
      </c>
      <c r="BR183" s="401">
        <v>0</v>
      </c>
      <c r="BS183" s="401">
        <v>0</v>
      </c>
      <c r="BT183" s="401">
        <v>370723</v>
      </c>
      <c r="BU183" s="401">
        <v>0</v>
      </c>
      <c r="BV183" s="401">
        <v>0</v>
      </c>
      <c r="BW183" s="401">
        <v>0</v>
      </c>
      <c r="BX183" s="401">
        <v>0</v>
      </c>
      <c r="BY183" s="401">
        <v>0</v>
      </c>
      <c r="BZ183" s="401">
        <v>0</v>
      </c>
      <c r="CA183" s="401">
        <v>0</v>
      </c>
      <c r="CB183" s="401">
        <v>0</v>
      </c>
    </row>
    <row r="184" spans="1:80" s="401" customFormat="1" ht="28.8" x14ac:dyDescent="0.3">
      <c r="A184" s="993">
        <v>534</v>
      </c>
      <c r="B184" s="1013">
        <v>534</v>
      </c>
      <c r="C184" s="997">
        <v>534</v>
      </c>
      <c r="D184" s="998" t="s">
        <v>275</v>
      </c>
      <c r="E184" s="1011">
        <v>0</v>
      </c>
      <c r="F184" s="993"/>
    </row>
    <row r="185" spans="1:80" s="401" customFormat="1" ht="28.8" x14ac:dyDescent="0.3">
      <c r="A185" s="993">
        <v>535</v>
      </c>
      <c r="B185" s="1000"/>
      <c r="C185" s="997">
        <v>535</v>
      </c>
      <c r="D185" s="998" t="s">
        <v>253</v>
      </c>
      <c r="E185" s="1011">
        <v>0</v>
      </c>
      <c r="F185" s="1012"/>
      <c r="BH185" s="401">
        <v>0</v>
      </c>
      <c r="BI185" s="401">
        <v>0</v>
      </c>
      <c r="BJ185" s="401">
        <v>0</v>
      </c>
      <c r="BK185" s="401">
        <v>0</v>
      </c>
      <c r="BL185" s="401">
        <v>0</v>
      </c>
      <c r="BM185" s="401">
        <v>0</v>
      </c>
      <c r="BN185" s="401">
        <v>0</v>
      </c>
      <c r="BO185" s="401">
        <v>0</v>
      </c>
      <c r="BP185" s="401">
        <v>0</v>
      </c>
      <c r="BQ185" s="401">
        <v>0</v>
      </c>
      <c r="BR185" s="401">
        <v>0</v>
      </c>
      <c r="BS185" s="401">
        <v>0</v>
      </c>
      <c r="BT185" s="401">
        <v>0</v>
      </c>
      <c r="BU185" s="401">
        <v>1</v>
      </c>
      <c r="BV185" s="401">
        <v>0</v>
      </c>
      <c r="BW185" s="401">
        <v>0</v>
      </c>
      <c r="BX185" s="401">
        <v>0</v>
      </c>
      <c r="BY185" s="401">
        <v>1</v>
      </c>
      <c r="BZ185" s="401">
        <v>0</v>
      </c>
      <c r="CA185" s="401">
        <v>0</v>
      </c>
      <c r="CB185" s="401">
        <v>0</v>
      </c>
    </row>
    <row r="186" spans="1:80" s="401" customFormat="1" x14ac:dyDescent="0.3">
      <c r="A186" s="993">
        <v>536</v>
      </c>
      <c r="B186" s="1000"/>
      <c r="C186" s="997">
        <v>536</v>
      </c>
      <c r="D186" s="998" t="s">
        <v>199</v>
      </c>
      <c r="E186" s="1011">
        <v>0</v>
      </c>
      <c r="F186" s="1012"/>
      <c r="BH186" s="401">
        <v>23601</v>
      </c>
      <c r="BI186" s="401">
        <v>7771</v>
      </c>
      <c r="BJ186" s="401">
        <v>145974</v>
      </c>
      <c r="BK186" s="401">
        <v>0</v>
      </c>
      <c r="BL186" s="401">
        <v>199376</v>
      </c>
      <c r="BM186" s="401">
        <v>67699</v>
      </c>
      <c r="BN186" s="401">
        <v>0</v>
      </c>
      <c r="BO186" s="401">
        <v>304084</v>
      </c>
      <c r="BP186" s="401">
        <v>141279</v>
      </c>
      <c r="BQ186" s="401">
        <v>147781</v>
      </c>
      <c r="BR186" s="401">
        <v>179396</v>
      </c>
      <c r="BS186" s="401">
        <v>51361</v>
      </c>
      <c r="BT186" s="401">
        <v>569220</v>
      </c>
      <c r="BU186" s="401">
        <v>28016</v>
      </c>
      <c r="BV186" s="401">
        <v>248609</v>
      </c>
      <c r="BW186" s="401">
        <v>38075</v>
      </c>
      <c r="BX186" s="401">
        <v>99456</v>
      </c>
      <c r="BY186" s="401">
        <v>20509</v>
      </c>
      <c r="BZ186" s="401">
        <v>18656</v>
      </c>
      <c r="CA186" s="401">
        <v>1057778</v>
      </c>
      <c r="CB186" s="401">
        <v>9721</v>
      </c>
    </row>
    <row r="187" spans="1:80" s="401" customFormat="1" x14ac:dyDescent="0.3">
      <c r="A187" s="1006">
        <v>537</v>
      </c>
      <c r="B187" s="1000"/>
      <c r="C187" s="1014">
        <v>537</v>
      </c>
      <c r="D187" s="1014" t="s">
        <v>295</v>
      </c>
      <c r="E187" s="1015">
        <v>0</v>
      </c>
      <c r="F187" s="1012"/>
      <c r="BH187" s="401">
        <v>2</v>
      </c>
      <c r="BI187" s="401">
        <v>2</v>
      </c>
      <c r="BJ187" s="401">
        <v>2</v>
      </c>
      <c r="BK187" s="401">
        <v>0</v>
      </c>
      <c r="BL187" s="401">
        <v>1</v>
      </c>
      <c r="BM187" s="401">
        <v>2</v>
      </c>
      <c r="BN187" s="401">
        <v>2</v>
      </c>
      <c r="BO187" s="401">
        <v>1</v>
      </c>
      <c r="BP187" s="401">
        <v>1</v>
      </c>
      <c r="BQ187" s="401">
        <v>1</v>
      </c>
      <c r="BR187" s="401">
        <v>2</v>
      </c>
      <c r="BS187" s="401">
        <v>2</v>
      </c>
      <c r="BT187" s="401">
        <v>2</v>
      </c>
      <c r="BU187" s="401">
        <v>2</v>
      </c>
      <c r="BV187" s="401">
        <v>1</v>
      </c>
      <c r="BW187" s="401">
        <v>2</v>
      </c>
      <c r="BX187" s="401">
        <v>2</v>
      </c>
      <c r="BY187" s="401">
        <v>2</v>
      </c>
      <c r="BZ187" s="401">
        <v>2</v>
      </c>
      <c r="CA187" s="401">
        <v>2</v>
      </c>
      <c r="CB187" s="401">
        <v>2</v>
      </c>
    </row>
    <row r="188" spans="1:80" s="401" customFormat="1" x14ac:dyDescent="0.3">
      <c r="A188" s="1006">
        <v>538</v>
      </c>
      <c r="B188" s="1000"/>
      <c r="C188" s="1014">
        <v>538</v>
      </c>
      <c r="D188" s="1014" t="s">
        <v>294</v>
      </c>
      <c r="E188" s="1015">
        <v>0</v>
      </c>
      <c r="F188" s="1012"/>
      <c r="BH188" s="401">
        <v>2</v>
      </c>
      <c r="BI188" s="401">
        <v>2</v>
      </c>
      <c r="BJ188" s="401">
        <v>2</v>
      </c>
      <c r="BK188" s="401">
        <v>0</v>
      </c>
      <c r="BL188" s="401">
        <v>2</v>
      </c>
      <c r="BM188" s="401">
        <v>2</v>
      </c>
      <c r="BN188" s="401">
        <v>2</v>
      </c>
      <c r="BO188" s="401">
        <v>1</v>
      </c>
      <c r="BP188" s="401">
        <v>1</v>
      </c>
      <c r="BQ188" s="401">
        <v>1</v>
      </c>
      <c r="BR188" s="401">
        <v>2</v>
      </c>
      <c r="BS188" s="401">
        <v>2</v>
      </c>
      <c r="BT188" s="401">
        <v>2</v>
      </c>
      <c r="BU188" s="401">
        <v>2</v>
      </c>
      <c r="BV188" s="401">
        <v>1</v>
      </c>
      <c r="BW188" s="401">
        <v>2</v>
      </c>
      <c r="BX188" s="401">
        <v>2</v>
      </c>
      <c r="BY188" s="401">
        <v>2</v>
      </c>
      <c r="BZ188" s="401">
        <v>2</v>
      </c>
      <c r="CA188" s="401">
        <v>2</v>
      </c>
      <c r="CB188" s="401">
        <v>2</v>
      </c>
    </row>
    <row r="189" spans="1:80" s="401" customFormat="1" x14ac:dyDescent="0.3">
      <c r="A189" s="1006">
        <v>539</v>
      </c>
      <c r="B189" s="1000"/>
      <c r="C189" s="1014">
        <v>539</v>
      </c>
      <c r="D189" s="1014" t="s">
        <v>1464</v>
      </c>
      <c r="E189" s="1015">
        <v>0</v>
      </c>
      <c r="F189" s="1012"/>
    </row>
    <row r="190" spans="1:80" s="401" customFormat="1" x14ac:dyDescent="0.3">
      <c r="A190" s="993">
        <v>540</v>
      </c>
      <c r="B190" s="1000"/>
      <c r="C190" s="1016">
        <v>540</v>
      </c>
      <c r="D190" s="1016" t="s">
        <v>267</v>
      </c>
      <c r="E190" s="1011">
        <v>0</v>
      </c>
      <c r="F190" s="1012"/>
      <c r="BH190" s="401">
        <v>0</v>
      </c>
      <c r="BI190" s="401">
        <v>38000</v>
      </c>
      <c r="BJ190" s="401">
        <v>72552</v>
      </c>
      <c r="BK190" s="401">
        <v>0</v>
      </c>
      <c r="BL190" s="401">
        <v>212392</v>
      </c>
      <c r="BM190" s="401">
        <v>1050907</v>
      </c>
      <c r="BN190" s="401">
        <v>0</v>
      </c>
      <c r="BO190" s="401">
        <v>12534</v>
      </c>
      <c r="BP190" s="401">
        <v>125000</v>
      </c>
      <c r="BQ190" s="401">
        <v>510362</v>
      </c>
      <c r="BR190" s="401">
        <v>297313</v>
      </c>
      <c r="BS190" s="401">
        <v>0</v>
      </c>
      <c r="BT190" s="401">
        <v>0</v>
      </c>
      <c r="BU190" s="401">
        <v>424000</v>
      </c>
      <c r="BV190" s="401">
        <v>0</v>
      </c>
      <c r="BW190" s="401">
        <v>0</v>
      </c>
      <c r="BX190" s="401">
        <v>0</v>
      </c>
      <c r="BY190" s="401">
        <v>0</v>
      </c>
      <c r="BZ190" s="401">
        <v>20000</v>
      </c>
      <c r="CA190" s="401">
        <v>1823718</v>
      </c>
      <c r="CB190" s="401">
        <v>0</v>
      </c>
    </row>
    <row r="191" spans="1:80" s="401" customFormat="1" x14ac:dyDescent="0.3">
      <c r="A191" s="993">
        <v>541</v>
      </c>
      <c r="B191" s="993"/>
      <c r="C191" s="1016">
        <v>541</v>
      </c>
      <c r="D191" s="1016" t="s">
        <v>349</v>
      </c>
      <c r="E191" s="1011">
        <v>0</v>
      </c>
      <c r="F191" s="1012"/>
      <c r="BH191" s="401">
        <v>0</v>
      </c>
      <c r="BI191" s="401">
        <v>-90360</v>
      </c>
      <c r="BJ191" s="401">
        <v>117866</v>
      </c>
      <c r="BK191" s="401">
        <v>0</v>
      </c>
      <c r="BL191" s="401">
        <v>119318</v>
      </c>
      <c r="BM191" s="401">
        <v>514211</v>
      </c>
      <c r="BN191" s="401">
        <v>0</v>
      </c>
      <c r="BO191" s="401">
        <v>164909</v>
      </c>
      <c r="BP191" s="401">
        <v>236783</v>
      </c>
      <c r="BQ191" s="401">
        <v>175989</v>
      </c>
      <c r="BR191" s="401">
        <v>40510</v>
      </c>
      <c r="BS191" s="401">
        <v>0</v>
      </c>
      <c r="BT191" s="401">
        <v>0</v>
      </c>
      <c r="BU191" s="401">
        <v>-10142</v>
      </c>
      <c r="BV191" s="401">
        <v>58538</v>
      </c>
      <c r="BW191" s="401">
        <v>73860</v>
      </c>
      <c r="BX191" s="401">
        <v>259060</v>
      </c>
      <c r="BY191" s="401">
        <v>0</v>
      </c>
      <c r="BZ191" s="401">
        <v>0</v>
      </c>
      <c r="CA191" s="401">
        <v>146315</v>
      </c>
      <c r="CB191" s="401">
        <v>0</v>
      </c>
    </row>
    <row r="192" spans="1:80" s="401" customFormat="1" x14ac:dyDescent="0.3">
      <c r="A192" s="993">
        <v>542</v>
      </c>
      <c r="B192" s="1000"/>
      <c r="C192" s="1016">
        <v>542</v>
      </c>
      <c r="D192" s="1016" t="s">
        <v>597</v>
      </c>
      <c r="E192" s="1011">
        <v>0</v>
      </c>
      <c r="F192" s="1012"/>
      <c r="BH192" s="401">
        <v>0</v>
      </c>
      <c r="BI192" s="401">
        <v>0</v>
      </c>
      <c r="BJ192" s="401">
        <v>148454</v>
      </c>
      <c r="BK192" s="401">
        <v>0</v>
      </c>
      <c r="BL192" s="401">
        <v>179724</v>
      </c>
      <c r="BM192" s="401">
        <v>299901</v>
      </c>
      <c r="BN192" s="401">
        <v>0</v>
      </c>
      <c r="BO192" s="401">
        <v>196995</v>
      </c>
      <c r="BP192" s="401">
        <v>25000</v>
      </c>
      <c r="BQ192" s="401">
        <v>0</v>
      </c>
      <c r="BR192" s="401">
        <v>0</v>
      </c>
      <c r="BS192" s="401">
        <v>0</v>
      </c>
      <c r="BT192" s="401">
        <v>0</v>
      </c>
      <c r="BU192" s="401">
        <v>0</v>
      </c>
      <c r="BV192" s="401">
        <v>0</v>
      </c>
      <c r="BW192" s="401">
        <v>0</v>
      </c>
      <c r="BX192" s="401">
        <v>0</v>
      </c>
      <c r="BY192" s="401">
        <v>0</v>
      </c>
      <c r="BZ192" s="401">
        <v>0</v>
      </c>
      <c r="CA192" s="401">
        <v>1900315</v>
      </c>
      <c r="CB192" s="401">
        <v>0</v>
      </c>
    </row>
    <row r="193" spans="1:80" s="401" customFormat="1" x14ac:dyDescent="0.3">
      <c r="A193" s="993">
        <v>543</v>
      </c>
      <c r="B193" s="1000"/>
      <c r="C193" s="1016">
        <v>543</v>
      </c>
      <c r="D193" s="1016" t="s">
        <v>1465</v>
      </c>
      <c r="E193" s="1011">
        <v>0</v>
      </c>
      <c r="F193" s="1012"/>
      <c r="BH193" s="401">
        <v>0</v>
      </c>
      <c r="BI193" s="401">
        <v>0</v>
      </c>
      <c r="BJ193" s="401">
        <v>0</v>
      </c>
      <c r="BK193" s="401">
        <v>0</v>
      </c>
      <c r="BL193" s="401">
        <v>0</v>
      </c>
      <c r="BM193" s="401">
        <v>0</v>
      </c>
      <c r="BN193" s="401">
        <v>0</v>
      </c>
      <c r="BO193" s="401">
        <v>0</v>
      </c>
      <c r="BP193" s="401">
        <v>0</v>
      </c>
      <c r="BQ193" s="401">
        <v>0</v>
      </c>
      <c r="BR193" s="401">
        <v>0</v>
      </c>
      <c r="BS193" s="401">
        <v>0</v>
      </c>
      <c r="BT193" s="401">
        <v>0</v>
      </c>
      <c r="BU193" s="401">
        <v>0</v>
      </c>
      <c r="BV193" s="401">
        <v>0</v>
      </c>
      <c r="BW193" s="401">
        <v>0</v>
      </c>
      <c r="BX193" s="401">
        <v>0</v>
      </c>
      <c r="BY193" s="401">
        <v>0</v>
      </c>
      <c r="BZ193" s="401">
        <v>0</v>
      </c>
      <c r="CA193" s="401">
        <v>0</v>
      </c>
      <c r="CB193" s="401">
        <v>0</v>
      </c>
    </row>
    <row r="194" spans="1:80" s="401" customFormat="1" x14ac:dyDescent="0.3">
      <c r="A194" s="993">
        <v>544</v>
      </c>
      <c r="B194" s="1000"/>
      <c r="C194" s="1016">
        <v>544</v>
      </c>
      <c r="D194" s="1016" t="s">
        <v>53</v>
      </c>
      <c r="E194" s="1011">
        <v>0</v>
      </c>
      <c r="F194" s="1012"/>
      <c r="BH194" s="401">
        <v>0</v>
      </c>
      <c r="BI194" s="401">
        <v>0</v>
      </c>
      <c r="BJ194" s="401">
        <v>0</v>
      </c>
      <c r="BK194" s="401">
        <v>0</v>
      </c>
      <c r="BL194" s="401">
        <v>0</v>
      </c>
      <c r="BM194" s="401">
        <v>0</v>
      </c>
      <c r="BN194" s="401">
        <v>0</v>
      </c>
      <c r="BO194" s="401">
        <v>0</v>
      </c>
      <c r="BP194" s="401">
        <v>0</v>
      </c>
      <c r="BQ194" s="401">
        <v>0</v>
      </c>
      <c r="BR194" s="401">
        <v>0</v>
      </c>
      <c r="BS194" s="401">
        <v>0</v>
      </c>
      <c r="BT194" s="401">
        <v>0.28000000000000003</v>
      </c>
      <c r="BU194" s="401">
        <v>0</v>
      </c>
      <c r="BV194" s="401">
        <v>0</v>
      </c>
      <c r="BW194" s="401">
        <v>0</v>
      </c>
      <c r="BX194" s="401">
        <v>0</v>
      </c>
      <c r="BY194" s="401">
        <v>0</v>
      </c>
      <c r="BZ194" s="401">
        <v>0</v>
      </c>
      <c r="CA194" s="401">
        <v>0</v>
      </c>
      <c r="CB194" s="401">
        <v>0</v>
      </c>
    </row>
    <row r="195" spans="1:80" s="401" customFormat="1" x14ac:dyDescent="0.3">
      <c r="A195" s="993">
        <v>545</v>
      </c>
      <c r="B195" s="1000"/>
      <c r="C195" s="1016">
        <v>545</v>
      </c>
      <c r="D195" s="1016" t="s">
        <v>54</v>
      </c>
      <c r="E195" s="1011">
        <v>0</v>
      </c>
      <c r="F195" s="1012"/>
      <c r="BH195" s="401">
        <v>0</v>
      </c>
      <c r="BI195" s="401">
        <v>0</v>
      </c>
      <c r="BJ195" s="401">
        <v>0</v>
      </c>
      <c r="BK195" s="401">
        <v>0</v>
      </c>
      <c r="BL195" s="401">
        <v>0</v>
      </c>
      <c r="BM195" s="401">
        <v>0</v>
      </c>
      <c r="BN195" s="401">
        <v>0</v>
      </c>
      <c r="BO195" s="401">
        <v>0</v>
      </c>
      <c r="BP195" s="401">
        <v>0</v>
      </c>
      <c r="BQ195" s="401">
        <v>0</v>
      </c>
      <c r="BR195" s="401">
        <v>0</v>
      </c>
      <c r="BS195" s="401">
        <v>0</v>
      </c>
      <c r="BT195" s="401">
        <v>0</v>
      </c>
      <c r="BU195" s="401">
        <v>0</v>
      </c>
      <c r="BV195" s="401">
        <v>0</v>
      </c>
      <c r="BW195" s="401">
        <v>0</v>
      </c>
      <c r="BX195" s="401">
        <v>0</v>
      </c>
      <c r="BY195" s="401">
        <v>0</v>
      </c>
      <c r="BZ195" s="401">
        <v>0</v>
      </c>
      <c r="CA195" s="401">
        <v>0</v>
      </c>
      <c r="CB195" s="401">
        <v>0</v>
      </c>
    </row>
    <row r="196" spans="1:80" s="401" customFormat="1" x14ac:dyDescent="0.3">
      <c r="A196" s="993">
        <v>546</v>
      </c>
      <c r="B196" s="1000"/>
      <c r="C196" s="1016">
        <v>546</v>
      </c>
      <c r="D196" s="1016" t="s">
        <v>598</v>
      </c>
      <c r="E196" s="1011">
        <v>0</v>
      </c>
      <c r="F196" s="1012"/>
    </row>
    <row r="197" spans="1:80" s="401" customFormat="1" x14ac:dyDescent="0.3">
      <c r="A197" s="993">
        <v>547</v>
      </c>
      <c r="B197" s="1000">
        <v>547</v>
      </c>
      <c r="C197" s="1016">
        <v>547</v>
      </c>
      <c r="D197" s="1016" t="s">
        <v>335</v>
      </c>
      <c r="E197" s="1011">
        <v>3</v>
      </c>
      <c r="F197" s="993"/>
      <c r="BH197" s="401">
        <v>2</v>
      </c>
      <c r="BI197" s="401">
        <v>3</v>
      </c>
      <c r="BJ197" s="401">
        <v>3</v>
      </c>
      <c r="BK197" s="401">
        <v>0</v>
      </c>
      <c r="BL197" s="401">
        <v>3</v>
      </c>
      <c r="BM197" s="401">
        <v>3</v>
      </c>
      <c r="BN197" s="401">
        <v>2</v>
      </c>
      <c r="BO197" s="401">
        <v>3</v>
      </c>
      <c r="BP197" s="401">
        <v>2</v>
      </c>
      <c r="BQ197" s="401">
        <v>2</v>
      </c>
      <c r="BR197" s="401">
        <v>2</v>
      </c>
      <c r="BS197" s="401">
        <v>2</v>
      </c>
      <c r="BT197" s="401">
        <v>2</v>
      </c>
      <c r="BU197" s="401">
        <v>2</v>
      </c>
      <c r="BV197" s="401">
        <v>3</v>
      </c>
      <c r="BW197" s="401">
        <v>2</v>
      </c>
      <c r="BX197" s="401">
        <v>2</v>
      </c>
      <c r="BY197" s="401">
        <v>2</v>
      </c>
      <c r="BZ197" s="401">
        <v>2</v>
      </c>
      <c r="CA197" s="401">
        <v>3</v>
      </c>
      <c r="CB197" s="401">
        <v>2</v>
      </c>
    </row>
    <row r="198" spans="1:80" s="401" customFormat="1" x14ac:dyDescent="0.3">
      <c r="A198" s="993">
        <v>548</v>
      </c>
      <c r="B198" s="1000"/>
      <c r="C198" s="1016">
        <v>548</v>
      </c>
      <c r="D198" s="1016" t="s">
        <v>334</v>
      </c>
      <c r="E198" s="1011">
        <v>0</v>
      </c>
      <c r="F198" s="993"/>
      <c r="BH198" s="401">
        <v>0</v>
      </c>
      <c r="BI198" s="401">
        <v>0</v>
      </c>
      <c r="BJ198" s="401">
        <v>0</v>
      </c>
      <c r="BK198" s="401">
        <v>0</v>
      </c>
      <c r="BL198" s="401">
        <v>0</v>
      </c>
      <c r="BM198" s="401">
        <v>0</v>
      </c>
      <c r="BN198" s="401">
        <v>0</v>
      </c>
      <c r="BO198" s="401">
        <v>0</v>
      </c>
      <c r="BP198" s="401">
        <v>0</v>
      </c>
      <c r="BQ198" s="401">
        <v>0</v>
      </c>
      <c r="BR198" s="401">
        <v>0</v>
      </c>
      <c r="BS198" s="401">
        <v>0</v>
      </c>
      <c r="BT198" s="401">
        <v>0</v>
      </c>
      <c r="BU198" s="401">
        <v>0</v>
      </c>
      <c r="BV198" s="401">
        <v>0</v>
      </c>
      <c r="BW198" s="401">
        <v>0</v>
      </c>
      <c r="BX198" s="401">
        <v>0</v>
      </c>
      <c r="BY198" s="401">
        <v>0</v>
      </c>
      <c r="BZ198" s="401">
        <v>0</v>
      </c>
      <c r="CA198" s="401">
        <v>0</v>
      </c>
      <c r="CB198" s="401">
        <v>0</v>
      </c>
    </row>
    <row r="199" spans="1:80" s="401" customFormat="1" x14ac:dyDescent="0.3">
      <c r="A199" s="993">
        <v>549</v>
      </c>
      <c r="B199" s="1000"/>
      <c r="C199" s="1016">
        <v>549</v>
      </c>
      <c r="D199" s="1016" t="s">
        <v>1466</v>
      </c>
      <c r="E199" s="1011">
        <v>0</v>
      </c>
      <c r="F199" s="993"/>
      <c r="BH199" s="401">
        <v>0</v>
      </c>
      <c r="BI199" s="401">
        <v>0</v>
      </c>
      <c r="BJ199" s="401">
        <v>0</v>
      </c>
      <c r="BK199" s="401">
        <v>0</v>
      </c>
      <c r="BL199" s="401">
        <v>0</v>
      </c>
      <c r="BM199" s="401">
        <v>0</v>
      </c>
      <c r="BN199" s="401">
        <v>0</v>
      </c>
      <c r="BO199" s="401">
        <v>0</v>
      </c>
      <c r="BP199" s="401">
        <v>0</v>
      </c>
      <c r="BQ199" s="401">
        <v>0</v>
      </c>
      <c r="BR199" s="401">
        <v>0</v>
      </c>
      <c r="BS199" s="401">
        <v>0</v>
      </c>
      <c r="BT199" s="401">
        <v>0</v>
      </c>
      <c r="BU199" s="401">
        <v>0</v>
      </c>
      <c r="BV199" s="401">
        <v>0</v>
      </c>
      <c r="BW199" s="401">
        <v>0</v>
      </c>
      <c r="BX199" s="401">
        <v>0</v>
      </c>
      <c r="BY199" s="401">
        <v>0</v>
      </c>
      <c r="BZ199" s="401">
        <v>0</v>
      </c>
      <c r="CA199" s="401">
        <v>0</v>
      </c>
      <c r="CB199" s="401">
        <v>0</v>
      </c>
    </row>
    <row r="200" spans="1:80" s="401" customFormat="1" x14ac:dyDescent="0.3">
      <c r="A200" s="993">
        <v>550</v>
      </c>
      <c r="B200" s="1000"/>
      <c r="C200" s="1016">
        <v>550</v>
      </c>
      <c r="D200" s="1016" t="s">
        <v>363</v>
      </c>
      <c r="E200" s="1011">
        <v>0</v>
      </c>
      <c r="F200" s="993"/>
      <c r="BH200" s="401">
        <v>0</v>
      </c>
      <c r="BI200" s="401">
        <v>0</v>
      </c>
      <c r="BJ200" s="401">
        <v>0</v>
      </c>
      <c r="BK200" s="401">
        <v>0</v>
      </c>
      <c r="BL200" s="401">
        <v>0</v>
      </c>
      <c r="BM200" s="401">
        <v>0</v>
      </c>
      <c r="BN200" s="401">
        <v>0</v>
      </c>
      <c r="BO200" s="401">
        <v>0</v>
      </c>
      <c r="BP200" s="401">
        <v>0</v>
      </c>
      <c r="BQ200" s="401">
        <v>0</v>
      </c>
      <c r="BR200" s="401">
        <v>0</v>
      </c>
      <c r="BS200" s="401">
        <v>0</v>
      </c>
      <c r="BT200" s="401">
        <v>0</v>
      </c>
      <c r="BU200" s="401">
        <v>0</v>
      </c>
      <c r="BV200" s="401">
        <v>0</v>
      </c>
      <c r="BW200" s="401">
        <v>0</v>
      </c>
      <c r="BX200" s="401">
        <v>0</v>
      </c>
      <c r="BY200" s="401">
        <v>0</v>
      </c>
      <c r="BZ200" s="401">
        <v>0</v>
      </c>
      <c r="CA200" s="401">
        <v>0</v>
      </c>
      <c r="CB200" s="401">
        <v>0</v>
      </c>
    </row>
    <row r="201" spans="1:80" s="401" customFormat="1" x14ac:dyDescent="0.3">
      <c r="A201" s="993">
        <v>551</v>
      </c>
      <c r="B201" s="1000"/>
      <c r="C201" s="1016">
        <v>551</v>
      </c>
      <c r="D201" s="1016" t="s">
        <v>1467</v>
      </c>
      <c r="E201" s="1011">
        <v>0</v>
      </c>
      <c r="F201" s="993"/>
      <c r="BH201" s="401">
        <v>0</v>
      </c>
      <c r="BI201" s="401">
        <v>0</v>
      </c>
      <c r="BJ201" s="401">
        <v>0</v>
      </c>
      <c r="BK201" s="401">
        <v>0</v>
      </c>
      <c r="BL201" s="401">
        <v>0</v>
      </c>
      <c r="BM201" s="401">
        <v>0</v>
      </c>
      <c r="BN201" s="401">
        <v>0</v>
      </c>
      <c r="BO201" s="401">
        <v>0</v>
      </c>
      <c r="BP201" s="401">
        <v>0</v>
      </c>
      <c r="BQ201" s="401">
        <v>0</v>
      </c>
      <c r="BR201" s="401">
        <v>0</v>
      </c>
      <c r="BS201" s="401">
        <v>0</v>
      </c>
      <c r="BT201" s="401">
        <v>0</v>
      </c>
      <c r="BU201" s="401">
        <v>0</v>
      </c>
      <c r="BV201" s="401">
        <v>0</v>
      </c>
      <c r="BW201" s="401">
        <v>0</v>
      </c>
      <c r="BX201" s="401">
        <v>0</v>
      </c>
      <c r="BY201" s="401">
        <v>0</v>
      </c>
      <c r="BZ201" s="401">
        <v>0</v>
      </c>
      <c r="CA201" s="401">
        <v>0</v>
      </c>
      <c r="CB201" s="401">
        <v>0</v>
      </c>
    </row>
    <row r="202" spans="1:80" s="401" customFormat="1" x14ac:dyDescent="0.3">
      <c r="A202" s="993">
        <v>552</v>
      </c>
      <c r="B202" s="1000"/>
      <c r="C202" s="1016">
        <v>552</v>
      </c>
      <c r="D202" s="1016" t="s">
        <v>336</v>
      </c>
      <c r="E202" s="1011">
        <v>0</v>
      </c>
      <c r="F202" s="993"/>
      <c r="BH202" s="401">
        <v>0</v>
      </c>
      <c r="BI202" s="401">
        <v>0</v>
      </c>
      <c r="BJ202" s="401">
        <v>0</v>
      </c>
      <c r="BK202" s="401">
        <v>0</v>
      </c>
      <c r="BL202" s="401">
        <v>0</v>
      </c>
      <c r="BM202" s="401">
        <v>0</v>
      </c>
      <c r="BN202" s="401">
        <v>0</v>
      </c>
      <c r="BO202" s="401">
        <v>0</v>
      </c>
      <c r="BP202" s="401">
        <v>0</v>
      </c>
      <c r="BQ202" s="401">
        <v>0</v>
      </c>
      <c r="BR202" s="401">
        <v>0</v>
      </c>
      <c r="BS202" s="401">
        <v>0</v>
      </c>
      <c r="BT202" s="401">
        <v>0</v>
      </c>
      <c r="BU202" s="401">
        <v>0</v>
      </c>
      <c r="BV202" s="401">
        <v>0</v>
      </c>
      <c r="BW202" s="401">
        <v>0</v>
      </c>
      <c r="BX202" s="401">
        <v>0</v>
      </c>
      <c r="BY202" s="401">
        <v>0</v>
      </c>
      <c r="BZ202" s="401">
        <v>0</v>
      </c>
      <c r="CA202" s="401">
        <v>0</v>
      </c>
      <c r="CB202" s="401">
        <v>0</v>
      </c>
    </row>
    <row r="203" spans="1:80" s="401" customFormat="1" x14ac:dyDescent="0.3">
      <c r="A203" s="993">
        <v>553</v>
      </c>
      <c r="B203" s="1000"/>
      <c r="C203" s="1016">
        <v>553</v>
      </c>
      <c r="D203" s="1016" t="s">
        <v>364</v>
      </c>
      <c r="E203" s="1011">
        <v>0</v>
      </c>
      <c r="F203" s="993"/>
    </row>
    <row r="204" spans="1:80" s="401" customFormat="1" x14ac:dyDescent="0.3">
      <c r="A204" s="1006">
        <v>554</v>
      </c>
      <c r="B204" s="1000">
        <v>554</v>
      </c>
      <c r="C204" s="1014">
        <v>554</v>
      </c>
      <c r="D204" s="1014" t="s">
        <v>365</v>
      </c>
      <c r="E204" s="1015">
        <v>0</v>
      </c>
      <c r="F204" s="993"/>
      <c r="BH204" s="401">
        <v>0</v>
      </c>
      <c r="BI204" s="401">
        <v>0</v>
      </c>
      <c r="BJ204" s="401">
        <v>0</v>
      </c>
      <c r="BK204" s="401">
        <v>0</v>
      </c>
      <c r="BL204" s="401">
        <v>0</v>
      </c>
      <c r="BM204" s="401">
        <v>0</v>
      </c>
      <c r="BN204" s="401">
        <v>0</v>
      </c>
      <c r="BO204" s="401">
        <v>781525</v>
      </c>
      <c r="BP204" s="401">
        <v>0</v>
      </c>
      <c r="BQ204" s="401">
        <v>0</v>
      </c>
      <c r="BR204" s="401">
        <v>0</v>
      </c>
      <c r="BS204" s="401">
        <v>0</v>
      </c>
      <c r="BT204" s="401">
        <v>641260</v>
      </c>
      <c r="BU204" s="401">
        <v>0</v>
      </c>
      <c r="BV204" s="401">
        <v>0</v>
      </c>
      <c r="BW204" s="401">
        <v>1438678</v>
      </c>
      <c r="BX204" s="401">
        <v>0</v>
      </c>
      <c r="BY204" s="401">
        <v>0</v>
      </c>
      <c r="BZ204" s="401">
        <v>0</v>
      </c>
      <c r="CA204" s="401">
        <v>152518</v>
      </c>
      <c r="CB204" s="401">
        <v>0</v>
      </c>
    </row>
    <row r="205" spans="1:80" s="401" customFormat="1" x14ac:dyDescent="0.3">
      <c r="A205" s="1006">
        <v>555</v>
      </c>
      <c r="B205" s="1000">
        <v>555</v>
      </c>
      <c r="C205" s="1014">
        <v>555</v>
      </c>
      <c r="D205" s="1014" t="s">
        <v>366</v>
      </c>
      <c r="E205" s="1015">
        <v>0</v>
      </c>
      <c r="F205" s="993"/>
      <c r="BH205" s="401">
        <v>0</v>
      </c>
      <c r="BI205" s="401">
        <v>0</v>
      </c>
      <c r="BJ205" s="401">
        <v>0</v>
      </c>
      <c r="BK205" s="401">
        <v>0</v>
      </c>
      <c r="BL205" s="401">
        <v>0</v>
      </c>
      <c r="BM205" s="401">
        <v>0</v>
      </c>
      <c r="BN205" s="401">
        <v>0</v>
      </c>
      <c r="BO205" s="401">
        <v>499643</v>
      </c>
      <c r="BP205" s="401">
        <v>0</v>
      </c>
      <c r="BQ205" s="401">
        <v>0</v>
      </c>
      <c r="BR205" s="401">
        <v>0</v>
      </c>
      <c r="BS205" s="401">
        <v>0</v>
      </c>
      <c r="BT205" s="401">
        <v>0</v>
      </c>
      <c r="BU205" s="401">
        <v>0</v>
      </c>
      <c r="BV205" s="401">
        <v>0</v>
      </c>
      <c r="BW205" s="401">
        <v>1371002</v>
      </c>
      <c r="BX205" s="401">
        <v>0</v>
      </c>
      <c r="BY205" s="401">
        <v>0</v>
      </c>
      <c r="BZ205" s="401">
        <v>0</v>
      </c>
      <c r="CA205" s="401">
        <v>0</v>
      </c>
      <c r="CB205" s="401">
        <v>0</v>
      </c>
    </row>
    <row r="206" spans="1:80" s="401" customFormat="1" x14ac:dyDescent="0.3">
      <c r="A206" s="1006">
        <v>556</v>
      </c>
      <c r="B206" s="1000">
        <v>556</v>
      </c>
      <c r="C206" s="1014">
        <v>556</v>
      </c>
      <c r="D206" s="1014" t="s">
        <v>367</v>
      </c>
      <c r="E206" s="1015">
        <v>0</v>
      </c>
      <c r="F206" s="993"/>
      <c r="BH206" s="401">
        <v>0</v>
      </c>
      <c r="BI206" s="401">
        <v>0</v>
      </c>
      <c r="BJ206" s="401">
        <v>0</v>
      </c>
      <c r="BK206" s="401">
        <v>0</v>
      </c>
      <c r="BL206" s="401">
        <v>0</v>
      </c>
      <c r="BM206" s="401">
        <v>0</v>
      </c>
      <c r="BN206" s="401">
        <v>0</v>
      </c>
      <c r="BO206" s="401">
        <v>274270</v>
      </c>
      <c r="BP206" s="401">
        <v>0</v>
      </c>
      <c r="BQ206" s="401">
        <v>0</v>
      </c>
      <c r="BR206" s="401">
        <v>0</v>
      </c>
      <c r="BS206" s="401">
        <v>0</v>
      </c>
      <c r="BT206" s="401">
        <v>939281</v>
      </c>
      <c r="BU206" s="401">
        <v>0</v>
      </c>
      <c r="BV206" s="401">
        <v>0</v>
      </c>
      <c r="BW206" s="401">
        <v>561499</v>
      </c>
      <c r="BX206" s="401">
        <v>0</v>
      </c>
      <c r="BY206" s="401">
        <v>0</v>
      </c>
      <c r="BZ206" s="401">
        <v>0</v>
      </c>
      <c r="CA206" s="401">
        <v>540334</v>
      </c>
      <c r="CB206" s="401">
        <v>0</v>
      </c>
    </row>
    <row r="207" spans="1:80" s="401" customFormat="1" x14ac:dyDescent="0.3">
      <c r="A207" s="1006">
        <v>557</v>
      </c>
      <c r="B207" s="1000">
        <v>557</v>
      </c>
      <c r="C207" s="1014">
        <v>557</v>
      </c>
      <c r="D207" s="1014" t="s">
        <v>368</v>
      </c>
      <c r="E207" s="1015">
        <v>0</v>
      </c>
      <c r="F207" s="993"/>
      <c r="BH207" s="401">
        <v>0</v>
      </c>
      <c r="BI207" s="401">
        <v>0</v>
      </c>
      <c r="BJ207" s="401">
        <v>0</v>
      </c>
      <c r="BK207" s="401">
        <v>0</v>
      </c>
      <c r="BL207" s="401">
        <v>0</v>
      </c>
      <c r="BM207" s="401">
        <v>0</v>
      </c>
      <c r="BN207" s="401">
        <v>0</v>
      </c>
      <c r="BO207" s="401">
        <v>0</v>
      </c>
      <c r="BP207" s="401">
        <v>0</v>
      </c>
      <c r="BQ207" s="401">
        <v>0</v>
      </c>
      <c r="BR207" s="401">
        <v>0</v>
      </c>
      <c r="BS207" s="401">
        <v>0</v>
      </c>
      <c r="BT207" s="401">
        <v>890616</v>
      </c>
      <c r="BU207" s="401">
        <v>0</v>
      </c>
      <c r="BV207" s="401">
        <v>0</v>
      </c>
      <c r="BW207" s="401">
        <v>450000</v>
      </c>
      <c r="BX207" s="401">
        <v>0</v>
      </c>
      <c r="BY207" s="401">
        <v>0</v>
      </c>
      <c r="BZ207" s="401">
        <v>0</v>
      </c>
      <c r="CA207" s="401">
        <v>360334</v>
      </c>
      <c r="CB207" s="401">
        <v>0</v>
      </c>
    </row>
    <row r="208" spans="1:80" s="401" customFormat="1" x14ac:dyDescent="0.3">
      <c r="A208" s="993">
        <v>558</v>
      </c>
      <c r="B208" s="1000"/>
      <c r="C208" s="1016">
        <v>558</v>
      </c>
      <c r="D208" s="1016" t="s">
        <v>1134</v>
      </c>
      <c r="E208" s="1011"/>
      <c r="F208" s="993"/>
    </row>
    <row r="209" spans="1:5" s="401" customFormat="1" x14ac:dyDescent="0.3">
      <c r="A209" s="993">
        <v>559</v>
      </c>
      <c r="B209" s="1000"/>
      <c r="C209" s="1016">
        <v>559</v>
      </c>
      <c r="D209" s="1016" t="s">
        <v>1135</v>
      </c>
      <c r="E209" s="1011"/>
    </row>
    <row r="210" spans="1:5" s="401" customFormat="1" x14ac:dyDescent="0.3">
      <c r="A210" s="993">
        <v>560</v>
      </c>
      <c r="B210" s="1000"/>
      <c r="C210" s="1016">
        <v>560</v>
      </c>
      <c r="D210" s="1016" t="s">
        <v>1136</v>
      </c>
      <c r="E210" s="1011"/>
    </row>
    <row r="211" spans="1:5" s="401" customFormat="1" x14ac:dyDescent="0.3">
      <c r="A211" s="993">
        <v>561</v>
      </c>
      <c r="B211" s="1000"/>
      <c r="C211" s="1016">
        <v>561</v>
      </c>
      <c r="D211" s="1016" t="s">
        <v>1137</v>
      </c>
      <c r="E211" s="1011"/>
    </row>
    <row r="212" spans="1:5" s="401" customFormat="1" x14ac:dyDescent="0.3">
      <c r="A212" s="993">
        <v>562</v>
      </c>
      <c r="B212" s="1000"/>
      <c r="C212" s="1016">
        <v>562</v>
      </c>
      <c r="D212" s="1016" t="s">
        <v>1143</v>
      </c>
      <c r="E212" s="1011"/>
    </row>
    <row r="213" spans="1:5" s="401" customFormat="1" x14ac:dyDescent="0.3">
      <c r="A213" s="993">
        <v>563</v>
      </c>
      <c r="B213" s="1000"/>
      <c r="C213" s="1016">
        <v>563</v>
      </c>
      <c r="D213" s="1016" t="s">
        <v>1138</v>
      </c>
      <c r="E213" s="1011"/>
    </row>
    <row r="214" spans="1:5" s="401" customFormat="1" x14ac:dyDescent="0.3">
      <c r="A214" s="993">
        <v>564</v>
      </c>
      <c r="B214" s="1000"/>
      <c r="C214" s="1016">
        <v>564</v>
      </c>
      <c r="D214" s="1016" t="s">
        <v>1139</v>
      </c>
      <c r="E214" s="1011"/>
    </row>
    <row r="215" spans="1:5" s="401" customFormat="1" x14ac:dyDescent="0.3">
      <c r="A215" s="993">
        <v>565</v>
      </c>
      <c r="B215" s="1000"/>
      <c r="C215" s="1016">
        <v>565</v>
      </c>
      <c r="D215" s="1016" t="s">
        <v>1274</v>
      </c>
      <c r="E215" s="1011"/>
    </row>
    <row r="216" spans="1:5" s="401" customFormat="1" x14ac:dyDescent="0.3">
      <c r="A216" s="993">
        <v>566</v>
      </c>
      <c r="B216" s="1000"/>
      <c r="C216" s="1016">
        <v>566</v>
      </c>
      <c r="D216" s="1016" t="s">
        <v>1141</v>
      </c>
      <c r="E216" s="1011"/>
    </row>
    <row r="217" spans="1:5" s="401" customFormat="1" x14ac:dyDescent="0.3">
      <c r="A217" s="993">
        <v>567</v>
      </c>
      <c r="B217" s="1000"/>
      <c r="C217" s="1016">
        <v>567</v>
      </c>
      <c r="D217" s="1016" t="s">
        <v>1142</v>
      </c>
      <c r="E217" s="1011"/>
    </row>
    <row r="218" spans="1:5" s="401" customFormat="1" x14ac:dyDescent="0.3">
      <c r="A218" s="993">
        <v>568</v>
      </c>
      <c r="B218" s="1000"/>
      <c r="C218" s="1016">
        <v>568</v>
      </c>
      <c r="D218" s="1016" t="s">
        <v>1140</v>
      </c>
      <c r="E218" s="1011"/>
    </row>
    <row r="219" spans="1:5" s="401" customFormat="1" x14ac:dyDescent="0.3">
      <c r="A219" s="993">
        <v>569</v>
      </c>
      <c r="B219" s="1000"/>
      <c r="C219" s="1016">
        <v>569</v>
      </c>
      <c r="D219" s="1016" t="s">
        <v>1144</v>
      </c>
      <c r="E219" s="1011"/>
    </row>
    <row r="220" spans="1:5" s="401" customFormat="1" x14ac:dyDescent="0.3">
      <c r="A220" s="993">
        <v>570</v>
      </c>
      <c r="B220" s="1000"/>
      <c r="C220" s="1016">
        <v>570</v>
      </c>
      <c r="D220" s="1016" t="s">
        <v>1468</v>
      </c>
      <c r="E220" s="1011"/>
    </row>
    <row r="221" spans="1:5" s="401" customFormat="1" x14ac:dyDescent="0.3">
      <c r="A221" s="993">
        <v>571</v>
      </c>
      <c r="B221" s="1000"/>
      <c r="C221" s="1016">
        <v>571</v>
      </c>
      <c r="D221" s="1016" t="s">
        <v>1116</v>
      </c>
      <c r="E221" s="1011"/>
    </row>
    <row r="222" spans="1:5" s="401" customFormat="1" x14ac:dyDescent="0.3">
      <c r="A222" s="993">
        <v>572</v>
      </c>
      <c r="B222" s="1000"/>
      <c r="C222" s="1016">
        <v>572</v>
      </c>
      <c r="D222" s="1016" t="s">
        <v>1117</v>
      </c>
      <c r="E222" s="1011"/>
    </row>
    <row r="223" spans="1:5" s="401" customFormat="1" x14ac:dyDescent="0.3">
      <c r="A223" s="993">
        <v>573</v>
      </c>
      <c r="B223" s="1000"/>
      <c r="C223" s="1016">
        <v>573</v>
      </c>
      <c r="D223" s="1016" t="s">
        <v>1275</v>
      </c>
      <c r="E223" s="1011"/>
    </row>
    <row r="224" spans="1:5" s="401" customFormat="1" x14ac:dyDescent="0.3">
      <c r="A224" s="993">
        <v>574</v>
      </c>
      <c r="B224" s="1000"/>
      <c r="C224" s="1016">
        <v>574</v>
      </c>
      <c r="D224" s="1016" t="s">
        <v>1469</v>
      </c>
      <c r="E224" s="1011"/>
    </row>
    <row r="225" spans="1:80" s="401" customFormat="1" x14ac:dyDescent="0.3">
      <c r="A225" s="993">
        <v>575</v>
      </c>
      <c r="B225" s="1000"/>
      <c r="C225" s="1016">
        <v>575</v>
      </c>
      <c r="D225" s="1016" t="s">
        <v>341</v>
      </c>
      <c r="E225" s="1011">
        <v>0</v>
      </c>
      <c r="F225" s="993"/>
      <c r="BH225" s="401">
        <v>0</v>
      </c>
      <c r="BI225" s="401">
        <v>0</v>
      </c>
      <c r="BJ225" s="401">
        <v>0</v>
      </c>
      <c r="BK225" s="401">
        <v>0</v>
      </c>
      <c r="BL225" s="401">
        <v>0</v>
      </c>
      <c r="BM225" s="401">
        <v>0</v>
      </c>
      <c r="BN225" s="401">
        <v>0</v>
      </c>
      <c r="BO225" s="401">
        <v>96223</v>
      </c>
      <c r="BP225" s="401">
        <v>0</v>
      </c>
      <c r="BQ225" s="401">
        <v>0</v>
      </c>
      <c r="BR225" s="401">
        <v>0</v>
      </c>
      <c r="BS225" s="401">
        <v>0</v>
      </c>
      <c r="BT225" s="401">
        <v>0</v>
      </c>
      <c r="BU225" s="401">
        <v>0</v>
      </c>
      <c r="BV225" s="401">
        <v>0</v>
      </c>
      <c r="BW225" s="401">
        <v>9257</v>
      </c>
      <c r="BX225" s="401">
        <v>21797</v>
      </c>
      <c r="BY225" s="401">
        <v>0</v>
      </c>
      <c r="BZ225" s="401">
        <v>0</v>
      </c>
      <c r="CA225" s="401">
        <v>0</v>
      </c>
      <c r="CB225" s="401">
        <v>0</v>
      </c>
    </row>
    <row r="226" spans="1:80" s="401" customFormat="1" x14ac:dyDescent="0.3">
      <c r="A226" s="993">
        <v>576</v>
      </c>
      <c r="B226" s="1000"/>
      <c r="C226" s="1016">
        <v>576</v>
      </c>
      <c r="D226" s="1016" t="s">
        <v>342</v>
      </c>
      <c r="E226" s="1011">
        <v>0</v>
      </c>
      <c r="F226" s="993"/>
      <c r="BH226" s="401">
        <v>0</v>
      </c>
      <c r="BI226" s="401">
        <v>0</v>
      </c>
      <c r="BJ226" s="401">
        <v>0</v>
      </c>
      <c r="BK226" s="401">
        <v>0</v>
      </c>
      <c r="BL226" s="401">
        <v>0</v>
      </c>
      <c r="BM226" s="401">
        <v>0</v>
      </c>
      <c r="BN226" s="401">
        <v>0</v>
      </c>
      <c r="BO226" s="401">
        <v>0</v>
      </c>
      <c r="BP226" s="401">
        <v>348103</v>
      </c>
      <c r="BQ226" s="401">
        <v>0</v>
      </c>
      <c r="BR226" s="401">
        <v>0</v>
      </c>
      <c r="BS226" s="401">
        <v>0</v>
      </c>
      <c r="BT226" s="401">
        <v>0</v>
      </c>
      <c r="BU226" s="401">
        <v>40000</v>
      </c>
      <c r="BV226" s="401">
        <v>16959</v>
      </c>
      <c r="BW226" s="401">
        <v>0</v>
      </c>
      <c r="BX226" s="401">
        <v>0</v>
      </c>
      <c r="BY226" s="401">
        <v>0</v>
      </c>
      <c r="BZ226" s="401">
        <v>0</v>
      </c>
      <c r="CA226" s="401">
        <v>0</v>
      </c>
      <c r="CB226" s="401">
        <v>0</v>
      </c>
    </row>
    <row r="227" spans="1:80" s="401" customFormat="1" x14ac:dyDescent="0.3">
      <c r="A227" s="1006">
        <v>577</v>
      </c>
      <c r="B227" s="1000">
        <v>577</v>
      </c>
      <c r="C227" s="1014">
        <v>577</v>
      </c>
      <c r="D227" s="1014" t="s">
        <v>397</v>
      </c>
      <c r="E227" s="1015">
        <v>2</v>
      </c>
      <c r="F227" s="993">
        <v>577</v>
      </c>
      <c r="BH227" s="401">
        <v>0</v>
      </c>
      <c r="BI227" s="401">
        <v>2</v>
      </c>
      <c r="BJ227" s="401">
        <v>2</v>
      </c>
      <c r="BK227" s="401">
        <v>0</v>
      </c>
      <c r="BL227" s="401">
        <v>2</v>
      </c>
      <c r="BM227" s="401">
        <v>2</v>
      </c>
      <c r="BN227" s="401">
        <v>0</v>
      </c>
      <c r="BO227" s="401">
        <v>2</v>
      </c>
      <c r="BP227" s="401">
        <v>2</v>
      </c>
      <c r="BQ227" s="401">
        <v>2</v>
      </c>
      <c r="BR227" s="401">
        <v>2</v>
      </c>
      <c r="BS227" s="401">
        <v>2</v>
      </c>
      <c r="BT227" s="401">
        <v>2</v>
      </c>
      <c r="BU227" s="401">
        <v>2</v>
      </c>
      <c r="BV227" s="401">
        <v>2</v>
      </c>
      <c r="BW227" s="401">
        <v>2</v>
      </c>
      <c r="BX227" s="401">
        <v>2</v>
      </c>
      <c r="BY227" s="401">
        <v>0</v>
      </c>
      <c r="BZ227" s="401">
        <v>2</v>
      </c>
      <c r="CA227" s="401">
        <v>2</v>
      </c>
      <c r="CB227" s="401">
        <v>0</v>
      </c>
    </row>
    <row r="228" spans="1:80" s="401" customFormat="1" x14ac:dyDescent="0.3">
      <c r="A228" s="993">
        <v>578</v>
      </c>
      <c r="B228" s="993"/>
      <c r="C228" s="1016">
        <v>578</v>
      </c>
      <c r="D228" s="1016" t="s">
        <v>398</v>
      </c>
      <c r="E228" s="1011">
        <v>0</v>
      </c>
      <c r="F228" s="993"/>
      <c r="BH228" s="401">
        <v>0</v>
      </c>
      <c r="BI228" s="401">
        <v>0</v>
      </c>
      <c r="BJ228" s="401">
        <v>0</v>
      </c>
      <c r="BK228" s="401">
        <v>0</v>
      </c>
      <c r="BL228" s="401">
        <v>0</v>
      </c>
      <c r="BM228" s="401">
        <v>0</v>
      </c>
      <c r="BN228" s="401">
        <v>0</v>
      </c>
      <c r="BO228" s="401">
        <v>0</v>
      </c>
      <c r="BP228" s="401">
        <v>0</v>
      </c>
      <c r="BQ228" s="401">
        <v>0</v>
      </c>
      <c r="BR228" s="401">
        <v>0</v>
      </c>
      <c r="BS228" s="401">
        <v>0</v>
      </c>
      <c r="BT228" s="401">
        <v>0</v>
      </c>
      <c r="BU228" s="401">
        <v>0</v>
      </c>
      <c r="BV228" s="401">
        <v>0</v>
      </c>
      <c r="BW228" s="401">
        <v>0</v>
      </c>
      <c r="BX228" s="401">
        <v>0</v>
      </c>
      <c r="BY228" s="401">
        <v>0</v>
      </c>
      <c r="BZ228" s="401">
        <v>0</v>
      </c>
      <c r="CA228" s="401">
        <v>0</v>
      </c>
      <c r="CB228" s="401">
        <v>0</v>
      </c>
    </row>
    <row r="229" spans="1:80" s="401" customFormat="1" x14ac:dyDescent="0.3">
      <c r="A229" s="993">
        <v>579</v>
      </c>
      <c r="B229" s="1017"/>
      <c r="C229" s="1016">
        <v>579</v>
      </c>
      <c r="D229" s="1016" t="s">
        <v>399</v>
      </c>
      <c r="E229" s="1011">
        <v>0</v>
      </c>
      <c r="F229" s="993"/>
      <c r="BH229" s="401">
        <v>0</v>
      </c>
      <c r="BI229" s="401">
        <v>0</v>
      </c>
      <c r="BJ229" s="401">
        <v>0</v>
      </c>
      <c r="BK229" s="401">
        <v>0</v>
      </c>
      <c r="BL229" s="401">
        <v>0</v>
      </c>
      <c r="BM229" s="401">
        <v>0</v>
      </c>
      <c r="BN229" s="401">
        <v>0</v>
      </c>
      <c r="BO229" s="401">
        <v>0</v>
      </c>
      <c r="BP229" s="401">
        <v>0</v>
      </c>
      <c r="BQ229" s="401">
        <v>0</v>
      </c>
      <c r="BR229" s="401">
        <v>0</v>
      </c>
      <c r="BS229" s="401">
        <v>0</v>
      </c>
      <c r="BT229" s="401">
        <v>0</v>
      </c>
      <c r="BU229" s="401">
        <v>0</v>
      </c>
      <c r="BV229" s="401">
        <v>0</v>
      </c>
      <c r="BW229" s="401">
        <v>0</v>
      </c>
      <c r="BX229" s="401">
        <v>0</v>
      </c>
      <c r="BY229" s="401">
        <v>0</v>
      </c>
      <c r="BZ229" s="401">
        <v>0</v>
      </c>
      <c r="CA229" s="401">
        <v>0</v>
      </c>
      <c r="CB229" s="401">
        <v>0</v>
      </c>
    </row>
    <row r="230" spans="1:80" s="401" customFormat="1" x14ac:dyDescent="0.3">
      <c r="A230" s="993">
        <v>580</v>
      </c>
      <c r="B230" s="1017"/>
      <c r="C230" s="1016">
        <v>580</v>
      </c>
      <c r="D230" s="1016" t="s">
        <v>400</v>
      </c>
      <c r="E230" s="1011">
        <v>0</v>
      </c>
      <c r="F230" s="993"/>
      <c r="BH230" s="401">
        <v>0</v>
      </c>
      <c r="BI230" s="401">
        <v>0</v>
      </c>
      <c r="BJ230" s="401">
        <v>0</v>
      </c>
      <c r="BK230" s="401">
        <v>0</v>
      </c>
      <c r="BL230" s="401">
        <v>0</v>
      </c>
      <c r="BM230" s="401">
        <v>0</v>
      </c>
      <c r="BN230" s="401">
        <v>0</v>
      </c>
      <c r="BO230" s="401">
        <v>0</v>
      </c>
      <c r="BP230" s="401">
        <v>0</v>
      </c>
      <c r="BQ230" s="401">
        <v>0</v>
      </c>
      <c r="BR230" s="401">
        <v>0</v>
      </c>
      <c r="BS230" s="401">
        <v>0</v>
      </c>
      <c r="BT230" s="401">
        <v>0</v>
      </c>
      <c r="BU230" s="401">
        <v>0</v>
      </c>
      <c r="BV230" s="401">
        <v>0</v>
      </c>
      <c r="BW230" s="401">
        <v>0</v>
      </c>
      <c r="BX230" s="401">
        <v>0</v>
      </c>
      <c r="BY230" s="401">
        <v>0</v>
      </c>
      <c r="BZ230" s="401">
        <v>0</v>
      </c>
      <c r="CA230" s="401">
        <v>0</v>
      </c>
      <c r="CB230" s="401">
        <v>0</v>
      </c>
    </row>
    <row r="231" spans="1:80" s="401" customFormat="1" x14ac:dyDescent="0.3">
      <c r="A231" s="993">
        <v>581</v>
      </c>
      <c r="B231" s="1017"/>
      <c r="C231" s="1016">
        <v>581</v>
      </c>
      <c r="D231" s="1016" t="s">
        <v>401</v>
      </c>
      <c r="E231" s="1011">
        <v>0</v>
      </c>
      <c r="F231" s="993"/>
      <c r="BH231" s="401">
        <v>0</v>
      </c>
      <c r="BI231" s="401">
        <v>0</v>
      </c>
      <c r="BJ231" s="401">
        <v>0</v>
      </c>
      <c r="BK231" s="401">
        <v>0</v>
      </c>
      <c r="BL231" s="401">
        <v>0</v>
      </c>
      <c r="BM231" s="401">
        <v>0</v>
      </c>
      <c r="BN231" s="401">
        <v>0</v>
      </c>
      <c r="BO231" s="401">
        <v>0</v>
      </c>
      <c r="BP231" s="401">
        <v>0</v>
      </c>
      <c r="BQ231" s="401">
        <v>0</v>
      </c>
      <c r="BR231" s="401">
        <v>0</v>
      </c>
      <c r="BS231" s="401">
        <v>0</v>
      </c>
      <c r="BT231" s="401">
        <v>0</v>
      </c>
      <c r="BU231" s="401">
        <v>0</v>
      </c>
      <c r="BV231" s="401">
        <v>0</v>
      </c>
      <c r="BW231" s="401">
        <v>0</v>
      </c>
      <c r="BX231" s="401">
        <v>0</v>
      </c>
      <c r="BY231" s="401">
        <v>0</v>
      </c>
      <c r="BZ231" s="401">
        <v>0</v>
      </c>
      <c r="CA231" s="401">
        <v>0</v>
      </c>
      <c r="CB231" s="401">
        <v>0</v>
      </c>
    </row>
    <row r="232" spans="1:80" s="401" customFormat="1" x14ac:dyDescent="0.3">
      <c r="A232" s="993">
        <v>582</v>
      </c>
      <c r="B232" s="1017"/>
      <c r="C232" s="1016">
        <v>582</v>
      </c>
      <c r="D232" s="1016" t="s">
        <v>402</v>
      </c>
      <c r="E232" s="1011">
        <v>0</v>
      </c>
      <c r="F232" s="993"/>
    </row>
    <row r="233" spans="1:80" s="401" customFormat="1" x14ac:dyDescent="0.3">
      <c r="A233" s="993">
        <v>583</v>
      </c>
      <c r="B233" s="1017"/>
      <c r="C233" s="1016">
        <v>583</v>
      </c>
      <c r="D233" s="1016" t="s">
        <v>403</v>
      </c>
      <c r="E233" s="1011">
        <v>0</v>
      </c>
      <c r="F233" s="993"/>
    </row>
    <row r="234" spans="1:80" s="401" customFormat="1" x14ac:dyDescent="0.3">
      <c r="A234" s="993">
        <v>584</v>
      </c>
      <c r="B234" s="1017"/>
      <c r="C234" s="1016">
        <v>584</v>
      </c>
      <c r="D234" s="1016" t="s">
        <v>404</v>
      </c>
      <c r="E234" s="1011">
        <v>0</v>
      </c>
      <c r="F234" s="993"/>
    </row>
    <row r="235" spans="1:80" s="401" customFormat="1" x14ac:dyDescent="0.3">
      <c r="A235" s="993">
        <v>585</v>
      </c>
      <c r="B235" s="1017"/>
      <c r="C235" s="1016">
        <v>585</v>
      </c>
      <c r="D235" s="1016" t="s">
        <v>405</v>
      </c>
      <c r="E235" s="1011">
        <v>0</v>
      </c>
      <c r="F235" s="993"/>
    </row>
    <row r="236" spans="1:80" s="401" customFormat="1" x14ac:dyDescent="0.3">
      <c r="A236" s="993">
        <v>586</v>
      </c>
      <c r="B236" s="1000"/>
      <c r="C236" s="1016">
        <v>586</v>
      </c>
      <c r="D236" s="1016" t="s">
        <v>406</v>
      </c>
      <c r="E236" s="1011">
        <v>0</v>
      </c>
      <c r="F236" s="993"/>
      <c r="BH236" s="401">
        <v>0</v>
      </c>
      <c r="BI236" s="401">
        <v>0</v>
      </c>
      <c r="BJ236" s="401">
        <v>0</v>
      </c>
      <c r="BK236" s="401">
        <v>0</v>
      </c>
      <c r="BL236" s="401">
        <v>0</v>
      </c>
      <c r="BM236" s="401">
        <v>0</v>
      </c>
      <c r="BN236" s="401">
        <v>0</v>
      </c>
      <c r="BO236" s="401">
        <v>0</v>
      </c>
      <c r="BP236" s="401">
        <v>0</v>
      </c>
      <c r="BQ236" s="401">
        <v>0</v>
      </c>
      <c r="BR236" s="401">
        <v>0</v>
      </c>
      <c r="BS236" s="401">
        <v>0</v>
      </c>
      <c r="BT236" s="401">
        <v>0</v>
      </c>
      <c r="BU236" s="401">
        <v>0</v>
      </c>
      <c r="BV236" s="401">
        <v>0</v>
      </c>
      <c r="BW236" s="401">
        <v>0</v>
      </c>
      <c r="BX236" s="401">
        <v>0</v>
      </c>
      <c r="BY236" s="401">
        <v>0</v>
      </c>
      <c r="BZ236" s="401">
        <v>0</v>
      </c>
      <c r="CA236" s="401">
        <v>0</v>
      </c>
      <c r="CB236" s="401">
        <v>0</v>
      </c>
    </row>
    <row r="237" spans="1:80" s="401" customFormat="1" x14ac:dyDescent="0.3">
      <c r="A237" s="993">
        <v>587</v>
      </c>
      <c r="B237" s="1017"/>
      <c r="C237" s="1016">
        <v>587</v>
      </c>
      <c r="D237" s="1016" t="s">
        <v>407</v>
      </c>
      <c r="E237" s="1011">
        <v>0</v>
      </c>
      <c r="F237" s="993"/>
    </row>
    <row r="238" spans="1:80" s="401" customFormat="1" x14ac:dyDescent="0.3">
      <c r="A238" s="993">
        <v>588</v>
      </c>
      <c r="B238" s="1017"/>
      <c r="C238" s="1016">
        <v>588</v>
      </c>
      <c r="D238" s="1016" t="s">
        <v>408</v>
      </c>
      <c r="E238" s="1011">
        <v>0</v>
      </c>
      <c r="F238" s="993"/>
    </row>
    <row r="239" spans="1:80" s="401" customFormat="1" x14ac:dyDescent="0.3">
      <c r="A239" s="993">
        <v>589</v>
      </c>
      <c r="B239" s="1017"/>
      <c r="C239" s="1018">
        <v>589</v>
      </c>
      <c r="D239" s="1018" t="s">
        <v>409</v>
      </c>
      <c r="E239" s="1011"/>
      <c r="F239" s="993"/>
    </row>
    <row r="240" spans="1:80" s="401" customFormat="1" x14ac:dyDescent="0.3">
      <c r="A240" s="993">
        <v>590</v>
      </c>
      <c r="B240" s="1017"/>
      <c r="C240" s="1018">
        <v>590</v>
      </c>
      <c r="D240" s="1018" t="s">
        <v>410</v>
      </c>
      <c r="E240" s="1011"/>
      <c r="F240" s="993"/>
    </row>
    <row r="241" spans="1:80" s="401" customFormat="1" x14ac:dyDescent="0.3">
      <c r="A241" s="993">
        <v>992</v>
      </c>
      <c r="B241" s="1017"/>
      <c r="C241" s="1018">
        <v>992</v>
      </c>
      <c r="D241" s="1018"/>
      <c r="E241" s="1011"/>
      <c r="F241" s="993"/>
    </row>
    <row r="242" spans="1:80" s="405" customFormat="1" x14ac:dyDescent="0.3">
      <c r="A242" s="993">
        <v>993</v>
      </c>
      <c r="B242" s="1017"/>
      <c r="C242" s="997">
        <v>993</v>
      </c>
      <c r="D242" s="998" t="s">
        <v>1470</v>
      </c>
      <c r="E242" s="1004">
        <v>0</v>
      </c>
      <c r="F242" s="993"/>
    </row>
    <row r="243" spans="1:80" s="405" customFormat="1" x14ac:dyDescent="0.3">
      <c r="A243" s="993">
        <v>994</v>
      </c>
      <c r="B243" s="1017"/>
      <c r="C243" s="997">
        <v>994</v>
      </c>
      <c r="D243" s="998" t="s">
        <v>1471</v>
      </c>
      <c r="E243" s="1004">
        <v>0</v>
      </c>
      <c r="F243" s="993"/>
    </row>
    <row r="244" spans="1:80" s="405" customFormat="1" ht="28.8" x14ac:dyDescent="0.3">
      <c r="A244" s="1006">
        <v>995</v>
      </c>
      <c r="B244" s="1017"/>
      <c r="C244" s="1007">
        <v>995</v>
      </c>
      <c r="D244" s="1008" t="s">
        <v>290</v>
      </c>
      <c r="E244" s="1010">
        <v>0</v>
      </c>
      <c r="F244" s="993"/>
      <c r="BH244" s="405">
        <v>0</v>
      </c>
      <c r="BI244" s="405">
        <v>0</v>
      </c>
      <c r="BJ244" s="405">
        <v>0</v>
      </c>
      <c r="BK244" s="405">
        <v>0</v>
      </c>
      <c r="BL244" s="405">
        <v>7.0000000000000007E-2</v>
      </c>
      <c r="BM244" s="405">
        <v>0</v>
      </c>
      <c r="BN244" s="405">
        <v>0</v>
      </c>
      <c r="BO244" s="405">
        <v>0</v>
      </c>
      <c r="BP244" s="405">
        <v>0</v>
      </c>
      <c r="BQ244" s="405">
        <v>0</v>
      </c>
      <c r="BR244" s="405">
        <v>0</v>
      </c>
      <c r="BS244" s="405">
        <v>0</v>
      </c>
      <c r="BT244" s="405">
        <v>0</v>
      </c>
      <c r="BU244" s="405">
        <v>0</v>
      </c>
      <c r="BV244" s="405">
        <v>0</v>
      </c>
      <c r="BW244" s="405">
        <v>0</v>
      </c>
      <c r="BX244" s="405">
        <v>0</v>
      </c>
      <c r="BY244" s="405">
        <v>0</v>
      </c>
      <c r="BZ244" s="405">
        <v>0</v>
      </c>
      <c r="CA244" s="405">
        <v>0</v>
      </c>
      <c r="CB244" s="405">
        <v>0</v>
      </c>
    </row>
    <row r="245" spans="1:80" s="405" customFormat="1" ht="28.8" x14ac:dyDescent="0.3">
      <c r="A245" s="1006">
        <v>996</v>
      </c>
      <c r="B245" s="1017"/>
      <c r="C245" s="1007">
        <v>996</v>
      </c>
      <c r="D245" s="1019" t="s">
        <v>291</v>
      </c>
      <c r="E245" s="1010">
        <v>0</v>
      </c>
      <c r="F245" s="993"/>
      <c r="BH245" s="405">
        <v>0</v>
      </c>
      <c r="BI245" s="405">
        <v>0.01</v>
      </c>
      <c r="BJ245" s="405">
        <v>0.01</v>
      </c>
      <c r="BK245" s="405">
        <v>0.01</v>
      </c>
      <c r="BL245" s="405">
        <v>0.01</v>
      </c>
      <c r="BM245" s="405">
        <v>0.01</v>
      </c>
      <c r="BN245" s="405">
        <v>0</v>
      </c>
      <c r="BO245" s="405">
        <v>0.01</v>
      </c>
      <c r="BP245" s="405">
        <v>0.01</v>
      </c>
      <c r="BQ245" s="405">
        <v>0.01</v>
      </c>
      <c r="BR245" s="405">
        <v>0.01</v>
      </c>
      <c r="BS245" s="405">
        <v>0</v>
      </c>
      <c r="BT245" s="405">
        <v>0</v>
      </c>
      <c r="BU245" s="405">
        <v>0.01</v>
      </c>
      <c r="BV245" s="405">
        <v>0.01</v>
      </c>
      <c r="BW245" s="405">
        <v>0.01</v>
      </c>
      <c r="BX245" s="405">
        <v>0.01</v>
      </c>
      <c r="BY245" s="405">
        <v>0</v>
      </c>
      <c r="BZ245" s="405">
        <v>0</v>
      </c>
      <c r="CA245" s="405">
        <v>0.01</v>
      </c>
      <c r="CB245" s="405">
        <v>0</v>
      </c>
    </row>
    <row r="246" spans="1:80" s="401" customFormat="1" x14ac:dyDescent="0.3">
      <c r="A246" s="1006">
        <v>997</v>
      </c>
      <c r="B246" s="1017"/>
      <c r="C246" s="1018">
        <v>997</v>
      </c>
      <c r="D246" s="1018"/>
      <c r="E246" s="1010"/>
      <c r="F246" s="993"/>
    </row>
    <row r="247" spans="1:80" s="401" customFormat="1" x14ac:dyDescent="0.3">
      <c r="A247" s="1006">
        <v>998</v>
      </c>
      <c r="B247" s="1000">
        <v>998</v>
      </c>
      <c r="C247" s="1007">
        <v>998</v>
      </c>
      <c r="D247" s="1008" t="s">
        <v>292</v>
      </c>
      <c r="E247" s="1009">
        <v>60</v>
      </c>
      <c r="F247" s="993"/>
      <c r="BH247" s="401">
        <v>50</v>
      </c>
      <c r="BI247" s="401">
        <v>50</v>
      </c>
      <c r="BJ247" s="401">
        <v>50</v>
      </c>
      <c r="BK247" s="401">
        <v>0</v>
      </c>
      <c r="BL247" s="401">
        <v>50</v>
      </c>
      <c r="BM247" s="401">
        <v>50</v>
      </c>
      <c r="BN247" s="401">
        <v>50</v>
      </c>
      <c r="BO247" s="401">
        <v>50</v>
      </c>
      <c r="BP247" s="401">
        <v>50</v>
      </c>
      <c r="BQ247" s="401">
        <v>50</v>
      </c>
      <c r="BR247" s="401">
        <v>50</v>
      </c>
      <c r="BS247" s="401">
        <v>50</v>
      </c>
      <c r="BT247" s="401">
        <v>50</v>
      </c>
      <c r="BU247" s="401">
        <v>0</v>
      </c>
      <c r="BV247" s="401">
        <v>50</v>
      </c>
      <c r="BW247" s="401">
        <v>50</v>
      </c>
      <c r="BX247" s="401">
        <v>50</v>
      </c>
      <c r="BY247" s="401">
        <v>50</v>
      </c>
      <c r="BZ247" s="401">
        <v>50</v>
      </c>
      <c r="CA247" s="401">
        <v>50</v>
      </c>
      <c r="CB247" s="401">
        <v>50</v>
      </c>
    </row>
    <row r="248" spans="1:80" s="401" customFormat="1" x14ac:dyDescent="0.3">
      <c r="A248" s="1006">
        <v>999</v>
      </c>
      <c r="B248" s="1000">
        <v>999</v>
      </c>
      <c r="C248" s="1007">
        <v>999</v>
      </c>
      <c r="D248" s="1008" t="s">
        <v>293</v>
      </c>
      <c r="E248" s="1009">
        <v>601725</v>
      </c>
      <c r="F248" s="1012"/>
      <c r="BH248" s="401">
        <v>50237</v>
      </c>
      <c r="BI248" s="401">
        <v>50238</v>
      </c>
      <c r="BJ248" s="401">
        <v>50444</v>
      </c>
      <c r="BK248" s="401">
        <v>0</v>
      </c>
      <c r="BL248" s="401">
        <v>50240</v>
      </c>
      <c r="BM248" s="401">
        <v>50241</v>
      </c>
      <c r="BN248" s="401">
        <v>50521</v>
      </c>
      <c r="BO248" s="401">
        <v>50242</v>
      </c>
      <c r="BP248" s="401">
        <v>50244</v>
      </c>
      <c r="BQ248" s="401">
        <v>50243</v>
      </c>
      <c r="BR248" s="401">
        <v>50245</v>
      </c>
      <c r="BS248" s="401">
        <v>50522</v>
      </c>
      <c r="BT248" s="401">
        <v>50246</v>
      </c>
      <c r="BU248" s="401">
        <v>0</v>
      </c>
      <c r="BV248" s="401">
        <v>50248</v>
      </c>
      <c r="BW248" s="401">
        <v>50249</v>
      </c>
      <c r="BX248" s="401">
        <v>50250</v>
      </c>
      <c r="BY248" s="401">
        <v>50251</v>
      </c>
      <c r="BZ248" s="401">
        <v>50252</v>
      </c>
      <c r="CA248" s="401">
        <v>50253</v>
      </c>
      <c r="CB248" s="401">
        <v>50454</v>
      </c>
    </row>
    <row r="249" spans="1:80" x14ac:dyDescent="0.3">
      <c r="A249" s="1006">
        <v>1000</v>
      </c>
      <c r="B249" s="1000"/>
      <c r="C249" s="1018">
        <v>1000</v>
      </c>
      <c r="D249" s="1018"/>
      <c r="E249" s="1009"/>
      <c r="F249" s="993"/>
      <c r="BH249" s="99" t="s">
        <v>31</v>
      </c>
      <c r="BI249" s="99" t="s">
        <v>599</v>
      </c>
      <c r="BJ249" s="99" t="s">
        <v>599</v>
      </c>
      <c r="BK249" s="99" t="s">
        <v>599</v>
      </c>
      <c r="BL249" s="99" t="s">
        <v>599</v>
      </c>
      <c r="BM249" s="99" t="s">
        <v>599</v>
      </c>
      <c r="BN249" s="99" t="s">
        <v>31</v>
      </c>
      <c r="BO249" s="99" t="s">
        <v>599</v>
      </c>
      <c r="BP249" s="99" t="s">
        <v>599</v>
      </c>
      <c r="BQ249" s="99" t="s">
        <v>599</v>
      </c>
      <c r="BR249" s="99" t="s">
        <v>599</v>
      </c>
      <c r="BS249" s="99" t="s">
        <v>31</v>
      </c>
      <c r="BT249" s="99" t="s">
        <v>31</v>
      </c>
      <c r="BU249" s="99" t="s">
        <v>599</v>
      </c>
      <c r="BV249" s="99" t="s">
        <v>599</v>
      </c>
      <c r="BW249" s="99" t="s">
        <v>599</v>
      </c>
      <c r="BX249" s="99" t="s">
        <v>599</v>
      </c>
      <c r="BY249" s="99" t="s">
        <v>31</v>
      </c>
      <c r="BZ249" s="99" t="s">
        <v>31</v>
      </c>
      <c r="CA249" s="99" t="s">
        <v>599</v>
      </c>
      <c r="CB249" s="99" t="s">
        <v>31</v>
      </c>
    </row>
    <row r="250" spans="1:80" x14ac:dyDescent="0.3">
      <c r="A250" s="1006">
        <v>537</v>
      </c>
      <c r="B250" s="1000"/>
      <c r="C250" s="1018">
        <v>537</v>
      </c>
      <c r="D250" s="1018"/>
      <c r="E250" s="1009"/>
      <c r="F250" s="993"/>
      <c r="BH250" s="99" t="s">
        <v>52</v>
      </c>
      <c r="BI250" s="99" t="s">
        <v>52</v>
      </c>
      <c r="BJ250" s="99" t="s">
        <v>52</v>
      </c>
      <c r="BK250" s="99" t="s">
        <v>442</v>
      </c>
      <c r="BL250" s="99" t="s">
        <v>51</v>
      </c>
      <c r="BM250" s="99" t="s">
        <v>52</v>
      </c>
      <c r="BN250" s="99" t="s">
        <v>52</v>
      </c>
      <c r="BO250" s="99" t="s">
        <v>51</v>
      </c>
      <c r="BP250" s="99" t="s">
        <v>51</v>
      </c>
      <c r="BQ250" s="99" t="s">
        <v>51</v>
      </c>
      <c r="BR250" s="99" t="s">
        <v>52</v>
      </c>
      <c r="BS250" s="99" t="s">
        <v>52</v>
      </c>
      <c r="BT250" s="99" t="s">
        <v>52</v>
      </c>
      <c r="BU250" s="99" t="s">
        <v>52</v>
      </c>
      <c r="BV250" s="99" t="s">
        <v>51</v>
      </c>
      <c r="BW250" s="99" t="s">
        <v>52</v>
      </c>
      <c r="BX250" s="99" t="s">
        <v>52</v>
      </c>
      <c r="BY250" s="99" t="s">
        <v>52</v>
      </c>
      <c r="BZ250" s="99" t="s">
        <v>52</v>
      </c>
      <c r="CA250" s="99" t="s">
        <v>52</v>
      </c>
      <c r="CB250" s="99" t="s">
        <v>52</v>
      </c>
    </row>
    <row r="251" spans="1:80" x14ac:dyDescent="0.3">
      <c r="A251" s="1006">
        <v>538</v>
      </c>
      <c r="B251" s="1000"/>
      <c r="C251" s="1018">
        <v>538</v>
      </c>
      <c r="D251" s="1018"/>
      <c r="E251" s="1009"/>
      <c r="F251" s="993"/>
      <c r="BH251" s="99" t="s">
        <v>52</v>
      </c>
      <c r="BI251" s="99" t="s">
        <v>52</v>
      </c>
      <c r="BJ251" s="99" t="s">
        <v>52</v>
      </c>
      <c r="BK251" s="99" t="s">
        <v>442</v>
      </c>
      <c r="BL251" s="99" t="s">
        <v>52</v>
      </c>
      <c r="BM251" s="99" t="s">
        <v>52</v>
      </c>
      <c r="BN251" s="99" t="s">
        <v>52</v>
      </c>
      <c r="BO251" s="99" t="s">
        <v>51</v>
      </c>
      <c r="BP251" s="99" t="s">
        <v>51</v>
      </c>
      <c r="BQ251" s="99" t="s">
        <v>51</v>
      </c>
      <c r="BR251" s="99" t="s">
        <v>52</v>
      </c>
      <c r="BS251" s="99" t="s">
        <v>52</v>
      </c>
      <c r="BT251" s="99" t="s">
        <v>52</v>
      </c>
      <c r="BU251" s="99" t="s">
        <v>52</v>
      </c>
      <c r="BV251" s="99" t="s">
        <v>51</v>
      </c>
      <c r="BW251" s="99" t="s">
        <v>52</v>
      </c>
      <c r="BX251" s="99" t="s">
        <v>52</v>
      </c>
      <c r="BY251" s="99" t="s">
        <v>52</v>
      </c>
      <c r="BZ251" s="99" t="s">
        <v>52</v>
      </c>
      <c r="CA251" s="99" t="s">
        <v>52</v>
      </c>
      <c r="CB251" s="99" t="s">
        <v>52</v>
      </c>
    </row>
    <row r="252" spans="1:80" s="401" customFormat="1" x14ac:dyDescent="0.3">
      <c r="A252" s="993">
        <v>591</v>
      </c>
      <c r="B252" s="1000">
        <v>591</v>
      </c>
      <c r="C252" s="1020">
        <v>591</v>
      </c>
      <c r="D252" s="998" t="s">
        <v>375</v>
      </c>
      <c r="E252" s="1011">
        <v>34403264</v>
      </c>
      <c r="F252" s="1012"/>
      <c r="BH252" s="401">
        <v>0</v>
      </c>
      <c r="BI252" s="401">
        <v>1435080</v>
      </c>
      <c r="BJ252" s="401">
        <v>893146</v>
      </c>
      <c r="BK252" s="401">
        <v>0</v>
      </c>
      <c r="BL252" s="401">
        <v>9491340</v>
      </c>
      <c r="BM252" s="401">
        <v>1817940</v>
      </c>
      <c r="BN252" s="401">
        <v>0</v>
      </c>
      <c r="BO252" s="401">
        <v>3978631</v>
      </c>
      <c r="BP252" s="401">
        <v>971216</v>
      </c>
      <c r="BQ252" s="401">
        <v>840373</v>
      </c>
      <c r="BR252" s="401">
        <v>1326355</v>
      </c>
      <c r="BS252" s="401">
        <v>0</v>
      </c>
      <c r="BT252" s="401">
        <v>0</v>
      </c>
      <c r="BU252" s="401">
        <v>975277</v>
      </c>
      <c r="BV252" s="401">
        <v>2655874</v>
      </c>
      <c r="BW252" s="401">
        <v>590683</v>
      </c>
      <c r="BX252" s="401">
        <v>1359151</v>
      </c>
      <c r="BY252" s="401">
        <v>0</v>
      </c>
      <c r="BZ252" s="401">
        <v>0</v>
      </c>
      <c r="CA252" s="401">
        <v>7298336</v>
      </c>
      <c r="CB252" s="401">
        <v>0</v>
      </c>
    </row>
    <row r="253" spans="1:80" s="401" customFormat="1" x14ac:dyDescent="0.3">
      <c r="A253" s="993">
        <v>592</v>
      </c>
      <c r="B253" s="1000">
        <v>592</v>
      </c>
      <c r="C253" s="1000">
        <v>592</v>
      </c>
      <c r="D253" s="998" t="s">
        <v>376</v>
      </c>
      <c r="E253" s="1011">
        <v>11794</v>
      </c>
      <c r="F253" s="1012"/>
      <c r="BH253" s="401">
        <v>0</v>
      </c>
      <c r="BI253" s="401">
        <v>217225</v>
      </c>
      <c r="BJ253" s="401">
        <v>131142</v>
      </c>
      <c r="BK253" s="401">
        <v>0</v>
      </c>
      <c r="BL253" s="401">
        <v>927449</v>
      </c>
      <c r="BM253" s="401">
        <v>223201</v>
      </c>
      <c r="BN253" s="401">
        <v>0</v>
      </c>
      <c r="BO253" s="401">
        <v>-364243</v>
      </c>
      <c r="BP253" s="401">
        <v>247720</v>
      </c>
      <c r="BQ253" s="401">
        <v>-136759</v>
      </c>
      <c r="BR253" s="401">
        <v>-1475913</v>
      </c>
      <c r="BS253" s="401">
        <v>0</v>
      </c>
      <c r="BT253" s="401">
        <v>0</v>
      </c>
      <c r="BU253" s="401">
        <v>-164984</v>
      </c>
      <c r="BV253" s="401">
        <v>-21398</v>
      </c>
      <c r="BW253" s="401">
        <v>866377</v>
      </c>
      <c r="BX253" s="401">
        <v>-856853</v>
      </c>
      <c r="BY253" s="401">
        <v>0</v>
      </c>
      <c r="BZ253" s="401">
        <v>0</v>
      </c>
      <c r="CA253" s="401">
        <v>5854413</v>
      </c>
      <c r="CB253" s="401">
        <v>0</v>
      </c>
    </row>
    <row r="254" spans="1:80" s="401" customFormat="1" ht="115.2" x14ac:dyDescent="0.3">
      <c r="A254" s="993">
        <v>595</v>
      </c>
      <c r="B254" s="993"/>
      <c r="C254" s="1007">
        <v>595</v>
      </c>
      <c r="D254" s="998" t="s">
        <v>1472</v>
      </c>
      <c r="E254" s="1011"/>
      <c r="F254" s="1012"/>
    </row>
    <row r="255" spans="1:80" s="401" customFormat="1" x14ac:dyDescent="0.3">
      <c r="A255" s="1021">
        <v>596</v>
      </c>
      <c r="B255" s="1000"/>
      <c r="C255" s="993">
        <v>596</v>
      </c>
      <c r="D255" s="1022" t="s">
        <v>382</v>
      </c>
      <c r="E255" s="1011">
        <v>0</v>
      </c>
      <c r="F255" s="1012"/>
      <c r="BH255" s="401">
        <v>52</v>
      </c>
      <c r="BI255" s="401">
        <v>52</v>
      </c>
      <c r="BJ255" s="401">
        <v>52</v>
      </c>
      <c r="BK255" s="401">
        <v>0</v>
      </c>
      <c r="BL255" s="401">
        <v>52</v>
      </c>
      <c r="BM255" s="401">
        <v>52</v>
      </c>
      <c r="BN255" s="401">
        <v>52</v>
      </c>
      <c r="BO255" s="401">
        <v>52</v>
      </c>
      <c r="BP255" s="401">
        <v>52</v>
      </c>
      <c r="BQ255" s="401">
        <v>52</v>
      </c>
      <c r="BR255" s="401">
        <v>52</v>
      </c>
      <c r="BS255" s="401">
        <v>52</v>
      </c>
      <c r="BT255" s="401">
        <v>52</v>
      </c>
      <c r="BU255" s="401">
        <v>52</v>
      </c>
      <c r="BV255" s="401">
        <v>52</v>
      </c>
      <c r="BW255" s="401">
        <v>52</v>
      </c>
      <c r="BX255" s="401">
        <v>52</v>
      </c>
      <c r="BY255" s="401">
        <v>52</v>
      </c>
      <c r="BZ255" s="401">
        <v>0</v>
      </c>
      <c r="CA255" s="401">
        <v>52</v>
      </c>
      <c r="CB255" s="401">
        <v>52</v>
      </c>
    </row>
    <row r="256" spans="1:80" s="401" customFormat="1" x14ac:dyDescent="0.3">
      <c r="A256" s="1021">
        <v>597</v>
      </c>
      <c r="B256" s="1000"/>
      <c r="C256" s="1018">
        <v>597</v>
      </c>
      <c r="D256" s="1018" t="s">
        <v>421</v>
      </c>
      <c r="E256" s="1011"/>
      <c r="F256" s="1012"/>
      <c r="BH256" s="401">
        <v>465</v>
      </c>
      <c r="BI256" s="401">
        <v>35397</v>
      </c>
      <c r="BJ256" s="401">
        <v>82734</v>
      </c>
      <c r="BK256" s="401">
        <v>0</v>
      </c>
      <c r="BL256" s="401">
        <v>0</v>
      </c>
      <c r="BM256" s="401">
        <v>127606</v>
      </c>
      <c r="BN256" s="401">
        <v>1105</v>
      </c>
      <c r="BO256" s="401">
        <v>24388</v>
      </c>
      <c r="BP256" s="401">
        <v>80237</v>
      </c>
      <c r="BQ256" s="401">
        <v>5176</v>
      </c>
      <c r="BR256" s="401">
        <v>23757</v>
      </c>
      <c r="BS256" s="401">
        <v>11060</v>
      </c>
      <c r="BT256" s="401">
        <v>234247</v>
      </c>
      <c r="BU256" s="401">
        <v>0</v>
      </c>
      <c r="BV256" s="401">
        <v>59179</v>
      </c>
      <c r="BW256" s="401">
        <v>0</v>
      </c>
      <c r="BX256" s="401">
        <v>13202</v>
      </c>
      <c r="BY256" s="401">
        <v>1730</v>
      </c>
      <c r="BZ256" s="401">
        <v>1418</v>
      </c>
      <c r="CA256" s="401">
        <v>242315</v>
      </c>
      <c r="CB256" s="401">
        <v>506</v>
      </c>
    </row>
    <row r="257" spans="1:80" s="401" customFormat="1" x14ac:dyDescent="0.3">
      <c r="A257" s="1021" t="s">
        <v>834</v>
      </c>
      <c r="B257" s="1000"/>
      <c r="C257" s="1018"/>
      <c r="D257" s="1018" t="s">
        <v>834</v>
      </c>
      <c r="E257" s="1011"/>
      <c r="F257" s="1012"/>
    </row>
    <row r="258" spans="1:80" s="401" customFormat="1" x14ac:dyDescent="0.3">
      <c r="A258" s="993">
        <v>598</v>
      </c>
      <c r="B258" s="1000">
        <v>598</v>
      </c>
      <c r="C258" s="1023">
        <v>598</v>
      </c>
      <c r="D258" s="1024" t="s">
        <v>334</v>
      </c>
      <c r="E258" s="1011">
        <v>0</v>
      </c>
      <c r="F258" s="1012"/>
      <c r="BH258" s="401">
        <v>0</v>
      </c>
      <c r="BI258" s="401">
        <v>21458</v>
      </c>
      <c r="BJ258" s="401">
        <v>30429</v>
      </c>
      <c r="BK258" s="401">
        <v>0</v>
      </c>
      <c r="BL258" s="401">
        <v>9228</v>
      </c>
      <c r="BM258" s="401">
        <v>15779</v>
      </c>
      <c r="BN258" s="401">
        <v>0</v>
      </c>
      <c r="BO258" s="401">
        <v>53234</v>
      </c>
      <c r="BP258" s="401">
        <v>0</v>
      </c>
      <c r="BQ258" s="401">
        <v>0</v>
      </c>
      <c r="BR258" s="401">
        <v>0</v>
      </c>
      <c r="BS258" s="401">
        <v>0</v>
      </c>
      <c r="BT258" s="401">
        <v>97803</v>
      </c>
      <c r="BU258" s="401">
        <v>12379</v>
      </c>
      <c r="BV258" s="401">
        <v>13197</v>
      </c>
      <c r="BW258" s="401">
        <v>0</v>
      </c>
      <c r="BX258" s="401">
        <v>0</v>
      </c>
      <c r="BY258" s="401">
        <v>0</v>
      </c>
      <c r="BZ258" s="401">
        <v>0</v>
      </c>
      <c r="CA258" s="401">
        <v>0</v>
      </c>
      <c r="CB258" s="401">
        <v>0</v>
      </c>
    </row>
    <row r="259" spans="1:80" s="401" customFormat="1" ht="28.8" x14ac:dyDescent="0.3">
      <c r="A259" s="993">
        <v>599</v>
      </c>
      <c r="B259" s="1000">
        <v>599</v>
      </c>
      <c r="C259" s="1023">
        <v>599</v>
      </c>
      <c r="D259" s="1025" t="s">
        <v>1466</v>
      </c>
      <c r="E259" s="1011">
        <v>0</v>
      </c>
      <c r="F259" s="1012"/>
      <c r="BH259" s="401">
        <v>0</v>
      </c>
      <c r="BI259" s="401">
        <v>388699</v>
      </c>
      <c r="BJ259" s="401">
        <v>441720</v>
      </c>
      <c r="BK259" s="401">
        <v>0</v>
      </c>
      <c r="BL259" s="401">
        <v>402237</v>
      </c>
      <c r="BM259" s="401">
        <v>260077</v>
      </c>
      <c r="BN259" s="401">
        <v>0</v>
      </c>
      <c r="BO259" s="401">
        <v>728793</v>
      </c>
      <c r="BP259" s="401">
        <v>73272</v>
      </c>
      <c r="BQ259" s="401">
        <v>68824</v>
      </c>
      <c r="BR259" s="401">
        <v>247319</v>
      </c>
      <c r="BS259" s="401">
        <v>0</v>
      </c>
      <c r="BT259" s="401">
        <v>2473471</v>
      </c>
      <c r="BU259" s="401">
        <v>174958</v>
      </c>
      <c r="BV259" s="401">
        <v>449498</v>
      </c>
      <c r="BW259" s="401">
        <v>28522</v>
      </c>
      <c r="BX259" s="401">
        <v>0</v>
      </c>
      <c r="BY259" s="401">
        <v>0</v>
      </c>
      <c r="BZ259" s="401">
        <v>0</v>
      </c>
      <c r="CA259" s="401">
        <v>802190</v>
      </c>
      <c r="CB259" s="401">
        <v>0</v>
      </c>
    </row>
    <row r="260" spans="1:80" s="401" customFormat="1" ht="100.8" x14ac:dyDescent="0.3">
      <c r="A260" s="1006">
        <v>600</v>
      </c>
      <c r="B260" s="1006"/>
      <c r="C260" s="1026">
        <v>600</v>
      </c>
      <c r="D260" s="1027" t="s">
        <v>600</v>
      </c>
      <c r="E260" s="1015"/>
      <c r="F260" s="1012"/>
    </row>
    <row r="261" spans="1:80" s="401" customFormat="1" ht="187.2" x14ac:dyDescent="0.3">
      <c r="A261" s="1006">
        <v>601</v>
      </c>
      <c r="B261" s="1006"/>
      <c r="C261" s="1028">
        <v>601</v>
      </c>
      <c r="D261" s="1027" t="s">
        <v>601</v>
      </c>
      <c r="E261" s="1015"/>
      <c r="F261" s="1012"/>
    </row>
    <row r="262" spans="1:80" s="401" customFormat="1" ht="28.8" x14ac:dyDescent="0.3">
      <c r="A262" s="993">
        <v>602</v>
      </c>
      <c r="B262" s="1000">
        <v>602</v>
      </c>
      <c r="C262" s="1023">
        <v>602</v>
      </c>
      <c r="D262" s="1029" t="s">
        <v>336</v>
      </c>
      <c r="E262" s="1011">
        <v>0</v>
      </c>
      <c r="F262" s="1012"/>
      <c r="BH262" s="401">
        <v>0</v>
      </c>
      <c r="BI262" s="401">
        <v>0</v>
      </c>
      <c r="BJ262" s="401">
        <v>0</v>
      </c>
      <c r="BK262" s="401">
        <v>0</v>
      </c>
      <c r="BL262" s="401">
        <v>0</v>
      </c>
      <c r="BM262" s="401">
        <v>0</v>
      </c>
      <c r="BN262" s="401">
        <v>0</v>
      </c>
      <c r="BO262" s="401">
        <v>0</v>
      </c>
      <c r="BP262" s="401">
        <v>0</v>
      </c>
      <c r="BQ262" s="401">
        <v>0</v>
      </c>
      <c r="BR262" s="401">
        <v>0</v>
      </c>
      <c r="BS262" s="401">
        <v>0</v>
      </c>
      <c r="BT262" s="401">
        <v>0</v>
      </c>
      <c r="BU262" s="401">
        <v>0</v>
      </c>
      <c r="BV262" s="401">
        <v>0</v>
      </c>
      <c r="BW262" s="401">
        <v>0</v>
      </c>
      <c r="BX262" s="401">
        <v>0</v>
      </c>
      <c r="BY262" s="401">
        <v>0</v>
      </c>
      <c r="BZ262" s="401">
        <v>0</v>
      </c>
      <c r="CA262" s="401">
        <v>0</v>
      </c>
      <c r="CB262" s="401">
        <v>0</v>
      </c>
    </row>
    <row r="263" spans="1:80" s="401" customFormat="1" ht="158.4" x14ac:dyDescent="0.3">
      <c r="A263" s="993">
        <v>603</v>
      </c>
      <c r="B263" s="1000"/>
      <c r="C263" s="1030">
        <v>603</v>
      </c>
      <c r="D263" s="1031" t="s">
        <v>430</v>
      </c>
      <c r="E263" s="1011"/>
      <c r="F263" s="1012"/>
    </row>
    <row r="264" spans="1:80" s="401" customFormat="1" ht="115.2" x14ac:dyDescent="0.3">
      <c r="A264" s="993">
        <v>604</v>
      </c>
      <c r="B264" s="1000"/>
      <c r="C264" s="1032">
        <v>604</v>
      </c>
      <c r="D264" s="1033" t="s">
        <v>431</v>
      </c>
      <c r="E264" s="1011"/>
      <c r="F264" s="1012"/>
      <c r="BH264" s="401">
        <v>0</v>
      </c>
      <c r="BI264" s="401">
        <v>0</v>
      </c>
      <c r="BJ264" s="401">
        <v>0</v>
      </c>
      <c r="BK264" s="401">
        <v>0</v>
      </c>
      <c r="BL264" s="401">
        <v>0</v>
      </c>
      <c r="BM264" s="401">
        <v>0</v>
      </c>
      <c r="BN264" s="401">
        <v>0</v>
      </c>
      <c r="BO264" s="401">
        <v>0</v>
      </c>
      <c r="BP264" s="401">
        <v>0</v>
      </c>
      <c r="BQ264" s="401">
        <v>0</v>
      </c>
      <c r="BR264" s="401">
        <v>0</v>
      </c>
      <c r="BS264" s="401">
        <v>0</v>
      </c>
      <c r="BT264" s="401">
        <v>0</v>
      </c>
      <c r="BU264" s="401">
        <v>0</v>
      </c>
      <c r="BV264" s="401">
        <v>0</v>
      </c>
      <c r="BW264" s="401">
        <v>0</v>
      </c>
      <c r="BX264" s="401">
        <v>0</v>
      </c>
      <c r="BY264" s="401">
        <v>0</v>
      </c>
      <c r="BZ264" s="401">
        <v>0</v>
      </c>
      <c r="CA264" s="401">
        <v>0</v>
      </c>
      <c r="CB264" s="401">
        <v>0</v>
      </c>
    </row>
    <row r="265" spans="1:80" s="401" customFormat="1" ht="28.8" x14ac:dyDescent="0.3">
      <c r="A265" s="993">
        <v>605</v>
      </c>
      <c r="B265" s="1000"/>
      <c r="C265" s="1032">
        <v>605</v>
      </c>
      <c r="D265" s="1033" t="s">
        <v>433</v>
      </c>
      <c r="E265" s="1011">
        <v>0</v>
      </c>
      <c r="F265" s="1012"/>
      <c r="BH265" s="401">
        <v>0</v>
      </c>
      <c r="BI265" s="401">
        <v>0</v>
      </c>
      <c r="BJ265" s="401">
        <v>0</v>
      </c>
      <c r="BK265" s="401">
        <v>0</v>
      </c>
      <c r="BL265" s="401">
        <v>0</v>
      </c>
      <c r="BM265" s="401">
        <v>0</v>
      </c>
      <c r="BN265" s="401">
        <v>0</v>
      </c>
      <c r="BO265" s="401">
        <v>0</v>
      </c>
      <c r="BP265" s="401">
        <v>0</v>
      </c>
      <c r="BQ265" s="401">
        <v>0</v>
      </c>
      <c r="BR265" s="401">
        <v>0</v>
      </c>
      <c r="BS265" s="401">
        <v>0</v>
      </c>
      <c r="BT265" s="401">
        <v>0</v>
      </c>
      <c r="BU265" s="401">
        <v>0</v>
      </c>
      <c r="BV265" s="401">
        <v>0</v>
      </c>
      <c r="BW265" s="401">
        <v>0</v>
      </c>
      <c r="BX265" s="401">
        <v>0</v>
      </c>
      <c r="BY265" s="401">
        <v>0</v>
      </c>
      <c r="BZ265" s="401">
        <v>0</v>
      </c>
      <c r="CA265" s="401">
        <v>0</v>
      </c>
      <c r="CB265" s="401">
        <v>0</v>
      </c>
    </row>
    <row r="266" spans="1:80" s="401" customFormat="1" ht="28.8" x14ac:dyDescent="0.3">
      <c r="A266" s="993">
        <v>606</v>
      </c>
      <c r="B266" s="1000">
        <v>606</v>
      </c>
      <c r="C266" s="1032">
        <v>606</v>
      </c>
      <c r="D266" s="1034" t="s">
        <v>446</v>
      </c>
      <c r="E266" s="1011">
        <v>0</v>
      </c>
      <c r="F266" s="993">
        <v>606</v>
      </c>
      <c r="BH266" s="401">
        <v>0</v>
      </c>
      <c r="BI266" s="401">
        <v>0</v>
      </c>
      <c r="BJ266" s="401">
        <v>0</v>
      </c>
      <c r="BK266" s="401">
        <v>0</v>
      </c>
      <c r="BL266" s="401">
        <v>0</v>
      </c>
      <c r="BM266" s="401">
        <v>0</v>
      </c>
      <c r="BN266" s="401">
        <v>0</v>
      </c>
      <c r="BO266" s="401">
        <v>1</v>
      </c>
      <c r="BP266" s="401">
        <v>0</v>
      </c>
      <c r="BQ266" s="401">
        <v>0</v>
      </c>
      <c r="BR266" s="401">
        <v>0</v>
      </c>
      <c r="BS266" s="401">
        <v>0</v>
      </c>
      <c r="BT266" s="401">
        <v>1</v>
      </c>
      <c r="BU266" s="401">
        <v>0</v>
      </c>
      <c r="BV266" s="401">
        <v>0</v>
      </c>
      <c r="BW266" s="401">
        <v>1</v>
      </c>
      <c r="BX266" s="401">
        <v>0</v>
      </c>
      <c r="BY266" s="401">
        <v>0</v>
      </c>
      <c r="BZ266" s="401">
        <v>0</v>
      </c>
      <c r="CA266" s="401">
        <v>1</v>
      </c>
      <c r="CB266" s="401">
        <v>0</v>
      </c>
    </row>
    <row r="267" spans="1:80" s="401" customFormat="1" x14ac:dyDescent="0.3">
      <c r="A267" s="993">
        <v>607</v>
      </c>
      <c r="B267" s="1000"/>
      <c r="C267" s="1032">
        <v>607</v>
      </c>
      <c r="D267" s="1033" t="s">
        <v>423</v>
      </c>
      <c r="E267" s="1011">
        <v>0</v>
      </c>
      <c r="F267" s="993"/>
      <c r="BH267" s="401">
        <v>0</v>
      </c>
      <c r="BI267" s="401">
        <v>0</v>
      </c>
      <c r="BJ267" s="401">
        <v>0</v>
      </c>
      <c r="BK267" s="401">
        <v>0</v>
      </c>
      <c r="BL267" s="401">
        <v>0</v>
      </c>
      <c r="BM267" s="401">
        <v>0</v>
      </c>
      <c r="BN267" s="401">
        <v>0</v>
      </c>
      <c r="BO267" s="401">
        <v>0</v>
      </c>
      <c r="BP267" s="401">
        <v>0</v>
      </c>
      <c r="BQ267" s="401">
        <v>0</v>
      </c>
      <c r="BR267" s="401">
        <v>0</v>
      </c>
      <c r="BS267" s="401">
        <v>0</v>
      </c>
      <c r="BT267" s="401">
        <v>0</v>
      </c>
      <c r="BU267" s="401">
        <v>0</v>
      </c>
      <c r="BV267" s="401">
        <v>0</v>
      </c>
      <c r="BW267" s="401">
        <v>0</v>
      </c>
      <c r="BX267" s="401">
        <v>0</v>
      </c>
      <c r="BY267" s="401">
        <v>0</v>
      </c>
      <c r="BZ267" s="401">
        <v>0</v>
      </c>
      <c r="CA267" s="401">
        <v>0</v>
      </c>
      <c r="CB267" s="401">
        <v>0</v>
      </c>
    </row>
    <row r="268" spans="1:80" s="401" customFormat="1" ht="28.8" x14ac:dyDescent="0.3">
      <c r="A268" s="993">
        <v>608</v>
      </c>
      <c r="B268" s="1000"/>
      <c r="C268" s="1032">
        <v>608</v>
      </c>
      <c r="D268" s="1033" t="s">
        <v>424</v>
      </c>
      <c r="E268" s="1011">
        <v>0</v>
      </c>
      <c r="F268" s="993"/>
      <c r="BH268" s="401">
        <v>0</v>
      </c>
      <c r="BI268" s="401">
        <v>0</v>
      </c>
      <c r="BJ268" s="401">
        <v>0</v>
      </c>
      <c r="BK268" s="401">
        <v>0</v>
      </c>
      <c r="BL268" s="401">
        <v>0</v>
      </c>
      <c r="BM268" s="401">
        <v>0</v>
      </c>
      <c r="BN268" s="401">
        <v>0</v>
      </c>
      <c r="BO268" s="401">
        <v>0</v>
      </c>
      <c r="BP268" s="401">
        <v>0</v>
      </c>
      <c r="BQ268" s="401">
        <v>0</v>
      </c>
      <c r="BR268" s="401">
        <v>0</v>
      </c>
      <c r="BS268" s="401">
        <v>0</v>
      </c>
      <c r="BT268" s="401">
        <v>0</v>
      </c>
      <c r="BU268" s="401">
        <v>0</v>
      </c>
      <c r="BV268" s="401">
        <v>0</v>
      </c>
      <c r="BW268" s="401">
        <v>0</v>
      </c>
      <c r="BX268" s="401">
        <v>0</v>
      </c>
      <c r="BY268" s="401">
        <v>0</v>
      </c>
      <c r="BZ268" s="401">
        <v>0</v>
      </c>
      <c r="CA268" s="401">
        <v>0</v>
      </c>
      <c r="CB268" s="401">
        <v>0</v>
      </c>
    </row>
    <row r="269" spans="1:80" s="401" customFormat="1" ht="28.8" x14ac:dyDescent="0.3">
      <c r="A269" s="993">
        <v>609</v>
      </c>
      <c r="B269" s="1000"/>
      <c r="C269" s="1032">
        <v>609</v>
      </c>
      <c r="D269" s="1033" t="s">
        <v>1473</v>
      </c>
      <c r="E269" s="1035">
        <v>0</v>
      </c>
      <c r="F269" s="993"/>
      <c r="BH269" s="401">
        <v>0</v>
      </c>
      <c r="BI269" s="401">
        <v>0</v>
      </c>
      <c r="BJ269" s="401">
        <v>0</v>
      </c>
      <c r="BK269" s="401">
        <v>0</v>
      </c>
      <c r="BL269" s="401">
        <v>0</v>
      </c>
      <c r="BM269" s="401">
        <v>0</v>
      </c>
      <c r="BN269" s="401">
        <v>0</v>
      </c>
      <c r="BO269" s="401">
        <v>0</v>
      </c>
      <c r="BP269" s="401">
        <v>0</v>
      </c>
      <c r="BQ269" s="401">
        <v>0</v>
      </c>
      <c r="BR269" s="401">
        <v>0</v>
      </c>
      <c r="BS269" s="401">
        <v>0</v>
      </c>
      <c r="BT269" s="401">
        <v>0</v>
      </c>
      <c r="BU269" s="401">
        <v>0</v>
      </c>
      <c r="BV269" s="401">
        <v>0</v>
      </c>
      <c r="BW269" s="401">
        <v>0</v>
      </c>
      <c r="BX269" s="401">
        <v>0</v>
      </c>
      <c r="BY269" s="401">
        <v>0</v>
      </c>
      <c r="BZ269" s="401">
        <v>0</v>
      </c>
      <c r="CA269" s="401">
        <v>0</v>
      </c>
      <c r="CB269" s="401">
        <v>0</v>
      </c>
    </row>
    <row r="270" spans="1:80" s="401" customFormat="1" x14ac:dyDescent="0.3">
      <c r="A270" s="993">
        <v>610</v>
      </c>
      <c r="B270" s="1000"/>
      <c r="C270" s="1032">
        <v>610</v>
      </c>
      <c r="D270" s="1033" t="s">
        <v>425</v>
      </c>
      <c r="E270" s="1011">
        <v>0</v>
      </c>
      <c r="F270" s="993"/>
      <c r="BH270" s="401">
        <v>0</v>
      </c>
      <c r="BI270" s="401">
        <v>0</v>
      </c>
      <c r="BJ270" s="401">
        <v>0</v>
      </c>
      <c r="BK270" s="401">
        <v>0</v>
      </c>
      <c r="BL270" s="401">
        <v>0</v>
      </c>
      <c r="BM270" s="401">
        <v>0</v>
      </c>
      <c r="BN270" s="401">
        <v>0</v>
      </c>
      <c r="BO270" s="401">
        <v>0</v>
      </c>
      <c r="BP270" s="401">
        <v>0</v>
      </c>
      <c r="BQ270" s="401">
        <v>0</v>
      </c>
      <c r="BR270" s="401">
        <v>0</v>
      </c>
      <c r="BS270" s="401">
        <v>0</v>
      </c>
      <c r="BT270" s="401">
        <v>0</v>
      </c>
      <c r="BU270" s="401">
        <v>0</v>
      </c>
      <c r="BV270" s="401">
        <v>0</v>
      </c>
      <c r="BW270" s="401">
        <v>0</v>
      </c>
      <c r="BX270" s="401">
        <v>0</v>
      </c>
      <c r="BY270" s="401">
        <v>0</v>
      </c>
      <c r="BZ270" s="401">
        <v>0</v>
      </c>
      <c r="CA270" s="401">
        <v>0</v>
      </c>
      <c r="CB270" s="401">
        <v>0</v>
      </c>
    </row>
    <row r="271" spans="1:80" s="401" customFormat="1" ht="28.8" x14ac:dyDescent="0.3">
      <c r="A271" s="993">
        <v>611</v>
      </c>
      <c r="B271" s="1000"/>
      <c r="C271" s="1032">
        <v>611</v>
      </c>
      <c r="D271" s="1033" t="s">
        <v>426</v>
      </c>
      <c r="E271" s="1011">
        <v>0</v>
      </c>
      <c r="F271" s="993"/>
      <c r="BH271" s="401">
        <v>0</v>
      </c>
      <c r="BI271" s="401">
        <v>0</v>
      </c>
      <c r="BJ271" s="401">
        <v>0</v>
      </c>
      <c r="BK271" s="401">
        <v>0</v>
      </c>
      <c r="BL271" s="401">
        <v>0</v>
      </c>
      <c r="BM271" s="401">
        <v>0</v>
      </c>
      <c r="BN271" s="401">
        <v>0</v>
      </c>
      <c r="BO271" s="401">
        <v>0</v>
      </c>
      <c r="BP271" s="401">
        <v>0</v>
      </c>
      <c r="BQ271" s="401">
        <v>0</v>
      </c>
      <c r="BR271" s="401">
        <v>0</v>
      </c>
      <c r="BS271" s="401">
        <v>0</v>
      </c>
      <c r="BT271" s="401">
        <v>0</v>
      </c>
      <c r="BU271" s="401">
        <v>0</v>
      </c>
      <c r="BV271" s="401">
        <v>0</v>
      </c>
      <c r="BW271" s="401">
        <v>0</v>
      </c>
      <c r="BX271" s="401">
        <v>0</v>
      </c>
      <c r="BY271" s="401">
        <v>0</v>
      </c>
      <c r="BZ271" s="401">
        <v>0</v>
      </c>
      <c r="CA271" s="401">
        <v>0</v>
      </c>
      <c r="CB271" s="401">
        <v>0</v>
      </c>
    </row>
    <row r="272" spans="1:80" s="401" customFormat="1" ht="28.8" x14ac:dyDescent="0.3">
      <c r="A272" s="993">
        <v>612</v>
      </c>
      <c r="B272" s="1000"/>
      <c r="C272" s="1032">
        <v>612</v>
      </c>
      <c r="D272" s="1033" t="s">
        <v>1474</v>
      </c>
      <c r="E272" s="1035">
        <v>0</v>
      </c>
      <c r="F272" s="993"/>
      <c r="BH272" s="401">
        <v>0</v>
      </c>
      <c r="BI272" s="401">
        <v>0</v>
      </c>
      <c r="BJ272" s="401">
        <v>0</v>
      </c>
      <c r="BK272" s="401">
        <v>0</v>
      </c>
      <c r="BL272" s="401">
        <v>0</v>
      </c>
      <c r="BM272" s="401">
        <v>0</v>
      </c>
      <c r="BN272" s="401">
        <v>0</v>
      </c>
      <c r="BO272" s="401">
        <v>0</v>
      </c>
      <c r="BP272" s="401">
        <v>0</v>
      </c>
      <c r="BQ272" s="401">
        <v>0</v>
      </c>
      <c r="BR272" s="401">
        <v>0</v>
      </c>
      <c r="BS272" s="401">
        <v>0</v>
      </c>
      <c r="BT272" s="401">
        <v>0</v>
      </c>
      <c r="BU272" s="401">
        <v>0</v>
      </c>
      <c r="BV272" s="401">
        <v>0</v>
      </c>
      <c r="BW272" s="401">
        <v>0</v>
      </c>
      <c r="BX272" s="401">
        <v>0</v>
      </c>
      <c r="BY272" s="401">
        <v>0</v>
      </c>
      <c r="BZ272" s="401">
        <v>0</v>
      </c>
      <c r="CA272" s="401">
        <v>0</v>
      </c>
      <c r="CB272" s="401">
        <v>0</v>
      </c>
    </row>
    <row r="273" spans="1:80" s="401" customFormat="1" x14ac:dyDescent="0.3">
      <c r="A273" s="993">
        <v>613</v>
      </c>
      <c r="B273" s="1000"/>
      <c r="C273" s="1032">
        <v>613</v>
      </c>
      <c r="D273" s="1033" t="s">
        <v>434</v>
      </c>
      <c r="E273" s="1011">
        <v>0</v>
      </c>
      <c r="BH273" s="401">
        <v>0</v>
      </c>
      <c r="BI273" s="401">
        <v>0</v>
      </c>
      <c r="BJ273" s="401">
        <v>0</v>
      </c>
      <c r="BK273" s="401">
        <v>0</v>
      </c>
      <c r="BL273" s="401">
        <v>0</v>
      </c>
      <c r="BM273" s="401">
        <v>0</v>
      </c>
      <c r="BN273" s="401">
        <v>0</v>
      </c>
      <c r="BO273" s="401">
        <v>0</v>
      </c>
      <c r="BP273" s="401">
        <v>0</v>
      </c>
      <c r="BQ273" s="401">
        <v>0</v>
      </c>
      <c r="BR273" s="401">
        <v>0</v>
      </c>
      <c r="BS273" s="401">
        <v>0</v>
      </c>
      <c r="BT273" s="401">
        <v>0</v>
      </c>
      <c r="BU273" s="401">
        <v>0</v>
      </c>
      <c r="BV273" s="401">
        <v>0</v>
      </c>
      <c r="BW273" s="401">
        <v>0</v>
      </c>
      <c r="BX273" s="401">
        <v>0</v>
      </c>
      <c r="BY273" s="401">
        <v>0</v>
      </c>
      <c r="BZ273" s="401">
        <v>0</v>
      </c>
      <c r="CA273" s="401">
        <v>0</v>
      </c>
      <c r="CB273" s="401">
        <v>0</v>
      </c>
    </row>
    <row r="274" spans="1:80" s="401" customFormat="1" ht="28.8" x14ac:dyDescent="0.3">
      <c r="A274" s="993">
        <v>614</v>
      </c>
      <c r="B274" s="1000"/>
      <c r="C274" s="1032">
        <v>614</v>
      </c>
      <c r="D274" s="1033" t="s">
        <v>427</v>
      </c>
      <c r="E274" s="1011">
        <v>0</v>
      </c>
      <c r="BH274" s="401">
        <v>0</v>
      </c>
      <c r="BI274" s="401">
        <v>0</v>
      </c>
      <c r="BJ274" s="401">
        <v>0</v>
      </c>
      <c r="BK274" s="401">
        <v>0</v>
      </c>
      <c r="BL274" s="401">
        <v>0</v>
      </c>
      <c r="BM274" s="401">
        <v>0</v>
      </c>
      <c r="BN274" s="401">
        <v>0</v>
      </c>
      <c r="BO274" s="401">
        <v>0</v>
      </c>
      <c r="BP274" s="401">
        <v>0</v>
      </c>
      <c r="BQ274" s="401">
        <v>0</v>
      </c>
      <c r="BR274" s="401">
        <v>0</v>
      </c>
      <c r="BS274" s="401">
        <v>0</v>
      </c>
      <c r="BT274" s="401">
        <v>0</v>
      </c>
      <c r="BU274" s="401">
        <v>0</v>
      </c>
      <c r="BV274" s="401">
        <v>0</v>
      </c>
      <c r="BW274" s="401">
        <v>0</v>
      </c>
      <c r="BX274" s="401">
        <v>0</v>
      </c>
      <c r="BY274" s="401">
        <v>0</v>
      </c>
      <c r="BZ274" s="401">
        <v>0</v>
      </c>
      <c r="CA274" s="401">
        <v>0</v>
      </c>
      <c r="CB274" s="401">
        <v>0</v>
      </c>
    </row>
    <row r="275" spans="1:80" s="401" customFormat="1" ht="28.8" x14ac:dyDescent="0.3">
      <c r="A275" s="993">
        <v>615</v>
      </c>
      <c r="B275" s="1000"/>
      <c r="C275" s="1032">
        <v>615</v>
      </c>
      <c r="D275" s="1033" t="s">
        <v>1475</v>
      </c>
      <c r="E275" s="1035">
        <v>0</v>
      </c>
      <c r="BH275" s="401">
        <v>0</v>
      </c>
      <c r="BI275" s="401">
        <v>0</v>
      </c>
      <c r="BJ275" s="401">
        <v>0</v>
      </c>
      <c r="BK275" s="401">
        <v>0</v>
      </c>
      <c r="BL275" s="401">
        <v>0</v>
      </c>
      <c r="BM275" s="401">
        <v>0</v>
      </c>
      <c r="BN275" s="401">
        <v>0</v>
      </c>
      <c r="BO275" s="401">
        <v>0</v>
      </c>
      <c r="BP275" s="401">
        <v>0</v>
      </c>
      <c r="BQ275" s="401">
        <v>0</v>
      </c>
      <c r="BR275" s="401">
        <v>0</v>
      </c>
      <c r="BS275" s="401">
        <v>0</v>
      </c>
      <c r="BT275" s="401">
        <v>0</v>
      </c>
      <c r="BU275" s="401">
        <v>0</v>
      </c>
      <c r="BV275" s="401">
        <v>0</v>
      </c>
      <c r="BW275" s="401">
        <v>0</v>
      </c>
      <c r="BX275" s="401">
        <v>0</v>
      </c>
      <c r="BY275" s="401">
        <v>0</v>
      </c>
      <c r="BZ275" s="401">
        <v>0</v>
      </c>
      <c r="CA275" s="401">
        <v>0</v>
      </c>
      <c r="CB275" s="401">
        <v>0</v>
      </c>
    </row>
    <row r="276" spans="1:80" s="401" customFormat="1" x14ac:dyDescent="0.3">
      <c r="A276" s="993">
        <v>616</v>
      </c>
      <c r="B276" s="1000"/>
      <c r="C276" s="1032">
        <v>616</v>
      </c>
      <c r="D276" s="1033" t="s">
        <v>428</v>
      </c>
      <c r="E276" s="1011">
        <v>0</v>
      </c>
      <c r="BH276" s="401">
        <v>0</v>
      </c>
      <c r="BI276" s="401">
        <v>0</v>
      </c>
      <c r="BJ276" s="401">
        <v>0</v>
      </c>
      <c r="BK276" s="401">
        <v>0</v>
      </c>
      <c r="BL276" s="401">
        <v>0</v>
      </c>
      <c r="BM276" s="401">
        <v>0</v>
      </c>
      <c r="BN276" s="401">
        <v>0</v>
      </c>
      <c r="BO276" s="401">
        <v>0</v>
      </c>
      <c r="BP276" s="401">
        <v>0</v>
      </c>
      <c r="BQ276" s="401">
        <v>0</v>
      </c>
      <c r="BR276" s="401">
        <v>0</v>
      </c>
      <c r="BS276" s="401">
        <v>0</v>
      </c>
      <c r="BT276" s="401">
        <v>0</v>
      </c>
      <c r="BU276" s="401">
        <v>0</v>
      </c>
      <c r="BV276" s="401">
        <v>0</v>
      </c>
      <c r="BW276" s="401">
        <v>0</v>
      </c>
      <c r="BX276" s="401">
        <v>0</v>
      </c>
      <c r="BY276" s="401">
        <v>0</v>
      </c>
      <c r="BZ276" s="401">
        <v>0</v>
      </c>
      <c r="CA276" s="401">
        <v>0</v>
      </c>
      <c r="CB276" s="401">
        <v>0</v>
      </c>
    </row>
    <row r="277" spans="1:80" s="401" customFormat="1" ht="28.8" x14ac:dyDescent="0.3">
      <c r="A277" s="993">
        <v>617</v>
      </c>
      <c r="B277" s="1000"/>
      <c r="C277" s="1032">
        <v>617</v>
      </c>
      <c r="D277" s="1033" t="s">
        <v>429</v>
      </c>
      <c r="E277" s="1011">
        <v>0</v>
      </c>
      <c r="BH277" s="401">
        <v>0</v>
      </c>
      <c r="BI277" s="401">
        <v>0</v>
      </c>
      <c r="BJ277" s="401">
        <v>0</v>
      </c>
      <c r="BK277" s="401">
        <v>0</v>
      </c>
      <c r="BL277" s="401">
        <v>0</v>
      </c>
      <c r="BM277" s="401">
        <v>0</v>
      </c>
      <c r="BN277" s="401">
        <v>0</v>
      </c>
      <c r="BO277" s="401">
        <v>0</v>
      </c>
      <c r="BP277" s="401">
        <v>0</v>
      </c>
      <c r="BQ277" s="401">
        <v>0</v>
      </c>
      <c r="BR277" s="401">
        <v>0</v>
      </c>
      <c r="BS277" s="401">
        <v>0</v>
      </c>
      <c r="BT277" s="401">
        <v>0</v>
      </c>
      <c r="BU277" s="401">
        <v>0</v>
      </c>
      <c r="BV277" s="401">
        <v>0</v>
      </c>
      <c r="BW277" s="401">
        <v>0</v>
      </c>
      <c r="BX277" s="401">
        <v>0</v>
      </c>
      <c r="BY277" s="401">
        <v>0</v>
      </c>
      <c r="BZ277" s="401">
        <v>0</v>
      </c>
      <c r="CA277" s="401">
        <v>0</v>
      </c>
      <c r="CB277" s="401">
        <v>0</v>
      </c>
    </row>
    <row r="278" spans="1:80" s="401" customFormat="1" ht="28.8" x14ac:dyDescent="0.3">
      <c r="A278" s="993">
        <v>618</v>
      </c>
      <c r="B278" s="1000"/>
      <c r="C278" s="1032">
        <v>618</v>
      </c>
      <c r="D278" s="1033" t="s">
        <v>1476</v>
      </c>
      <c r="E278" s="1035">
        <v>0</v>
      </c>
      <c r="BH278" s="401">
        <v>0</v>
      </c>
      <c r="BI278" s="401">
        <v>0</v>
      </c>
      <c r="BJ278" s="401">
        <v>0</v>
      </c>
      <c r="BK278" s="401">
        <v>0</v>
      </c>
      <c r="BL278" s="401">
        <v>0</v>
      </c>
      <c r="BM278" s="401">
        <v>0</v>
      </c>
      <c r="BN278" s="401">
        <v>0</v>
      </c>
      <c r="BO278" s="401">
        <v>0</v>
      </c>
      <c r="BP278" s="401">
        <v>0</v>
      </c>
      <c r="BQ278" s="401">
        <v>0</v>
      </c>
      <c r="BR278" s="401">
        <v>0</v>
      </c>
      <c r="BS278" s="401">
        <v>0</v>
      </c>
      <c r="BT278" s="401">
        <v>0</v>
      </c>
      <c r="BU278" s="401">
        <v>0</v>
      </c>
      <c r="BV278" s="401">
        <v>0</v>
      </c>
      <c r="BW278" s="401">
        <v>0</v>
      </c>
      <c r="BX278" s="401">
        <v>0</v>
      </c>
      <c r="BY278" s="401">
        <v>0</v>
      </c>
      <c r="BZ278" s="401">
        <v>0</v>
      </c>
      <c r="CA278" s="401">
        <v>0</v>
      </c>
      <c r="CB278" s="401">
        <v>0</v>
      </c>
    </row>
    <row r="279" spans="1:80" s="401" customFormat="1" ht="28.8" x14ac:dyDescent="0.3">
      <c r="A279" s="993">
        <v>619</v>
      </c>
      <c r="B279" s="1000"/>
      <c r="C279" s="1032">
        <v>619</v>
      </c>
      <c r="D279" s="1033" t="s">
        <v>444</v>
      </c>
      <c r="E279" s="1035">
        <v>0</v>
      </c>
      <c r="BH279" s="401">
        <v>0</v>
      </c>
      <c r="BI279" s="401">
        <v>0</v>
      </c>
      <c r="BJ279" s="401">
        <v>0</v>
      </c>
      <c r="BK279" s="401">
        <v>0</v>
      </c>
      <c r="BL279" s="401">
        <v>0</v>
      </c>
      <c r="BM279" s="401">
        <v>0</v>
      </c>
      <c r="BN279" s="401">
        <v>0</v>
      </c>
      <c r="BO279" s="401">
        <v>0</v>
      </c>
      <c r="BP279" s="401">
        <v>0</v>
      </c>
      <c r="BQ279" s="401">
        <v>0</v>
      </c>
      <c r="BR279" s="401">
        <v>0</v>
      </c>
      <c r="BS279" s="401">
        <v>0</v>
      </c>
      <c r="BT279" s="401">
        <v>0</v>
      </c>
      <c r="BU279" s="401">
        <v>0</v>
      </c>
      <c r="BV279" s="401">
        <v>0</v>
      </c>
      <c r="BW279" s="401">
        <v>0</v>
      </c>
      <c r="BX279" s="401">
        <v>0</v>
      </c>
      <c r="BY279" s="401">
        <v>0</v>
      </c>
      <c r="BZ279" s="401">
        <v>0</v>
      </c>
      <c r="CA279" s="401">
        <v>0</v>
      </c>
      <c r="CB279" s="401">
        <v>0</v>
      </c>
    </row>
    <row r="280" spans="1:80" s="401" customFormat="1" ht="57.6" x14ac:dyDescent="0.3">
      <c r="A280" s="993">
        <v>620</v>
      </c>
      <c r="B280" s="1000">
        <v>620</v>
      </c>
      <c r="C280" s="1032">
        <v>620</v>
      </c>
      <c r="D280" s="1033" t="s">
        <v>438</v>
      </c>
      <c r="E280" s="1011">
        <v>2</v>
      </c>
      <c r="BH280" s="401">
        <v>2</v>
      </c>
      <c r="BI280" s="401">
        <v>2</v>
      </c>
      <c r="BJ280" s="401">
        <v>2</v>
      </c>
      <c r="BK280" s="401">
        <v>0</v>
      </c>
      <c r="BL280" s="401">
        <v>2</v>
      </c>
      <c r="BM280" s="401">
        <v>2</v>
      </c>
      <c r="BN280" s="401">
        <v>2</v>
      </c>
      <c r="BO280" s="401">
        <v>2</v>
      </c>
      <c r="BP280" s="401">
        <v>2</v>
      </c>
      <c r="BQ280" s="401">
        <v>2</v>
      </c>
      <c r="BR280" s="401">
        <v>2</v>
      </c>
      <c r="BS280" s="401">
        <v>2</v>
      </c>
      <c r="BT280" s="401">
        <v>2</v>
      </c>
      <c r="BU280" s="401">
        <v>1</v>
      </c>
      <c r="BV280" s="401">
        <v>2</v>
      </c>
      <c r="BW280" s="401">
        <v>2</v>
      </c>
      <c r="BX280" s="401">
        <v>2</v>
      </c>
      <c r="BY280" s="401">
        <v>2</v>
      </c>
      <c r="BZ280" s="401">
        <v>2</v>
      </c>
      <c r="CA280" s="401">
        <v>1</v>
      </c>
      <c r="CB280" s="401">
        <v>2</v>
      </c>
    </row>
    <row r="281" spans="1:80" s="401" customFormat="1" x14ac:dyDescent="0.3">
      <c r="A281" s="993">
        <v>621</v>
      </c>
      <c r="B281" s="1000"/>
      <c r="C281" s="1018">
        <v>621</v>
      </c>
      <c r="D281" s="1018" t="s">
        <v>449</v>
      </c>
      <c r="E281" s="1011"/>
      <c r="BH281" s="401">
        <v>0</v>
      </c>
      <c r="BI281" s="401">
        <v>0</v>
      </c>
      <c r="BJ281" s="401">
        <v>0</v>
      </c>
      <c r="BK281" s="401">
        <v>0</v>
      </c>
      <c r="BL281" s="401">
        <v>0</v>
      </c>
      <c r="BM281" s="401">
        <v>0</v>
      </c>
      <c r="BN281" s="401">
        <v>0</v>
      </c>
      <c r="BO281" s="401">
        <v>0</v>
      </c>
      <c r="BP281" s="401">
        <v>0</v>
      </c>
      <c r="BQ281" s="401">
        <v>0</v>
      </c>
      <c r="BR281" s="401">
        <v>0</v>
      </c>
      <c r="BS281" s="401">
        <v>0</v>
      </c>
      <c r="BT281" s="401">
        <v>0</v>
      </c>
      <c r="BU281" s="401">
        <v>0</v>
      </c>
      <c r="BV281" s="401">
        <v>0</v>
      </c>
      <c r="BW281" s="401">
        <v>0</v>
      </c>
      <c r="BX281" s="401">
        <v>0</v>
      </c>
      <c r="BY281" s="401">
        <v>0</v>
      </c>
      <c r="BZ281" s="401">
        <v>0</v>
      </c>
      <c r="CA281" s="401">
        <v>0</v>
      </c>
      <c r="CB281" s="401">
        <v>0</v>
      </c>
    </row>
    <row r="282" spans="1:80" s="401" customFormat="1" x14ac:dyDescent="0.3">
      <c r="A282" s="993">
        <v>622</v>
      </c>
      <c r="B282" s="1000">
        <v>622</v>
      </c>
      <c r="C282" s="993">
        <v>622</v>
      </c>
      <c r="D282" s="993" t="s">
        <v>454</v>
      </c>
      <c r="E282" s="1011">
        <v>6733407</v>
      </c>
      <c r="BH282" s="401">
        <v>0</v>
      </c>
      <c r="BI282" s="401">
        <v>585237</v>
      </c>
      <c r="BJ282" s="401">
        <v>406361</v>
      </c>
      <c r="BK282" s="401">
        <v>0</v>
      </c>
      <c r="BL282" s="401">
        <v>1037477</v>
      </c>
      <c r="BM282" s="401">
        <v>689012</v>
      </c>
      <c r="BN282" s="401">
        <v>0</v>
      </c>
      <c r="BO282" s="401">
        <v>1551984</v>
      </c>
      <c r="BP282" s="401">
        <v>0</v>
      </c>
      <c r="BQ282" s="401">
        <v>179695</v>
      </c>
      <c r="BR282" s="401">
        <v>383695</v>
      </c>
      <c r="BS282" s="401">
        <v>99679</v>
      </c>
      <c r="BT282" s="401">
        <v>3554568</v>
      </c>
      <c r="BU282" s="401">
        <v>288385</v>
      </c>
      <c r="BV282" s="401">
        <v>566120</v>
      </c>
      <c r="BW282" s="401">
        <v>135223</v>
      </c>
      <c r="BX282" s="401">
        <v>44514</v>
      </c>
      <c r="BY282" s="401">
        <v>0</v>
      </c>
      <c r="BZ282" s="401">
        <v>0</v>
      </c>
      <c r="CA282" s="401">
        <v>3055629</v>
      </c>
      <c r="CB282" s="401">
        <v>0</v>
      </c>
    </row>
    <row r="283" spans="1:80" s="401" customFormat="1" x14ac:dyDescent="0.3">
      <c r="A283" s="993">
        <v>624</v>
      </c>
      <c r="B283" s="1000"/>
      <c r="C283" s="1018">
        <v>624</v>
      </c>
      <c r="D283" s="1018" t="s">
        <v>453</v>
      </c>
      <c r="E283" s="1011"/>
      <c r="BH283" s="401">
        <v>1</v>
      </c>
      <c r="BI283" s="401">
        <v>2</v>
      </c>
      <c r="BJ283" s="401">
        <v>2</v>
      </c>
      <c r="BK283" s="401">
        <v>0</v>
      </c>
      <c r="BL283" s="401">
        <v>1</v>
      </c>
      <c r="BM283" s="401">
        <v>2</v>
      </c>
      <c r="BN283" s="401">
        <v>2</v>
      </c>
      <c r="BO283" s="401">
        <v>1</v>
      </c>
      <c r="BP283" s="401">
        <v>2</v>
      </c>
      <c r="BQ283" s="401">
        <v>2</v>
      </c>
      <c r="BR283" s="401">
        <v>1</v>
      </c>
      <c r="BS283" s="401">
        <v>1</v>
      </c>
      <c r="BT283" s="401">
        <v>2</v>
      </c>
      <c r="BU283" s="401">
        <v>2</v>
      </c>
      <c r="BV283" s="401">
        <v>2</v>
      </c>
      <c r="BW283" s="401">
        <v>1</v>
      </c>
      <c r="BX283" s="401">
        <v>1</v>
      </c>
      <c r="BY283" s="401">
        <v>1</v>
      </c>
      <c r="BZ283" s="401">
        <v>2</v>
      </c>
      <c r="CA283" s="401">
        <v>1</v>
      </c>
      <c r="CB283" s="401">
        <v>2</v>
      </c>
    </row>
    <row r="284" spans="1:80" s="401" customFormat="1" ht="100.8" x14ac:dyDescent="0.3">
      <c r="A284" s="993">
        <v>625</v>
      </c>
      <c r="B284" s="1000"/>
      <c r="C284" s="993">
        <v>625</v>
      </c>
      <c r="D284" s="994" t="s">
        <v>547</v>
      </c>
      <c r="E284" s="1011">
        <v>0</v>
      </c>
      <c r="BH284" s="401">
        <v>0</v>
      </c>
      <c r="BI284" s="401">
        <v>0</v>
      </c>
      <c r="BJ284" s="401">
        <v>0</v>
      </c>
      <c r="BK284" s="401">
        <v>0</v>
      </c>
      <c r="BL284" s="401">
        <v>0</v>
      </c>
      <c r="BM284" s="401">
        <v>0</v>
      </c>
      <c r="BN284" s="401">
        <v>0</v>
      </c>
      <c r="BO284" s="401">
        <v>0</v>
      </c>
      <c r="BP284" s="401">
        <v>0</v>
      </c>
      <c r="BQ284" s="401">
        <v>0</v>
      </c>
      <c r="BR284" s="401">
        <v>0</v>
      </c>
      <c r="BS284" s="401">
        <v>0</v>
      </c>
      <c r="BT284" s="401">
        <v>0</v>
      </c>
      <c r="BU284" s="401">
        <v>0</v>
      </c>
      <c r="BV284" s="401">
        <v>0</v>
      </c>
      <c r="BW284" s="401">
        <v>0</v>
      </c>
      <c r="BX284" s="401">
        <v>0</v>
      </c>
      <c r="BY284" s="401">
        <v>0</v>
      </c>
      <c r="BZ284" s="401">
        <v>0</v>
      </c>
      <c r="CA284" s="401">
        <v>0</v>
      </c>
      <c r="CB284" s="401">
        <v>0</v>
      </c>
    </row>
    <row r="285" spans="1:80" s="401" customFormat="1" ht="28.8" x14ac:dyDescent="0.3">
      <c r="A285" s="993">
        <v>626</v>
      </c>
      <c r="B285" s="1036">
        <v>626</v>
      </c>
      <c r="C285" s="1036">
        <v>626</v>
      </c>
      <c r="D285" s="1037" t="s">
        <v>473</v>
      </c>
      <c r="E285" s="1038">
        <v>0</v>
      </c>
      <c r="BH285" s="401">
        <v>2267</v>
      </c>
      <c r="BI285" s="401">
        <v>44854</v>
      </c>
      <c r="BJ285" s="401">
        <v>152121</v>
      </c>
      <c r="BK285" s="401">
        <v>0</v>
      </c>
      <c r="BL285" s="401">
        <v>415927</v>
      </c>
      <c r="BM285" s="401">
        <v>125885</v>
      </c>
      <c r="BN285" s="401">
        <v>0</v>
      </c>
      <c r="BO285" s="401">
        <v>1230368</v>
      </c>
      <c r="BP285" s="401">
        <v>436910</v>
      </c>
      <c r="BQ285" s="401">
        <v>19990</v>
      </c>
      <c r="BR285" s="401">
        <v>8180</v>
      </c>
      <c r="BS285" s="401">
        <v>48831</v>
      </c>
      <c r="BT285" s="401">
        <v>3846102</v>
      </c>
      <c r="BU285" s="401">
        <v>119598</v>
      </c>
      <c r="BV285" s="401">
        <v>3801367</v>
      </c>
      <c r="BW285" s="401">
        <v>141784</v>
      </c>
      <c r="BX285" s="401">
        <v>11908</v>
      </c>
      <c r="BY285" s="401">
        <v>0</v>
      </c>
      <c r="BZ285" s="401">
        <v>0</v>
      </c>
      <c r="CA285" s="401">
        <v>4101712</v>
      </c>
      <c r="CB285" s="401">
        <v>2665</v>
      </c>
    </row>
    <row r="286" spans="1:80" s="401" customFormat="1" x14ac:dyDescent="0.3">
      <c r="A286" s="993">
        <v>627</v>
      </c>
      <c r="B286" s="1036">
        <v>627</v>
      </c>
      <c r="C286" s="1036">
        <v>627</v>
      </c>
      <c r="D286" s="1037" t="s">
        <v>465</v>
      </c>
      <c r="E286" s="1038">
        <v>0</v>
      </c>
      <c r="BH286" s="401">
        <v>0</v>
      </c>
      <c r="BI286" s="401">
        <v>0</v>
      </c>
      <c r="BJ286" s="401">
        <v>0</v>
      </c>
      <c r="BK286" s="401">
        <v>0</v>
      </c>
      <c r="BL286" s="401">
        <v>0</v>
      </c>
      <c r="BM286" s="401">
        <v>0</v>
      </c>
      <c r="BN286" s="401">
        <v>0</v>
      </c>
      <c r="BO286" s="401">
        <v>0</v>
      </c>
      <c r="BP286" s="401">
        <v>0</v>
      </c>
      <c r="BQ286" s="401">
        <v>0</v>
      </c>
      <c r="BR286" s="401">
        <v>0</v>
      </c>
      <c r="BS286" s="401">
        <v>0</v>
      </c>
      <c r="BT286" s="401">
        <v>0</v>
      </c>
      <c r="BU286" s="401">
        <v>0</v>
      </c>
      <c r="BV286" s="401">
        <v>0</v>
      </c>
      <c r="BW286" s="401">
        <v>79977</v>
      </c>
      <c r="BX286" s="401">
        <v>0</v>
      </c>
      <c r="BY286" s="401">
        <v>0</v>
      </c>
      <c r="BZ286" s="401">
        <v>0</v>
      </c>
      <c r="CA286" s="401">
        <v>0</v>
      </c>
      <c r="CB286" s="401">
        <v>0</v>
      </c>
    </row>
    <row r="287" spans="1:80" s="401" customFormat="1" ht="28.8" x14ac:dyDescent="0.3">
      <c r="A287" s="993">
        <v>628</v>
      </c>
      <c r="B287" s="1036">
        <v>628</v>
      </c>
      <c r="C287" s="1036">
        <v>628</v>
      </c>
      <c r="D287" s="1037" t="s">
        <v>470</v>
      </c>
      <c r="E287" s="1038">
        <v>0</v>
      </c>
      <c r="BH287" s="401">
        <v>0</v>
      </c>
      <c r="BI287" s="401">
        <v>0</v>
      </c>
      <c r="BJ287" s="401">
        <v>50998</v>
      </c>
      <c r="BK287" s="401">
        <v>0</v>
      </c>
      <c r="BL287" s="401">
        <v>77281</v>
      </c>
      <c r="BM287" s="401">
        <v>28454</v>
      </c>
      <c r="BN287" s="401">
        <v>0</v>
      </c>
      <c r="BO287" s="401">
        <v>185200</v>
      </c>
      <c r="BP287" s="401">
        <v>44837</v>
      </c>
      <c r="BQ287" s="401">
        <v>10598</v>
      </c>
      <c r="BR287" s="401">
        <v>0</v>
      </c>
      <c r="BS287" s="401">
        <v>4884</v>
      </c>
      <c r="BT287" s="401">
        <v>61408</v>
      </c>
      <c r="BU287" s="401">
        <v>0</v>
      </c>
      <c r="BV287" s="401">
        <v>98077</v>
      </c>
      <c r="BW287" s="401">
        <v>5000</v>
      </c>
      <c r="BX287" s="401">
        <v>0</v>
      </c>
      <c r="BY287" s="401">
        <v>0</v>
      </c>
      <c r="BZ287" s="401">
        <v>0</v>
      </c>
      <c r="CA287" s="401">
        <v>433810</v>
      </c>
      <c r="CB287" s="401">
        <v>0</v>
      </c>
    </row>
    <row r="288" spans="1:80" s="401" customFormat="1" x14ac:dyDescent="0.3">
      <c r="A288" s="993">
        <v>629</v>
      </c>
      <c r="B288" s="1036">
        <v>629</v>
      </c>
      <c r="C288" s="1036">
        <v>629</v>
      </c>
      <c r="D288" s="1037" t="s">
        <v>469</v>
      </c>
      <c r="E288" s="1038">
        <v>0</v>
      </c>
      <c r="BH288" s="401">
        <v>0</v>
      </c>
      <c r="BI288" s="401">
        <v>0</v>
      </c>
      <c r="BJ288" s="401">
        <v>0</v>
      </c>
      <c r="BK288" s="401">
        <v>0</v>
      </c>
      <c r="BL288" s="401">
        <v>0</v>
      </c>
      <c r="BM288" s="401">
        <v>0</v>
      </c>
      <c r="BN288" s="401">
        <v>0</v>
      </c>
      <c r="BO288" s="401">
        <v>0</v>
      </c>
      <c r="BP288" s="401">
        <v>0</v>
      </c>
      <c r="BQ288" s="401">
        <v>0</v>
      </c>
      <c r="BR288" s="401">
        <v>0</v>
      </c>
      <c r="BS288" s="401">
        <v>0</v>
      </c>
      <c r="BT288" s="401">
        <v>0</v>
      </c>
      <c r="BU288" s="401">
        <v>0</v>
      </c>
      <c r="BV288" s="401">
        <v>882005</v>
      </c>
      <c r="BW288" s="401">
        <v>0</v>
      </c>
      <c r="BX288" s="401">
        <v>0</v>
      </c>
      <c r="BY288" s="401">
        <v>0</v>
      </c>
      <c r="BZ288" s="401">
        <v>0</v>
      </c>
      <c r="CA288" s="401">
        <v>0</v>
      </c>
      <c r="CB288" s="401">
        <v>0</v>
      </c>
    </row>
    <row r="289" spans="1:80" s="401" customFormat="1" ht="28.8" x14ac:dyDescent="0.3">
      <c r="A289" s="993">
        <v>630</v>
      </c>
      <c r="B289" s="1036">
        <v>630</v>
      </c>
      <c r="C289" s="1036">
        <v>630</v>
      </c>
      <c r="D289" s="1037" t="s">
        <v>468</v>
      </c>
      <c r="E289" s="1038">
        <v>0</v>
      </c>
      <c r="BH289" s="401">
        <v>0</v>
      </c>
      <c r="BI289" s="401">
        <v>0</v>
      </c>
      <c r="BJ289" s="401">
        <v>22090</v>
      </c>
      <c r="BK289" s="401">
        <v>0</v>
      </c>
      <c r="BL289" s="401">
        <v>155</v>
      </c>
      <c r="BM289" s="401">
        <v>97431</v>
      </c>
      <c r="BN289" s="401">
        <v>0</v>
      </c>
      <c r="BO289" s="401">
        <v>7637</v>
      </c>
      <c r="BP289" s="401">
        <v>0</v>
      </c>
      <c r="BQ289" s="401">
        <v>0</v>
      </c>
      <c r="BR289" s="401">
        <v>0</v>
      </c>
      <c r="BS289" s="401">
        <v>33020</v>
      </c>
      <c r="BT289" s="401">
        <v>27755</v>
      </c>
      <c r="BU289" s="401">
        <v>0</v>
      </c>
      <c r="BV289" s="401">
        <v>0</v>
      </c>
      <c r="BW289" s="401">
        <v>0</v>
      </c>
      <c r="BX289" s="401">
        <v>0</v>
      </c>
      <c r="BY289" s="401">
        <v>0</v>
      </c>
      <c r="BZ289" s="401">
        <v>0</v>
      </c>
      <c r="CA289" s="401">
        <v>863078</v>
      </c>
      <c r="CB289" s="401">
        <v>0</v>
      </c>
    </row>
    <row r="290" spans="1:80" s="401" customFormat="1" x14ac:dyDescent="0.3">
      <c r="A290" s="993">
        <v>631</v>
      </c>
      <c r="B290" s="1036">
        <v>631</v>
      </c>
      <c r="C290" s="1036">
        <v>631</v>
      </c>
      <c r="D290" s="1037" t="s">
        <v>467</v>
      </c>
      <c r="E290" s="1038">
        <v>0</v>
      </c>
      <c r="BH290" s="401">
        <v>0</v>
      </c>
      <c r="BI290" s="401">
        <v>0</v>
      </c>
      <c r="BJ290" s="401">
        <v>0</v>
      </c>
      <c r="BK290" s="401">
        <v>0</v>
      </c>
      <c r="BL290" s="401">
        <v>0</v>
      </c>
      <c r="BM290" s="401">
        <v>0</v>
      </c>
      <c r="BN290" s="401">
        <v>0</v>
      </c>
      <c r="BO290" s="401">
        <v>0</v>
      </c>
      <c r="BP290" s="401">
        <v>0</v>
      </c>
      <c r="BQ290" s="401">
        <v>0</v>
      </c>
      <c r="BR290" s="401">
        <v>0</v>
      </c>
      <c r="BS290" s="401">
        <v>0</v>
      </c>
      <c r="BT290" s="401">
        <v>0</v>
      </c>
      <c r="BU290" s="401">
        <v>0</v>
      </c>
      <c r="BV290" s="401">
        <v>2749874</v>
      </c>
      <c r="BW290" s="401">
        <v>0</v>
      </c>
      <c r="BX290" s="401">
        <v>0</v>
      </c>
      <c r="BY290" s="401">
        <v>0</v>
      </c>
      <c r="BZ290" s="401">
        <v>0</v>
      </c>
      <c r="CA290" s="401">
        <v>0</v>
      </c>
      <c r="CB290" s="401">
        <v>0</v>
      </c>
    </row>
    <row r="291" spans="1:80" s="401" customFormat="1" x14ac:dyDescent="0.3">
      <c r="A291" s="993">
        <v>632</v>
      </c>
      <c r="B291" s="1036"/>
      <c r="C291" s="1036">
        <v>632</v>
      </c>
      <c r="D291" s="1037" t="s">
        <v>466</v>
      </c>
      <c r="E291" s="1038">
        <v>0</v>
      </c>
      <c r="BH291" s="401">
        <v>0</v>
      </c>
      <c r="BI291" s="401">
        <v>0</v>
      </c>
      <c r="BJ291" s="401">
        <v>0</v>
      </c>
      <c r="BK291" s="401">
        <v>0</v>
      </c>
      <c r="BL291" s="401">
        <v>0</v>
      </c>
      <c r="BM291" s="401">
        <v>0</v>
      </c>
      <c r="BN291" s="401">
        <v>0</v>
      </c>
      <c r="BO291" s="401">
        <v>0</v>
      </c>
      <c r="BP291" s="401">
        <v>0</v>
      </c>
      <c r="BQ291" s="401">
        <v>0</v>
      </c>
      <c r="BR291" s="401">
        <v>0</v>
      </c>
      <c r="BS291" s="401">
        <v>0</v>
      </c>
      <c r="BT291" s="401">
        <v>0</v>
      </c>
      <c r="BU291" s="401">
        <v>0</v>
      </c>
      <c r="BV291" s="401">
        <v>0</v>
      </c>
      <c r="BW291" s="401">
        <v>0</v>
      </c>
      <c r="BX291" s="401">
        <v>0</v>
      </c>
      <c r="BY291" s="401">
        <v>0</v>
      </c>
      <c r="BZ291" s="401">
        <v>0</v>
      </c>
      <c r="CA291" s="401">
        <v>0</v>
      </c>
      <c r="CB291" s="401">
        <v>0</v>
      </c>
    </row>
    <row r="292" spans="1:80" s="401" customFormat="1" ht="28.8" x14ac:dyDescent="0.3">
      <c r="A292" s="993">
        <v>633</v>
      </c>
      <c r="B292" s="1036"/>
      <c r="C292" s="1036">
        <v>633</v>
      </c>
      <c r="D292" s="1037" t="s">
        <v>474</v>
      </c>
      <c r="E292" s="1038">
        <v>0</v>
      </c>
      <c r="BH292" s="401">
        <v>0</v>
      </c>
      <c r="BI292" s="401">
        <v>359701</v>
      </c>
      <c r="BJ292" s="401">
        <v>223939</v>
      </c>
      <c r="BK292" s="401">
        <v>0</v>
      </c>
      <c r="BL292" s="401">
        <v>217836</v>
      </c>
      <c r="BM292" s="401">
        <v>285416</v>
      </c>
      <c r="BN292" s="401">
        <v>0</v>
      </c>
      <c r="BO292" s="401">
        <v>634947</v>
      </c>
      <c r="BP292" s="401">
        <v>226325</v>
      </c>
      <c r="BQ292" s="401">
        <v>63846</v>
      </c>
      <c r="BR292" s="401">
        <v>799399</v>
      </c>
      <c r="BS292" s="401">
        <v>0</v>
      </c>
      <c r="BT292" s="401">
        <v>0</v>
      </c>
      <c r="BU292" s="401">
        <v>121908</v>
      </c>
      <c r="BV292" s="401">
        <v>539022</v>
      </c>
      <c r="BW292" s="401">
        <v>686678</v>
      </c>
      <c r="BX292" s="401">
        <v>596266</v>
      </c>
      <c r="BY292" s="401">
        <v>0</v>
      </c>
      <c r="BZ292" s="401">
        <v>0</v>
      </c>
      <c r="CA292" s="401">
        <v>2053250</v>
      </c>
      <c r="CB292" s="401">
        <v>0</v>
      </c>
    </row>
    <row r="293" spans="1:80" s="401" customFormat="1" ht="28.8" x14ac:dyDescent="0.3">
      <c r="A293" s="993">
        <v>634</v>
      </c>
      <c r="B293" s="1036"/>
      <c r="C293" s="1036">
        <v>634</v>
      </c>
      <c r="D293" s="1037" t="s">
        <v>475</v>
      </c>
      <c r="E293" s="1038">
        <v>0</v>
      </c>
      <c r="BH293" s="401">
        <v>0</v>
      </c>
      <c r="BI293" s="401">
        <v>0</v>
      </c>
      <c r="BJ293" s="401">
        <v>0</v>
      </c>
      <c r="BK293" s="401">
        <v>0</v>
      </c>
      <c r="BL293" s="401">
        <v>0</v>
      </c>
      <c r="BM293" s="401">
        <v>36664</v>
      </c>
      <c r="BN293" s="401">
        <v>0</v>
      </c>
      <c r="BO293" s="401">
        <v>0</v>
      </c>
      <c r="BP293" s="401">
        <v>0</v>
      </c>
      <c r="BQ293" s="401">
        <v>0</v>
      </c>
      <c r="BR293" s="401">
        <v>0</v>
      </c>
      <c r="BS293" s="401">
        <v>0</v>
      </c>
      <c r="BT293" s="401">
        <v>0</v>
      </c>
      <c r="BU293" s="401">
        <v>0</v>
      </c>
      <c r="BV293" s="401">
        <v>0</v>
      </c>
      <c r="BW293" s="401">
        <v>567000</v>
      </c>
      <c r="BX293" s="401">
        <v>0</v>
      </c>
      <c r="BY293" s="401">
        <v>0</v>
      </c>
      <c r="BZ293" s="401">
        <v>0</v>
      </c>
      <c r="CA293" s="401">
        <v>0</v>
      </c>
      <c r="CB293" s="401">
        <v>0</v>
      </c>
    </row>
    <row r="294" spans="1:80" s="401" customFormat="1" ht="28.8" x14ac:dyDescent="0.3">
      <c r="A294" s="993">
        <v>635</v>
      </c>
      <c r="B294" s="1036"/>
      <c r="C294" s="1036">
        <v>635</v>
      </c>
      <c r="D294" s="1037" t="s">
        <v>476</v>
      </c>
      <c r="E294" s="1038">
        <v>0</v>
      </c>
      <c r="BH294" s="401">
        <v>0</v>
      </c>
      <c r="BI294" s="401">
        <v>0</v>
      </c>
      <c r="BJ294" s="401">
        <v>16822</v>
      </c>
      <c r="BK294" s="401">
        <v>0</v>
      </c>
      <c r="BL294" s="401">
        <v>13059</v>
      </c>
      <c r="BM294" s="401">
        <v>8158</v>
      </c>
      <c r="BN294" s="401">
        <v>0</v>
      </c>
      <c r="BO294" s="401">
        <v>30400</v>
      </c>
      <c r="BP294" s="401">
        <v>11509</v>
      </c>
      <c r="BQ294" s="401">
        <v>3523</v>
      </c>
      <c r="BR294" s="401">
        <v>0</v>
      </c>
      <c r="BS294" s="401">
        <v>0</v>
      </c>
      <c r="BT294" s="401">
        <v>0</v>
      </c>
      <c r="BU294" s="401">
        <v>0</v>
      </c>
      <c r="BV294" s="401">
        <v>50043</v>
      </c>
      <c r="BW294" s="401">
        <v>3000</v>
      </c>
      <c r="BX294" s="401">
        <v>0</v>
      </c>
      <c r="BY294" s="401">
        <v>0</v>
      </c>
      <c r="BZ294" s="401">
        <v>0</v>
      </c>
      <c r="CA294" s="401">
        <v>68558</v>
      </c>
      <c r="CB294" s="401">
        <v>0</v>
      </c>
    </row>
    <row r="295" spans="1:80" s="401" customFormat="1" ht="28.8" x14ac:dyDescent="0.3">
      <c r="A295" s="993">
        <v>636</v>
      </c>
      <c r="B295" s="1036"/>
      <c r="C295" s="1036">
        <v>636</v>
      </c>
      <c r="D295" s="1037" t="s">
        <v>471</v>
      </c>
      <c r="E295" s="1038">
        <v>0</v>
      </c>
      <c r="BH295" s="401">
        <v>0</v>
      </c>
      <c r="BI295" s="401">
        <v>0</v>
      </c>
      <c r="BJ295" s="401">
        <v>0</v>
      </c>
      <c r="BK295" s="401">
        <v>0</v>
      </c>
      <c r="BL295" s="401">
        <v>0</v>
      </c>
      <c r="BM295" s="401">
        <v>0</v>
      </c>
      <c r="BN295" s="401">
        <v>0</v>
      </c>
      <c r="BO295" s="401">
        <v>0</v>
      </c>
      <c r="BP295" s="401">
        <v>0</v>
      </c>
      <c r="BQ295" s="401">
        <v>0</v>
      </c>
      <c r="BR295" s="401">
        <v>0</v>
      </c>
      <c r="BS295" s="401">
        <v>0</v>
      </c>
      <c r="BT295" s="401">
        <v>0</v>
      </c>
      <c r="BU295" s="401">
        <v>0</v>
      </c>
      <c r="BV295" s="401">
        <v>193613</v>
      </c>
      <c r="BW295" s="401">
        <v>0</v>
      </c>
      <c r="BX295" s="401">
        <v>0</v>
      </c>
      <c r="BY295" s="401">
        <v>0</v>
      </c>
      <c r="BZ295" s="401">
        <v>0</v>
      </c>
      <c r="CA295" s="401">
        <v>0</v>
      </c>
      <c r="CB295" s="401">
        <v>0</v>
      </c>
    </row>
    <row r="296" spans="1:80" s="401" customFormat="1" ht="28.8" x14ac:dyDescent="0.3">
      <c r="A296" s="993">
        <v>637</v>
      </c>
      <c r="B296" s="1036"/>
      <c r="C296" s="1036">
        <v>637</v>
      </c>
      <c r="D296" s="1037" t="s">
        <v>472</v>
      </c>
      <c r="E296" s="1038">
        <v>0</v>
      </c>
      <c r="BH296" s="401">
        <v>0</v>
      </c>
      <c r="BI296" s="401">
        <v>0</v>
      </c>
      <c r="BJ296" s="401">
        <v>0</v>
      </c>
      <c r="BK296" s="401">
        <v>0</v>
      </c>
      <c r="BL296" s="401">
        <v>38980</v>
      </c>
      <c r="BM296" s="401">
        <v>57422</v>
      </c>
      <c r="BN296" s="401">
        <v>0</v>
      </c>
      <c r="BO296" s="401">
        <v>248740</v>
      </c>
      <c r="BP296" s="401">
        <v>0</v>
      </c>
      <c r="BQ296" s="401">
        <v>39450</v>
      </c>
      <c r="BR296" s="401">
        <v>64381</v>
      </c>
      <c r="BS296" s="401">
        <v>0</v>
      </c>
      <c r="BT296" s="401">
        <v>0</v>
      </c>
      <c r="BU296" s="401">
        <v>0</v>
      </c>
      <c r="BV296" s="401">
        <v>0</v>
      </c>
      <c r="BW296" s="401">
        <v>42761</v>
      </c>
      <c r="BX296" s="401">
        <v>26655</v>
      </c>
      <c r="BY296" s="401">
        <v>0</v>
      </c>
      <c r="BZ296" s="401">
        <v>0</v>
      </c>
      <c r="CA296" s="401">
        <v>602881</v>
      </c>
      <c r="CB296" s="401">
        <v>0</v>
      </c>
    </row>
    <row r="297" spans="1:80" s="401" customFormat="1" x14ac:dyDescent="0.3">
      <c r="A297" s="993">
        <v>638</v>
      </c>
      <c r="B297" s="1036"/>
      <c r="C297" s="1036">
        <v>638</v>
      </c>
      <c r="D297" s="1037" t="s">
        <v>477</v>
      </c>
      <c r="E297" s="1038">
        <v>0</v>
      </c>
      <c r="BH297" s="401">
        <v>0</v>
      </c>
      <c r="BI297" s="401">
        <v>0</v>
      </c>
      <c r="BJ297" s="401">
        <v>0</v>
      </c>
      <c r="BK297" s="401">
        <v>0</v>
      </c>
      <c r="BL297" s="401">
        <v>0</v>
      </c>
      <c r="BM297" s="401">
        <v>0</v>
      </c>
      <c r="BN297" s="401">
        <v>0</v>
      </c>
      <c r="BO297" s="401">
        <v>0</v>
      </c>
      <c r="BP297" s="401">
        <v>0</v>
      </c>
      <c r="BQ297" s="401">
        <v>0</v>
      </c>
      <c r="BR297" s="401">
        <v>0</v>
      </c>
      <c r="BS297" s="401">
        <v>0</v>
      </c>
      <c r="BT297" s="401">
        <v>0</v>
      </c>
      <c r="BU297" s="401">
        <v>0</v>
      </c>
      <c r="BV297" s="401">
        <v>0</v>
      </c>
      <c r="BW297" s="401">
        <v>0</v>
      </c>
      <c r="BX297" s="401">
        <v>0</v>
      </c>
      <c r="BY297" s="401">
        <v>0</v>
      </c>
      <c r="BZ297" s="401">
        <v>0</v>
      </c>
      <c r="CA297" s="401">
        <v>0</v>
      </c>
      <c r="CB297" s="401">
        <v>0</v>
      </c>
    </row>
    <row r="298" spans="1:80" s="401" customFormat="1" ht="28.8" x14ac:dyDescent="0.3">
      <c r="A298" s="993">
        <v>639</v>
      </c>
      <c r="B298" s="1036"/>
      <c r="C298" s="1036">
        <v>639</v>
      </c>
      <c r="D298" s="1037" t="s">
        <v>478</v>
      </c>
      <c r="E298" s="1038">
        <v>0</v>
      </c>
      <c r="BH298" s="401">
        <v>0</v>
      </c>
      <c r="BI298" s="401">
        <v>0</v>
      </c>
      <c r="BJ298" s="401">
        <v>0</v>
      </c>
      <c r="BK298" s="401">
        <v>0</v>
      </c>
      <c r="BL298" s="401">
        <v>192475</v>
      </c>
      <c r="BM298" s="401">
        <v>0</v>
      </c>
      <c r="BN298" s="401">
        <v>0</v>
      </c>
      <c r="BO298" s="401">
        <v>0</v>
      </c>
      <c r="BP298" s="401">
        <v>0</v>
      </c>
      <c r="BQ298" s="401">
        <v>0</v>
      </c>
      <c r="BR298" s="401">
        <v>0</v>
      </c>
      <c r="BS298" s="401">
        <v>0</v>
      </c>
      <c r="BT298" s="401">
        <v>0</v>
      </c>
      <c r="BU298" s="401">
        <v>0</v>
      </c>
      <c r="BV298" s="401">
        <v>0</v>
      </c>
      <c r="BW298" s="401">
        <v>0</v>
      </c>
      <c r="BX298" s="401">
        <v>0</v>
      </c>
      <c r="BY298" s="401">
        <v>0</v>
      </c>
      <c r="BZ298" s="401">
        <v>0</v>
      </c>
      <c r="CA298" s="401">
        <v>0</v>
      </c>
      <c r="CB298" s="401">
        <v>0</v>
      </c>
    </row>
    <row r="299" spans="1:80" s="401" customFormat="1" ht="28.8" x14ac:dyDescent="0.3">
      <c r="A299" s="993">
        <v>640</v>
      </c>
      <c r="B299" s="1036"/>
      <c r="C299" s="1036">
        <v>640</v>
      </c>
      <c r="D299" s="1037" t="s">
        <v>479</v>
      </c>
      <c r="E299" s="1038">
        <v>0</v>
      </c>
      <c r="BH299" s="401">
        <v>0</v>
      </c>
      <c r="BI299" s="401">
        <v>0</v>
      </c>
      <c r="BJ299" s="401">
        <v>0</v>
      </c>
      <c r="BK299" s="401">
        <v>0</v>
      </c>
      <c r="BL299" s="401">
        <v>0</v>
      </c>
      <c r="BM299" s="401">
        <v>0</v>
      </c>
      <c r="BN299" s="401">
        <v>0</v>
      </c>
      <c r="BO299" s="401">
        <v>0</v>
      </c>
      <c r="BP299" s="401">
        <v>0</v>
      </c>
      <c r="BQ299" s="401">
        <v>0</v>
      </c>
      <c r="BR299" s="401">
        <v>0</v>
      </c>
      <c r="BS299" s="401">
        <v>0</v>
      </c>
      <c r="BT299" s="401">
        <v>0</v>
      </c>
      <c r="BU299" s="401">
        <v>0</v>
      </c>
      <c r="BV299" s="401">
        <v>0</v>
      </c>
      <c r="BW299" s="401">
        <v>0</v>
      </c>
      <c r="BX299" s="401">
        <v>0</v>
      </c>
      <c r="BY299" s="401">
        <v>0</v>
      </c>
      <c r="BZ299" s="401">
        <v>0</v>
      </c>
      <c r="CA299" s="401">
        <v>0</v>
      </c>
      <c r="CB299" s="401">
        <v>0</v>
      </c>
    </row>
    <row r="300" spans="1:80" s="401" customFormat="1" ht="28.8" x14ac:dyDescent="0.3">
      <c r="A300" s="993">
        <v>641</v>
      </c>
      <c r="B300" s="1036"/>
      <c r="C300" s="1036">
        <v>641</v>
      </c>
      <c r="D300" s="1037" t="s">
        <v>480</v>
      </c>
      <c r="E300" s="1038">
        <v>0</v>
      </c>
      <c r="BH300" s="401">
        <v>0</v>
      </c>
      <c r="BI300" s="401">
        <v>0</v>
      </c>
      <c r="BJ300" s="401">
        <v>0</v>
      </c>
      <c r="BK300" s="401">
        <v>0</v>
      </c>
      <c r="BL300" s="401">
        <v>5319</v>
      </c>
      <c r="BM300" s="401">
        <v>0</v>
      </c>
      <c r="BN300" s="401">
        <v>0</v>
      </c>
      <c r="BO300" s="401">
        <v>0</v>
      </c>
      <c r="BP300" s="401">
        <v>0</v>
      </c>
      <c r="BQ300" s="401">
        <v>0</v>
      </c>
      <c r="BR300" s="401">
        <v>0</v>
      </c>
      <c r="BS300" s="401">
        <v>0</v>
      </c>
      <c r="BT300" s="401">
        <v>0</v>
      </c>
      <c r="BU300" s="401">
        <v>0</v>
      </c>
      <c r="BV300" s="401">
        <v>0</v>
      </c>
      <c r="BW300" s="401">
        <v>0</v>
      </c>
      <c r="BX300" s="401">
        <v>0</v>
      </c>
      <c r="BY300" s="401">
        <v>0</v>
      </c>
      <c r="BZ300" s="401">
        <v>0</v>
      </c>
      <c r="CA300" s="401">
        <v>0</v>
      </c>
      <c r="CB300" s="401">
        <v>0</v>
      </c>
    </row>
    <row r="301" spans="1:80" s="401" customFormat="1" ht="28.8" x14ac:dyDescent="0.3">
      <c r="A301" s="993">
        <v>642</v>
      </c>
      <c r="B301" s="1036"/>
      <c r="C301" s="1036">
        <v>642</v>
      </c>
      <c r="D301" s="1037" t="s">
        <v>481</v>
      </c>
      <c r="E301" s="1038">
        <v>0</v>
      </c>
      <c r="BH301" s="401">
        <v>0</v>
      </c>
      <c r="BI301" s="401">
        <v>0</v>
      </c>
      <c r="BJ301" s="401">
        <v>0</v>
      </c>
      <c r="BK301" s="401">
        <v>0</v>
      </c>
      <c r="BL301" s="401">
        <v>0</v>
      </c>
      <c r="BM301" s="401">
        <v>0</v>
      </c>
      <c r="BN301" s="401">
        <v>0</v>
      </c>
      <c r="BO301" s="401">
        <v>0</v>
      </c>
      <c r="BP301" s="401">
        <v>0</v>
      </c>
      <c r="BQ301" s="401">
        <v>0</v>
      </c>
      <c r="BR301" s="401">
        <v>0</v>
      </c>
      <c r="BS301" s="401">
        <v>0</v>
      </c>
      <c r="BT301" s="401">
        <v>0</v>
      </c>
      <c r="BU301" s="401">
        <v>0</v>
      </c>
      <c r="BV301" s="401">
        <v>0</v>
      </c>
      <c r="BW301" s="401">
        <v>0</v>
      </c>
      <c r="BX301" s="401">
        <v>0</v>
      </c>
      <c r="BY301" s="401">
        <v>0</v>
      </c>
      <c r="BZ301" s="401">
        <v>0</v>
      </c>
      <c r="CA301" s="401">
        <v>0</v>
      </c>
      <c r="CB301" s="401">
        <v>0</v>
      </c>
    </row>
    <row r="302" spans="1:80" s="401" customFormat="1" ht="28.8" x14ac:dyDescent="0.3">
      <c r="A302" s="993">
        <v>643</v>
      </c>
      <c r="B302" s="1036"/>
      <c r="C302" s="1036">
        <v>643</v>
      </c>
      <c r="D302" s="1037" t="s">
        <v>482</v>
      </c>
      <c r="E302" s="1038">
        <v>0</v>
      </c>
      <c r="BH302" s="401">
        <v>0</v>
      </c>
      <c r="BI302" s="401">
        <v>0</v>
      </c>
      <c r="BJ302" s="401">
        <v>0</v>
      </c>
      <c r="BK302" s="401">
        <v>0</v>
      </c>
      <c r="BL302" s="401">
        <v>126513</v>
      </c>
      <c r="BM302" s="401">
        <v>0</v>
      </c>
      <c r="BN302" s="401">
        <v>0</v>
      </c>
      <c r="BO302" s="401">
        <v>0</v>
      </c>
      <c r="BP302" s="401">
        <v>0</v>
      </c>
      <c r="BQ302" s="401">
        <v>0</v>
      </c>
      <c r="BR302" s="401">
        <v>0</v>
      </c>
      <c r="BS302" s="401">
        <v>0</v>
      </c>
      <c r="BT302" s="401">
        <v>0</v>
      </c>
      <c r="BU302" s="401">
        <v>0</v>
      </c>
      <c r="BV302" s="401">
        <v>0</v>
      </c>
      <c r="BW302" s="401">
        <v>0</v>
      </c>
      <c r="BX302" s="401">
        <v>0</v>
      </c>
      <c r="BY302" s="401">
        <v>0</v>
      </c>
      <c r="BZ302" s="401">
        <v>0</v>
      </c>
      <c r="CA302" s="401">
        <v>0</v>
      </c>
      <c r="CB302" s="401">
        <v>0</v>
      </c>
    </row>
    <row r="303" spans="1:80" s="401" customFormat="1" x14ac:dyDescent="0.3">
      <c r="A303" s="993">
        <v>644</v>
      </c>
      <c r="B303" s="1036"/>
      <c r="C303" s="1036">
        <v>644</v>
      </c>
      <c r="D303" s="1037" t="s">
        <v>483</v>
      </c>
      <c r="E303" s="1038">
        <v>0</v>
      </c>
      <c r="BH303" s="401">
        <v>0</v>
      </c>
      <c r="BI303" s="401">
        <v>0</v>
      </c>
      <c r="BJ303" s="401">
        <v>0</v>
      </c>
      <c r="BK303" s="401">
        <v>0</v>
      </c>
      <c r="BL303" s="401">
        <v>0</v>
      </c>
      <c r="BM303" s="401">
        <v>0</v>
      </c>
      <c r="BN303" s="401">
        <v>0</v>
      </c>
      <c r="BO303" s="401">
        <v>0</v>
      </c>
      <c r="BP303" s="401">
        <v>0</v>
      </c>
      <c r="BQ303" s="401">
        <v>0</v>
      </c>
      <c r="BR303" s="401">
        <v>0</v>
      </c>
      <c r="BS303" s="401">
        <v>0</v>
      </c>
      <c r="BT303" s="401">
        <v>0</v>
      </c>
      <c r="BU303" s="401">
        <v>0</v>
      </c>
      <c r="BV303" s="401">
        <v>0</v>
      </c>
      <c r="BW303" s="401">
        <v>0</v>
      </c>
      <c r="BX303" s="401">
        <v>0</v>
      </c>
      <c r="BY303" s="401">
        <v>0</v>
      </c>
      <c r="BZ303" s="401">
        <v>0</v>
      </c>
      <c r="CA303" s="401">
        <v>0</v>
      </c>
      <c r="CB303" s="401">
        <v>0</v>
      </c>
    </row>
    <row r="304" spans="1:80" s="401" customFormat="1" x14ac:dyDescent="0.3">
      <c r="A304" s="993">
        <v>645</v>
      </c>
      <c r="B304" s="1036"/>
      <c r="C304" s="1036">
        <v>645</v>
      </c>
      <c r="D304" s="1037" t="s">
        <v>484</v>
      </c>
      <c r="E304" s="1038">
        <v>0</v>
      </c>
      <c r="BH304" s="401">
        <v>0</v>
      </c>
      <c r="BI304" s="401">
        <v>38000</v>
      </c>
      <c r="BJ304" s="401">
        <v>72552</v>
      </c>
      <c r="BK304" s="401">
        <v>0</v>
      </c>
      <c r="BL304" s="401">
        <v>0</v>
      </c>
      <c r="BM304" s="401">
        <v>0</v>
      </c>
      <c r="BN304" s="401">
        <v>0</v>
      </c>
      <c r="BO304" s="401">
        <v>12534</v>
      </c>
      <c r="BP304" s="401">
        <v>125000</v>
      </c>
      <c r="BQ304" s="401">
        <v>510362</v>
      </c>
      <c r="BR304" s="401">
        <v>297313</v>
      </c>
      <c r="BS304" s="401">
        <v>796914</v>
      </c>
      <c r="BT304" s="401">
        <v>1159334</v>
      </c>
      <c r="BU304" s="401">
        <v>424000</v>
      </c>
      <c r="BV304" s="401">
        <v>0</v>
      </c>
      <c r="BW304" s="401">
        <v>0</v>
      </c>
      <c r="BX304" s="401">
        <v>0</v>
      </c>
      <c r="BY304" s="401">
        <v>0</v>
      </c>
      <c r="BZ304" s="401">
        <v>20000</v>
      </c>
      <c r="CA304" s="401">
        <v>1823718</v>
      </c>
      <c r="CB304" s="401">
        <v>0</v>
      </c>
    </row>
    <row r="305" spans="1:80" s="401" customFormat="1" x14ac:dyDescent="0.3">
      <c r="A305" s="993">
        <v>646</v>
      </c>
      <c r="B305" s="1036"/>
      <c r="C305" s="1036">
        <v>646</v>
      </c>
      <c r="D305" s="1037" t="s">
        <v>485</v>
      </c>
      <c r="E305" s="1038">
        <v>0</v>
      </c>
      <c r="F305" s="993"/>
      <c r="BH305" s="401">
        <v>0</v>
      </c>
      <c r="BI305" s="401">
        <v>2658780</v>
      </c>
      <c r="BJ305" s="401">
        <v>3020048</v>
      </c>
      <c r="BK305" s="401">
        <v>0</v>
      </c>
      <c r="BL305" s="401">
        <v>2220366</v>
      </c>
      <c r="BM305" s="401">
        <v>4615680</v>
      </c>
      <c r="BN305" s="401">
        <v>0</v>
      </c>
      <c r="BO305" s="401">
        <v>3063843</v>
      </c>
      <c r="BP305" s="401">
        <v>3228718</v>
      </c>
      <c r="BQ305" s="401">
        <v>949757</v>
      </c>
      <c r="BR305" s="401">
        <v>2228673</v>
      </c>
      <c r="BS305" s="401">
        <v>1095473</v>
      </c>
      <c r="BT305" s="401">
        <v>7320281</v>
      </c>
      <c r="BU305" s="401">
        <v>1683484</v>
      </c>
      <c r="BV305" s="401">
        <v>1472029</v>
      </c>
      <c r="BW305" s="401">
        <v>400799</v>
      </c>
      <c r="BX305" s="401">
        <v>761324</v>
      </c>
      <c r="BY305" s="401">
        <v>165153</v>
      </c>
      <c r="BZ305" s="401">
        <v>172770</v>
      </c>
      <c r="CA305" s="401">
        <v>10427779</v>
      </c>
      <c r="CB305" s="401">
        <v>94313</v>
      </c>
    </row>
    <row r="306" spans="1:80" s="401" customFormat="1" x14ac:dyDescent="0.3">
      <c r="A306" s="993">
        <v>647</v>
      </c>
      <c r="B306" s="1036"/>
      <c r="C306" s="1036">
        <v>647</v>
      </c>
      <c r="D306" s="1037" t="s">
        <v>486</v>
      </c>
      <c r="E306" s="1038">
        <v>0</v>
      </c>
      <c r="F306" s="993"/>
      <c r="BH306" s="401">
        <v>0</v>
      </c>
      <c r="BI306" s="401">
        <v>0</v>
      </c>
      <c r="BJ306" s="401">
        <v>0</v>
      </c>
      <c r="BK306" s="401">
        <v>0</v>
      </c>
      <c r="BL306" s="401">
        <v>0</v>
      </c>
      <c r="BM306" s="401">
        <v>0</v>
      </c>
      <c r="BN306" s="401">
        <v>0</v>
      </c>
      <c r="BO306" s="401">
        <v>0</v>
      </c>
      <c r="BP306" s="401">
        <v>0</v>
      </c>
      <c r="BQ306" s="401">
        <v>0</v>
      </c>
      <c r="BR306" s="401">
        <v>0</v>
      </c>
      <c r="BS306" s="401">
        <v>0</v>
      </c>
      <c r="BT306" s="401">
        <v>0</v>
      </c>
      <c r="BU306" s="401">
        <v>0</v>
      </c>
      <c r="BV306" s="401">
        <v>0</v>
      </c>
      <c r="BW306" s="401">
        <v>0</v>
      </c>
      <c r="BX306" s="401">
        <v>0</v>
      </c>
      <c r="BY306" s="401">
        <v>0</v>
      </c>
      <c r="BZ306" s="401">
        <v>0</v>
      </c>
      <c r="CA306" s="401">
        <v>0</v>
      </c>
      <c r="CB306" s="401">
        <v>0</v>
      </c>
    </row>
    <row r="307" spans="1:80" s="401" customFormat="1" ht="28.8" x14ac:dyDescent="0.3">
      <c r="A307" s="993">
        <v>654</v>
      </c>
      <c r="B307" s="1036"/>
      <c r="C307" s="1036">
        <v>654</v>
      </c>
      <c r="D307" s="1037" t="s">
        <v>541</v>
      </c>
      <c r="E307" s="1038">
        <v>0</v>
      </c>
      <c r="F307" s="993"/>
      <c r="BH307" s="401">
        <v>0</v>
      </c>
      <c r="BI307" s="401">
        <v>939408</v>
      </c>
      <c r="BJ307" s="401">
        <v>2086026</v>
      </c>
      <c r="BK307" s="401">
        <v>0</v>
      </c>
      <c r="BL307" s="401">
        <v>5097090</v>
      </c>
      <c r="BM307" s="401">
        <v>3221981</v>
      </c>
      <c r="BN307" s="401">
        <v>0</v>
      </c>
      <c r="BO307" s="401">
        <v>2575415</v>
      </c>
      <c r="BP307" s="401">
        <v>4090262</v>
      </c>
      <c r="BQ307" s="401">
        <v>1114058</v>
      </c>
      <c r="BR307" s="401">
        <v>1954421</v>
      </c>
      <c r="BS307" s="401">
        <v>0</v>
      </c>
      <c r="BT307" s="401">
        <v>0</v>
      </c>
      <c r="BU307" s="401">
        <v>1286428</v>
      </c>
      <c r="BV307" s="401">
        <v>2231693</v>
      </c>
      <c r="BW307" s="401">
        <v>326523</v>
      </c>
      <c r="BX307" s="401">
        <v>1509425</v>
      </c>
      <c r="BY307" s="401">
        <v>0</v>
      </c>
      <c r="BZ307" s="401">
        <v>0</v>
      </c>
      <c r="CA307" s="401">
        <v>9996425</v>
      </c>
      <c r="CB307" s="401">
        <v>0</v>
      </c>
    </row>
    <row r="308" spans="1:80" s="401" customFormat="1" ht="28.8" x14ac:dyDescent="0.3">
      <c r="A308" s="993">
        <v>655</v>
      </c>
      <c r="B308" s="1036"/>
      <c r="C308" s="1036">
        <v>655</v>
      </c>
      <c r="D308" s="1037" t="s">
        <v>606</v>
      </c>
      <c r="E308" s="1038">
        <v>0</v>
      </c>
      <c r="F308" s="1006"/>
      <c r="BH308" s="401">
        <v>0</v>
      </c>
      <c r="BI308" s="401">
        <v>41630</v>
      </c>
      <c r="BJ308" s="401">
        <v>0</v>
      </c>
      <c r="BK308" s="401">
        <v>0</v>
      </c>
      <c r="BL308" s="401">
        <v>38980</v>
      </c>
      <c r="BM308" s="401">
        <v>183172</v>
      </c>
      <c r="BN308" s="401">
        <v>0</v>
      </c>
      <c r="BO308" s="401">
        <v>248740</v>
      </c>
      <c r="BP308" s="401">
        <v>320529</v>
      </c>
      <c r="BQ308" s="401">
        <v>39450</v>
      </c>
      <c r="BR308" s="401">
        <v>64381</v>
      </c>
      <c r="BS308" s="401">
        <v>0</v>
      </c>
      <c r="BT308" s="401">
        <v>0</v>
      </c>
      <c r="BU308" s="401">
        <v>0</v>
      </c>
      <c r="BV308" s="401">
        <v>0</v>
      </c>
      <c r="BW308" s="401">
        <v>42761</v>
      </c>
      <c r="BX308" s="401">
        <v>26655</v>
      </c>
      <c r="BY308" s="401">
        <v>0</v>
      </c>
      <c r="BZ308" s="401">
        <v>0</v>
      </c>
      <c r="CA308" s="401">
        <v>1573791</v>
      </c>
      <c r="CB308" s="401">
        <v>0</v>
      </c>
    </row>
    <row r="309" spans="1:80" s="401" customFormat="1" ht="28.8" x14ac:dyDescent="0.3">
      <c r="A309" s="993">
        <v>656</v>
      </c>
      <c r="B309" s="1036"/>
      <c r="C309" s="1036">
        <v>656</v>
      </c>
      <c r="D309" s="1037" t="s">
        <v>549</v>
      </c>
      <c r="E309" s="1038">
        <v>0</v>
      </c>
      <c r="F309" s="1006"/>
      <c r="BH309" s="401">
        <v>0</v>
      </c>
      <c r="BI309" s="401">
        <v>0</v>
      </c>
      <c r="BJ309" s="401">
        <v>0</v>
      </c>
      <c r="BK309" s="401">
        <v>0</v>
      </c>
      <c r="BL309" s="401">
        <v>2</v>
      </c>
      <c r="BM309" s="401">
        <v>2</v>
      </c>
      <c r="BN309" s="401">
        <v>2</v>
      </c>
      <c r="BO309" s="401">
        <v>2</v>
      </c>
      <c r="BP309" s="401">
        <v>2</v>
      </c>
      <c r="BQ309" s="401">
        <v>2</v>
      </c>
      <c r="BR309" s="401">
        <v>2</v>
      </c>
      <c r="BS309" s="401">
        <v>2</v>
      </c>
      <c r="BT309" s="401">
        <v>2</v>
      </c>
      <c r="BU309" s="401">
        <v>0</v>
      </c>
      <c r="BV309" s="401">
        <v>2</v>
      </c>
      <c r="BW309" s="401">
        <v>2</v>
      </c>
      <c r="BX309" s="401">
        <v>2</v>
      </c>
      <c r="BY309" s="401">
        <v>2</v>
      </c>
      <c r="BZ309" s="401">
        <v>0</v>
      </c>
      <c r="CA309" s="401">
        <v>2</v>
      </c>
      <c r="CB309" s="401">
        <v>2</v>
      </c>
    </row>
    <row r="310" spans="1:80" s="401" customFormat="1" ht="43.2" x14ac:dyDescent="0.3">
      <c r="A310" s="993">
        <v>657</v>
      </c>
      <c r="B310" s="1036"/>
      <c r="C310" s="1036">
        <v>657</v>
      </c>
      <c r="D310" s="1037" t="s">
        <v>546</v>
      </c>
      <c r="E310" s="1038">
        <v>0</v>
      </c>
      <c r="F310" s="1006"/>
      <c r="BH310" s="401">
        <v>0</v>
      </c>
      <c r="BI310" s="401">
        <v>0</v>
      </c>
      <c r="BJ310" s="401">
        <v>0</v>
      </c>
      <c r="BK310" s="401">
        <v>0</v>
      </c>
      <c r="BL310" s="401">
        <v>3572360</v>
      </c>
      <c r="BM310" s="401">
        <v>0</v>
      </c>
      <c r="BN310" s="401">
        <v>0</v>
      </c>
      <c r="BO310" s="401">
        <v>0</v>
      </c>
      <c r="BP310" s="401">
        <v>0</v>
      </c>
      <c r="BQ310" s="401">
        <v>0</v>
      </c>
      <c r="BR310" s="401">
        <v>0</v>
      </c>
      <c r="BS310" s="401">
        <v>0</v>
      </c>
      <c r="BT310" s="401">
        <v>0</v>
      </c>
      <c r="BU310" s="401">
        <v>0</v>
      </c>
      <c r="BV310" s="401">
        <v>0</v>
      </c>
      <c r="BW310" s="401">
        <v>0</v>
      </c>
      <c r="BX310" s="401">
        <v>0</v>
      </c>
      <c r="BY310" s="401">
        <v>0</v>
      </c>
      <c r="BZ310" s="401">
        <v>0</v>
      </c>
      <c r="CA310" s="401">
        <v>0</v>
      </c>
      <c r="CB310" s="401">
        <v>0</v>
      </c>
    </row>
    <row r="311" spans="1:80" s="401" customFormat="1" ht="43.2" x14ac:dyDescent="0.3">
      <c r="A311" s="993">
        <v>658</v>
      </c>
      <c r="B311" s="1036"/>
      <c r="C311" s="1036">
        <v>658</v>
      </c>
      <c r="D311" s="1037" t="s">
        <v>605</v>
      </c>
      <c r="E311" s="1038">
        <v>0</v>
      </c>
      <c r="F311" s="1006"/>
      <c r="BH311" s="401">
        <v>0</v>
      </c>
      <c r="BI311" s="401">
        <v>0</v>
      </c>
      <c r="BJ311" s="401">
        <v>0</v>
      </c>
      <c r="BK311" s="401">
        <v>0</v>
      </c>
      <c r="BL311" s="401">
        <v>126513</v>
      </c>
      <c r="BM311" s="401">
        <v>0</v>
      </c>
      <c r="BN311" s="401">
        <v>0</v>
      </c>
      <c r="BO311" s="401">
        <v>0</v>
      </c>
      <c r="BP311" s="401">
        <v>0</v>
      </c>
      <c r="BQ311" s="401">
        <v>0</v>
      </c>
      <c r="BR311" s="401">
        <v>0</v>
      </c>
      <c r="BS311" s="401">
        <v>0</v>
      </c>
      <c r="BT311" s="401">
        <v>0</v>
      </c>
      <c r="BU311" s="401">
        <v>0</v>
      </c>
      <c r="BV311" s="401">
        <v>0</v>
      </c>
      <c r="BW311" s="401">
        <v>0</v>
      </c>
      <c r="BX311" s="401">
        <v>0</v>
      </c>
      <c r="BY311" s="401">
        <v>0</v>
      </c>
      <c r="BZ311" s="401">
        <v>0</v>
      </c>
      <c r="CA311" s="401">
        <v>0</v>
      </c>
      <c r="CB311" s="401">
        <v>0</v>
      </c>
    </row>
    <row r="312" spans="1:80" s="401" customFormat="1" ht="28.8" x14ac:dyDescent="0.3">
      <c r="A312" s="993">
        <v>659</v>
      </c>
      <c r="B312" s="1036">
        <v>659</v>
      </c>
      <c r="C312" s="1036">
        <v>659</v>
      </c>
      <c r="D312" s="1037" t="s">
        <v>544</v>
      </c>
      <c r="E312" s="1038">
        <v>3187779</v>
      </c>
      <c r="F312" s="993"/>
      <c r="BH312" s="401">
        <v>0</v>
      </c>
      <c r="BI312" s="401">
        <v>4232643</v>
      </c>
      <c r="BJ312" s="401">
        <v>208129</v>
      </c>
      <c r="BK312" s="401">
        <v>0</v>
      </c>
      <c r="BL312" s="401">
        <v>504375</v>
      </c>
      <c r="BM312" s="401">
        <v>1823461</v>
      </c>
      <c r="BN312" s="401">
        <v>0</v>
      </c>
      <c r="BO312" s="401">
        <v>104185</v>
      </c>
      <c r="BP312" s="401">
        <v>0</v>
      </c>
      <c r="BQ312" s="401">
        <v>0</v>
      </c>
      <c r="BR312" s="401">
        <v>0</v>
      </c>
      <c r="BS312" s="401">
        <v>0</v>
      </c>
      <c r="BT312" s="401">
        <v>0</v>
      </c>
      <c r="BU312" s="401">
        <v>0</v>
      </c>
      <c r="BV312" s="401">
        <v>4772429</v>
      </c>
      <c r="BW312" s="401">
        <v>0</v>
      </c>
      <c r="BX312" s="401">
        <v>0</v>
      </c>
      <c r="BY312" s="401">
        <v>0</v>
      </c>
      <c r="BZ312" s="401">
        <v>0</v>
      </c>
      <c r="CA312" s="401">
        <v>7870810</v>
      </c>
      <c r="CB312" s="401">
        <v>0</v>
      </c>
    </row>
    <row r="313" spans="1:80" s="401" customFormat="1" ht="43.2" x14ac:dyDescent="0.3">
      <c r="A313" s="993">
        <v>660</v>
      </c>
      <c r="B313" s="1036">
        <v>660</v>
      </c>
      <c r="C313" s="1036">
        <v>660</v>
      </c>
      <c r="D313" s="1037" t="s">
        <v>545</v>
      </c>
      <c r="E313" s="1038">
        <v>4381120</v>
      </c>
      <c r="F313" s="993"/>
      <c r="BH313" s="401">
        <v>0</v>
      </c>
      <c r="BI313" s="401">
        <v>0</v>
      </c>
      <c r="BJ313" s="401">
        <v>0</v>
      </c>
      <c r="BK313" s="401">
        <v>0</v>
      </c>
      <c r="BL313" s="401">
        <v>0</v>
      </c>
      <c r="BM313" s="401">
        <v>0</v>
      </c>
      <c r="BN313" s="401">
        <v>0</v>
      </c>
      <c r="BO313" s="401">
        <v>0</v>
      </c>
      <c r="BP313" s="401">
        <v>0</v>
      </c>
      <c r="BQ313" s="401">
        <v>0</v>
      </c>
      <c r="BR313" s="401">
        <v>0</v>
      </c>
      <c r="BS313" s="401">
        <v>0</v>
      </c>
      <c r="BT313" s="401">
        <v>0</v>
      </c>
      <c r="BU313" s="401">
        <v>0</v>
      </c>
      <c r="BV313" s="401">
        <v>0</v>
      </c>
      <c r="BW313" s="401">
        <v>0</v>
      </c>
      <c r="BX313" s="401">
        <v>0</v>
      </c>
      <c r="BY313" s="401">
        <v>0</v>
      </c>
      <c r="BZ313" s="401">
        <v>0</v>
      </c>
      <c r="CA313" s="401">
        <v>0</v>
      </c>
      <c r="CB313" s="401">
        <v>0</v>
      </c>
    </row>
    <row r="314" spans="1:80" s="401" customFormat="1" ht="28.8" x14ac:dyDescent="0.3">
      <c r="A314" s="993">
        <v>661</v>
      </c>
      <c r="B314" s="1036">
        <v>661</v>
      </c>
      <c r="C314" s="1036">
        <v>661</v>
      </c>
      <c r="D314" s="1037" t="s">
        <v>548</v>
      </c>
      <c r="E314" s="1038">
        <v>137</v>
      </c>
      <c r="F314" s="993"/>
      <c r="BH314" s="401">
        <v>0</v>
      </c>
      <c r="BI314" s="401">
        <v>0</v>
      </c>
      <c r="BJ314" s="401">
        <v>0</v>
      </c>
      <c r="BK314" s="401">
        <v>0</v>
      </c>
      <c r="BL314" s="401">
        <v>0</v>
      </c>
      <c r="BM314" s="401">
        <v>0</v>
      </c>
      <c r="BN314" s="401">
        <v>0</v>
      </c>
      <c r="BO314" s="401">
        <v>0</v>
      </c>
      <c r="BP314" s="401">
        <v>0</v>
      </c>
      <c r="BQ314" s="401">
        <v>0</v>
      </c>
      <c r="BR314" s="401">
        <v>0</v>
      </c>
      <c r="BS314" s="401">
        <v>0</v>
      </c>
      <c r="BT314" s="401">
        <v>0</v>
      </c>
      <c r="BU314" s="401">
        <v>0</v>
      </c>
      <c r="BV314" s="401">
        <v>0</v>
      </c>
      <c r="BW314" s="401">
        <v>0</v>
      </c>
      <c r="BX314" s="401">
        <v>0</v>
      </c>
      <c r="BY314" s="401">
        <v>0</v>
      </c>
      <c r="BZ314" s="401">
        <v>0</v>
      </c>
      <c r="CA314" s="401">
        <v>0</v>
      </c>
      <c r="CB314" s="401">
        <v>0</v>
      </c>
    </row>
    <row r="315" spans="1:80" s="401" customFormat="1" ht="28.8" x14ac:dyDescent="0.3">
      <c r="A315" s="993">
        <v>662</v>
      </c>
      <c r="B315" s="1039">
        <v>662</v>
      </c>
      <c r="C315" s="1039">
        <v>662</v>
      </c>
      <c r="D315" s="1040" t="s">
        <v>609</v>
      </c>
      <c r="E315" s="1041">
        <v>0</v>
      </c>
      <c r="F315" s="993"/>
      <c r="BH315" s="401">
        <v>0</v>
      </c>
      <c r="BI315" s="401">
        <v>0</v>
      </c>
      <c r="BJ315" s="401">
        <v>0</v>
      </c>
      <c r="BK315" s="401">
        <v>0</v>
      </c>
      <c r="BL315" s="401">
        <v>0</v>
      </c>
      <c r="BM315" s="401">
        <v>0</v>
      </c>
      <c r="BN315" s="401">
        <v>0</v>
      </c>
      <c r="BO315" s="401">
        <v>0</v>
      </c>
      <c r="BP315" s="401">
        <v>0</v>
      </c>
      <c r="BQ315" s="401">
        <v>0</v>
      </c>
      <c r="BR315" s="401">
        <v>0</v>
      </c>
      <c r="BS315" s="401">
        <v>0</v>
      </c>
      <c r="BT315" s="401">
        <v>184000</v>
      </c>
      <c r="BU315" s="401">
        <v>0</v>
      </c>
      <c r="BV315" s="401">
        <v>0</v>
      </c>
      <c r="BW315" s="401">
        <v>0</v>
      </c>
      <c r="BX315" s="401">
        <v>0</v>
      </c>
      <c r="BY315" s="401">
        <v>0</v>
      </c>
      <c r="BZ315" s="401">
        <v>0</v>
      </c>
      <c r="CA315" s="401">
        <v>54610</v>
      </c>
      <c r="CB315" s="401">
        <v>0</v>
      </c>
    </row>
    <row r="316" spans="1:80" s="401" customFormat="1" ht="28.8" x14ac:dyDescent="0.3">
      <c r="A316" s="993">
        <v>663</v>
      </c>
      <c r="B316" s="1039">
        <v>663</v>
      </c>
      <c r="C316" s="1039">
        <v>663</v>
      </c>
      <c r="D316" s="1040" t="s">
        <v>610</v>
      </c>
      <c r="E316" s="1041">
        <v>0</v>
      </c>
      <c r="F316" s="993"/>
      <c r="BH316" s="401">
        <v>0</v>
      </c>
      <c r="BI316" s="401">
        <v>0</v>
      </c>
      <c r="BJ316" s="401">
        <v>0</v>
      </c>
      <c r="BK316" s="401">
        <v>0</v>
      </c>
      <c r="BL316" s="401">
        <v>0</v>
      </c>
      <c r="BM316" s="401">
        <v>0</v>
      </c>
      <c r="BN316" s="401">
        <v>0</v>
      </c>
      <c r="BO316" s="401">
        <v>0</v>
      </c>
      <c r="BP316" s="401">
        <v>0</v>
      </c>
      <c r="BQ316" s="401">
        <v>0</v>
      </c>
      <c r="BR316" s="401">
        <v>0</v>
      </c>
      <c r="BS316" s="401">
        <v>0</v>
      </c>
      <c r="BT316" s="401">
        <v>0</v>
      </c>
      <c r="BU316" s="401">
        <v>0</v>
      </c>
      <c r="BV316" s="401">
        <v>0</v>
      </c>
      <c r="BW316" s="401">
        <v>0</v>
      </c>
      <c r="BX316" s="401">
        <v>0</v>
      </c>
      <c r="BY316" s="401">
        <v>0</v>
      </c>
      <c r="BZ316" s="401">
        <v>0</v>
      </c>
      <c r="CA316" s="401">
        <v>0</v>
      </c>
      <c r="CB316" s="401">
        <v>0</v>
      </c>
    </row>
    <row r="317" spans="1:80" s="401" customFormat="1" ht="28.8" x14ac:dyDescent="0.3">
      <c r="A317" s="993">
        <v>906</v>
      </c>
      <c r="B317" s="1042"/>
      <c r="C317" s="1042" t="s">
        <v>1480</v>
      </c>
      <c r="D317" s="1043" t="s">
        <v>660</v>
      </c>
      <c r="E317" s="1011">
        <v>1</v>
      </c>
      <c r="F317" s="993"/>
      <c r="BH317" s="401">
        <v>1</v>
      </c>
      <c r="BI317" s="401">
        <v>1</v>
      </c>
      <c r="BJ317" s="401">
        <v>1</v>
      </c>
      <c r="BK317" s="401">
        <v>0</v>
      </c>
      <c r="BL317" s="401">
        <v>1</v>
      </c>
      <c r="BM317" s="401">
        <v>1</v>
      </c>
      <c r="BN317" s="401">
        <v>1</v>
      </c>
      <c r="BO317" s="401">
        <v>1</v>
      </c>
      <c r="BP317" s="401">
        <v>1</v>
      </c>
      <c r="BQ317" s="401">
        <v>1</v>
      </c>
      <c r="BR317" s="401">
        <v>1</v>
      </c>
      <c r="BS317" s="401">
        <v>1</v>
      </c>
      <c r="BT317" s="401">
        <v>1</v>
      </c>
      <c r="BU317" s="401">
        <v>1</v>
      </c>
      <c r="BV317" s="401">
        <v>1</v>
      </c>
      <c r="BW317" s="401">
        <v>1</v>
      </c>
      <c r="BX317" s="401">
        <v>1</v>
      </c>
      <c r="BY317" s="401">
        <v>1</v>
      </c>
      <c r="BZ317" s="401">
        <v>1</v>
      </c>
      <c r="CA317" s="401">
        <v>1</v>
      </c>
      <c r="CB317" s="401">
        <v>1</v>
      </c>
    </row>
    <row r="318" spans="1:80" s="401" customFormat="1" ht="28.8" x14ac:dyDescent="0.3">
      <c r="A318" s="993">
        <v>907</v>
      </c>
      <c r="B318" s="1042"/>
      <c r="C318" s="1042" t="s">
        <v>1480</v>
      </c>
      <c r="D318" s="1043" t="s">
        <v>661</v>
      </c>
      <c r="E318" s="1011">
        <v>2</v>
      </c>
      <c r="F318" s="993"/>
      <c r="BH318" s="401">
        <v>1</v>
      </c>
      <c r="BI318" s="401">
        <v>2</v>
      </c>
      <c r="BJ318" s="401">
        <v>1</v>
      </c>
      <c r="BK318" s="401">
        <v>0</v>
      </c>
      <c r="BL318" s="401">
        <v>2</v>
      </c>
      <c r="BM318" s="401">
        <v>1</v>
      </c>
      <c r="BN318" s="401">
        <v>1</v>
      </c>
      <c r="BO318" s="401">
        <v>2</v>
      </c>
      <c r="BP318" s="401">
        <v>1</v>
      </c>
      <c r="BQ318" s="401">
        <v>1</v>
      </c>
      <c r="BR318" s="401">
        <v>2</v>
      </c>
      <c r="BS318" s="401">
        <v>1</v>
      </c>
      <c r="BT318" s="401">
        <v>2</v>
      </c>
      <c r="BU318" s="401">
        <v>2</v>
      </c>
      <c r="BV318" s="401">
        <v>1</v>
      </c>
      <c r="BW318" s="401">
        <v>1</v>
      </c>
      <c r="BX318" s="401">
        <v>1</v>
      </c>
      <c r="BY318" s="401">
        <v>1</v>
      </c>
      <c r="BZ318" s="401">
        <v>2</v>
      </c>
      <c r="CA318" s="401">
        <v>2</v>
      </c>
      <c r="CB318" s="401">
        <v>2</v>
      </c>
    </row>
    <row r="319" spans="1:80" s="401" customFormat="1" ht="28.8" x14ac:dyDescent="0.3">
      <c r="A319" s="993">
        <v>951</v>
      </c>
      <c r="B319" s="1042"/>
      <c r="C319" s="1042" t="s">
        <v>1480</v>
      </c>
      <c r="D319" s="1043" t="s">
        <v>662</v>
      </c>
      <c r="E319" s="1011">
        <v>2</v>
      </c>
      <c r="F319" s="993"/>
      <c r="BH319" s="401">
        <v>2</v>
      </c>
      <c r="BI319" s="401">
        <v>2</v>
      </c>
      <c r="BJ319" s="401">
        <v>2</v>
      </c>
      <c r="BK319" s="401">
        <v>0</v>
      </c>
      <c r="BL319" s="401">
        <v>2</v>
      </c>
      <c r="BM319" s="401">
        <v>2</v>
      </c>
      <c r="BN319" s="401">
        <v>2</v>
      </c>
      <c r="BO319" s="401">
        <v>2</v>
      </c>
      <c r="BP319" s="401">
        <v>2</v>
      </c>
      <c r="BQ319" s="401">
        <v>2</v>
      </c>
      <c r="BR319" s="401">
        <v>2</v>
      </c>
      <c r="BS319" s="401">
        <v>2</v>
      </c>
      <c r="BT319" s="401">
        <v>2</v>
      </c>
      <c r="BU319" s="401">
        <v>2</v>
      </c>
      <c r="BV319" s="401">
        <v>2</v>
      </c>
      <c r="BW319" s="401">
        <v>2</v>
      </c>
      <c r="BX319" s="401">
        <v>2</v>
      </c>
      <c r="BY319" s="401">
        <v>2</v>
      </c>
      <c r="BZ319" s="401">
        <v>2</v>
      </c>
      <c r="CA319" s="401">
        <v>2</v>
      </c>
      <c r="CB319" s="401">
        <v>2</v>
      </c>
    </row>
    <row r="320" spans="1:80" s="401" customFormat="1" ht="28.8" x14ac:dyDescent="0.3">
      <c r="A320" s="993">
        <v>953</v>
      </c>
      <c r="B320" s="1042"/>
      <c r="C320" s="1042" t="s">
        <v>1480</v>
      </c>
      <c r="D320" s="1043" t="s">
        <v>663</v>
      </c>
      <c r="E320" s="1011">
        <v>2</v>
      </c>
      <c r="F320" s="993"/>
      <c r="BH320" s="401">
        <v>2</v>
      </c>
      <c r="BI320" s="401">
        <v>2</v>
      </c>
      <c r="BJ320" s="401">
        <v>2</v>
      </c>
      <c r="BK320" s="401">
        <v>0</v>
      </c>
      <c r="BL320" s="401">
        <v>2</v>
      </c>
      <c r="BM320" s="401">
        <v>2</v>
      </c>
      <c r="BN320" s="401">
        <v>2</v>
      </c>
      <c r="BO320" s="401">
        <v>2</v>
      </c>
      <c r="BP320" s="401">
        <v>2</v>
      </c>
      <c r="BQ320" s="401">
        <v>2</v>
      </c>
      <c r="BR320" s="401">
        <v>2</v>
      </c>
      <c r="BS320" s="401">
        <v>2</v>
      </c>
      <c r="BT320" s="401">
        <v>2</v>
      </c>
      <c r="BU320" s="401">
        <v>2</v>
      </c>
      <c r="BV320" s="401">
        <v>2</v>
      </c>
      <c r="BW320" s="401">
        <v>2</v>
      </c>
      <c r="BX320" s="401">
        <v>2</v>
      </c>
      <c r="BY320" s="401">
        <v>2</v>
      </c>
      <c r="BZ320" s="401">
        <v>2</v>
      </c>
      <c r="CA320" s="401">
        <v>2</v>
      </c>
      <c r="CB320" s="401">
        <v>2</v>
      </c>
    </row>
    <row r="321" spans="1:80" s="401" customFormat="1" ht="28.8" x14ac:dyDescent="0.3">
      <c r="A321" s="993">
        <v>955</v>
      </c>
      <c r="B321" s="1042"/>
      <c r="C321" s="1042" t="s">
        <v>1480</v>
      </c>
      <c r="D321" s="1043" t="s">
        <v>673</v>
      </c>
      <c r="E321" s="1011">
        <v>0</v>
      </c>
      <c r="BH321" s="401">
        <v>0</v>
      </c>
      <c r="BI321" s="401">
        <v>0</v>
      </c>
      <c r="BJ321" s="401">
        <v>0</v>
      </c>
      <c r="BK321" s="401">
        <v>0</v>
      </c>
      <c r="BL321" s="401">
        <v>0</v>
      </c>
      <c r="BM321" s="401">
        <v>0</v>
      </c>
      <c r="BN321" s="401">
        <v>0</v>
      </c>
      <c r="BO321" s="401">
        <v>0</v>
      </c>
      <c r="BP321" s="401">
        <v>0</v>
      </c>
      <c r="BQ321" s="401">
        <v>0</v>
      </c>
      <c r="BR321" s="401">
        <v>0</v>
      </c>
      <c r="BS321" s="401">
        <v>0</v>
      </c>
      <c r="BT321" s="401">
        <v>0</v>
      </c>
      <c r="BU321" s="401">
        <v>0</v>
      </c>
      <c r="BV321" s="401">
        <v>1</v>
      </c>
      <c r="BW321" s="401">
        <v>0</v>
      </c>
      <c r="BX321" s="401">
        <v>0</v>
      </c>
      <c r="BY321" s="401">
        <v>0</v>
      </c>
      <c r="BZ321" s="401">
        <v>0</v>
      </c>
      <c r="CA321" s="401">
        <v>0</v>
      </c>
      <c r="CB321" s="401">
        <v>0</v>
      </c>
    </row>
    <row r="322" spans="1:80" s="401" customFormat="1" ht="28.8" x14ac:dyDescent="0.3">
      <c r="A322" s="993">
        <v>957</v>
      </c>
      <c r="B322" s="1042"/>
      <c r="C322" s="1042" t="s">
        <v>1480</v>
      </c>
      <c r="D322" s="1043" t="s">
        <v>674</v>
      </c>
      <c r="E322" s="1011">
        <v>0</v>
      </c>
      <c r="BH322" s="401">
        <v>0</v>
      </c>
      <c r="BI322" s="401">
        <v>0</v>
      </c>
      <c r="BJ322" s="401">
        <v>0</v>
      </c>
      <c r="BK322" s="401">
        <v>0</v>
      </c>
      <c r="BL322" s="401">
        <v>0</v>
      </c>
      <c r="BM322" s="401">
        <v>0</v>
      </c>
      <c r="BN322" s="401">
        <v>0</v>
      </c>
      <c r="BO322" s="401">
        <v>0</v>
      </c>
      <c r="BP322" s="401">
        <v>0</v>
      </c>
      <c r="BQ322" s="401">
        <v>0</v>
      </c>
      <c r="BR322" s="401">
        <v>0</v>
      </c>
      <c r="BS322" s="401">
        <v>0</v>
      </c>
      <c r="BT322" s="401">
        <v>0</v>
      </c>
      <c r="BU322" s="401">
        <v>0</v>
      </c>
      <c r="BV322" s="401">
        <v>0</v>
      </c>
      <c r="BW322" s="401">
        <v>2</v>
      </c>
      <c r="BX322" s="401">
        <v>0</v>
      </c>
      <c r="BY322" s="401">
        <v>0</v>
      </c>
      <c r="BZ322" s="401">
        <v>0</v>
      </c>
      <c r="CA322" s="401">
        <v>0</v>
      </c>
      <c r="CB322" s="401">
        <v>0</v>
      </c>
    </row>
    <row r="323" spans="1:80" s="401" customFormat="1" ht="57.6" x14ac:dyDescent="0.3">
      <c r="A323" s="993">
        <v>959</v>
      </c>
      <c r="B323" s="1042"/>
      <c r="C323" s="1042" t="s">
        <v>1480</v>
      </c>
      <c r="D323" s="1043" t="s">
        <v>664</v>
      </c>
      <c r="E323" s="1011">
        <v>2</v>
      </c>
      <c r="BH323" s="401">
        <v>2</v>
      </c>
      <c r="BI323" s="401">
        <v>2</v>
      </c>
      <c r="BJ323" s="401">
        <v>2</v>
      </c>
      <c r="BK323" s="401">
        <v>0</v>
      </c>
      <c r="BL323" s="401">
        <v>2</v>
      </c>
      <c r="BM323" s="401">
        <v>2</v>
      </c>
      <c r="BN323" s="401">
        <v>3</v>
      </c>
      <c r="BO323" s="401">
        <v>2</v>
      </c>
      <c r="BP323" s="401">
        <v>2</v>
      </c>
      <c r="BQ323" s="401">
        <v>3</v>
      </c>
      <c r="BR323" s="401">
        <v>2</v>
      </c>
      <c r="BS323" s="401">
        <v>3</v>
      </c>
      <c r="BT323" s="401">
        <v>2</v>
      </c>
      <c r="BU323" s="401">
        <v>2</v>
      </c>
      <c r="BV323" s="401">
        <v>2</v>
      </c>
      <c r="BW323" s="401">
        <v>3</v>
      </c>
      <c r="BX323" s="401">
        <v>3</v>
      </c>
      <c r="BY323" s="401">
        <v>3</v>
      </c>
      <c r="BZ323" s="401">
        <v>2</v>
      </c>
      <c r="CA323" s="401">
        <v>2</v>
      </c>
      <c r="CB323" s="401">
        <v>2</v>
      </c>
    </row>
    <row r="324" spans="1:80" s="401" customFormat="1" ht="57.6" x14ac:dyDescent="0.3">
      <c r="A324" s="993">
        <v>961</v>
      </c>
      <c r="B324" s="1042"/>
      <c r="C324" s="1042" t="s">
        <v>1480</v>
      </c>
      <c r="D324" s="1043" t="s">
        <v>665</v>
      </c>
      <c r="E324" s="1011">
        <v>2</v>
      </c>
      <c r="BH324" s="401">
        <v>2</v>
      </c>
      <c r="BI324" s="401">
        <v>2</v>
      </c>
      <c r="BJ324" s="401">
        <v>2</v>
      </c>
      <c r="BK324" s="401">
        <v>0</v>
      </c>
      <c r="BL324" s="401">
        <v>2</v>
      </c>
      <c r="BM324" s="401">
        <v>2</v>
      </c>
      <c r="BN324" s="401">
        <v>3</v>
      </c>
      <c r="BO324" s="401">
        <v>2</v>
      </c>
      <c r="BP324" s="401">
        <v>2</v>
      </c>
      <c r="BQ324" s="401">
        <v>3</v>
      </c>
      <c r="BR324" s="401">
        <v>2</v>
      </c>
      <c r="BS324" s="401">
        <v>2</v>
      </c>
      <c r="BT324" s="401">
        <v>2</v>
      </c>
      <c r="BU324" s="401">
        <v>2</v>
      </c>
      <c r="BV324" s="401">
        <v>2</v>
      </c>
      <c r="BW324" s="401">
        <v>2</v>
      </c>
      <c r="BX324" s="401">
        <v>3</v>
      </c>
      <c r="BY324" s="401">
        <v>3</v>
      </c>
      <c r="BZ324" s="401">
        <v>3</v>
      </c>
      <c r="CA324" s="401">
        <v>2</v>
      </c>
      <c r="CB324" s="401">
        <v>2</v>
      </c>
    </row>
    <row r="325" spans="1:80" s="401" customFormat="1" x14ac:dyDescent="0.3">
      <c r="A325" s="993">
        <v>963</v>
      </c>
      <c r="B325" s="1042"/>
      <c r="C325" s="1042" t="s">
        <v>1480</v>
      </c>
      <c r="D325" s="1043" t="s">
        <v>666</v>
      </c>
      <c r="E325" s="1011">
        <v>1</v>
      </c>
      <c r="BH325" s="401">
        <v>3</v>
      </c>
      <c r="BI325" s="401">
        <v>1</v>
      </c>
      <c r="BJ325" s="401">
        <v>3</v>
      </c>
      <c r="BK325" s="401">
        <v>0</v>
      </c>
      <c r="BL325" s="401">
        <v>3</v>
      </c>
      <c r="BM325" s="401">
        <v>1</v>
      </c>
      <c r="BN325" s="401">
        <v>3</v>
      </c>
      <c r="BO325" s="401">
        <v>3</v>
      </c>
      <c r="BP325" s="401">
        <v>3</v>
      </c>
      <c r="BQ325" s="401">
        <v>3</v>
      </c>
      <c r="BR325" s="401">
        <v>1</v>
      </c>
      <c r="BS325" s="401">
        <v>1</v>
      </c>
      <c r="BT325" s="401">
        <v>3</v>
      </c>
      <c r="BU325" s="401">
        <v>3</v>
      </c>
      <c r="BV325" s="401">
        <v>3</v>
      </c>
      <c r="BW325" s="401">
        <v>3</v>
      </c>
      <c r="BX325" s="401">
        <v>3</v>
      </c>
      <c r="BY325" s="401">
        <v>3</v>
      </c>
      <c r="BZ325" s="401">
        <v>3</v>
      </c>
      <c r="CA325" s="401">
        <v>3</v>
      </c>
      <c r="CB325" s="401">
        <v>3</v>
      </c>
    </row>
    <row r="326" spans="1:80" s="401" customFormat="1" ht="28.8" x14ac:dyDescent="0.3">
      <c r="A326" s="993">
        <v>965</v>
      </c>
      <c r="B326" s="1042"/>
      <c r="C326" s="1042" t="s">
        <v>1480</v>
      </c>
      <c r="D326" s="1043" t="s">
        <v>667</v>
      </c>
      <c r="E326" s="1011">
        <v>1</v>
      </c>
      <c r="BH326" s="401">
        <v>1</v>
      </c>
      <c r="BI326" s="401">
        <v>1</v>
      </c>
      <c r="BJ326" s="401">
        <v>1</v>
      </c>
      <c r="BK326" s="401">
        <v>0</v>
      </c>
      <c r="BL326" s="401">
        <v>1</v>
      </c>
      <c r="BM326" s="401">
        <v>1</v>
      </c>
      <c r="BN326" s="401">
        <v>1</v>
      </c>
      <c r="BO326" s="401">
        <v>1</v>
      </c>
      <c r="BP326" s="401">
        <v>1</v>
      </c>
      <c r="BQ326" s="401">
        <v>1</v>
      </c>
      <c r="BR326" s="401">
        <v>1</v>
      </c>
      <c r="BS326" s="401">
        <v>1</v>
      </c>
      <c r="BT326" s="401">
        <v>1</v>
      </c>
      <c r="BU326" s="401">
        <v>1</v>
      </c>
      <c r="BV326" s="401">
        <v>1</v>
      </c>
      <c r="BW326" s="401">
        <v>1</v>
      </c>
      <c r="BX326" s="401">
        <v>1</v>
      </c>
      <c r="BY326" s="401">
        <v>1</v>
      </c>
      <c r="BZ326" s="401">
        <v>1</v>
      </c>
      <c r="CA326" s="401">
        <v>1</v>
      </c>
      <c r="CB326" s="401">
        <v>1</v>
      </c>
    </row>
    <row r="327" spans="1:80" s="401" customFormat="1" ht="28.8" x14ac:dyDescent="0.3">
      <c r="A327" s="993">
        <v>603</v>
      </c>
      <c r="B327" s="1042"/>
      <c r="C327" s="1042" t="s">
        <v>1481</v>
      </c>
      <c r="D327" s="1043" t="s">
        <v>672</v>
      </c>
      <c r="E327" s="1011">
        <v>0</v>
      </c>
      <c r="BH327" s="401">
        <v>0</v>
      </c>
      <c r="BI327" s="401">
        <v>0</v>
      </c>
      <c r="BJ327" s="401">
        <v>2</v>
      </c>
      <c r="BK327" s="401">
        <v>0</v>
      </c>
      <c r="BL327" s="401">
        <v>0</v>
      </c>
      <c r="BM327" s="401">
        <v>0</v>
      </c>
      <c r="BN327" s="401">
        <v>2</v>
      </c>
      <c r="BO327" s="401">
        <v>1</v>
      </c>
      <c r="BP327" s="401">
        <v>0</v>
      </c>
      <c r="BQ327" s="401">
        <v>2</v>
      </c>
      <c r="BR327" s="401">
        <v>1</v>
      </c>
      <c r="BS327" s="401">
        <v>0</v>
      </c>
      <c r="BT327" s="401">
        <v>1</v>
      </c>
      <c r="BU327" s="401">
        <v>1</v>
      </c>
      <c r="BV327" s="401">
        <v>0</v>
      </c>
      <c r="BW327" s="401">
        <v>4</v>
      </c>
      <c r="BX327" s="401">
        <v>0</v>
      </c>
      <c r="BY327" s="401">
        <v>2</v>
      </c>
      <c r="BZ327" s="401">
        <v>1</v>
      </c>
      <c r="CA327" s="401">
        <v>1</v>
      </c>
      <c r="CB327" s="401">
        <v>0</v>
      </c>
    </row>
    <row r="328" spans="1:80" s="401" customFormat="1" x14ac:dyDescent="0.3">
      <c r="A328" s="993">
        <v>929</v>
      </c>
      <c r="B328" s="1042"/>
      <c r="C328" s="1042" t="s">
        <v>1481</v>
      </c>
      <c r="D328" s="1043" t="s">
        <v>668</v>
      </c>
      <c r="E328" s="1011">
        <v>0</v>
      </c>
      <c r="BH328" s="401">
        <v>0</v>
      </c>
      <c r="BI328" s="401">
        <v>0</v>
      </c>
      <c r="BJ328" s="401">
        <v>2</v>
      </c>
      <c r="BK328" s="401">
        <v>0</v>
      </c>
      <c r="BL328" s="401">
        <v>0</v>
      </c>
      <c r="BM328" s="401">
        <v>0</v>
      </c>
      <c r="BN328" s="401">
        <v>2</v>
      </c>
      <c r="BO328" s="401">
        <v>2</v>
      </c>
      <c r="BP328" s="401">
        <v>0</v>
      </c>
      <c r="BQ328" s="401">
        <v>2</v>
      </c>
      <c r="BR328" s="401">
        <v>2</v>
      </c>
      <c r="BS328" s="401">
        <v>0</v>
      </c>
      <c r="BT328" s="401">
        <v>2</v>
      </c>
      <c r="BU328" s="401">
        <v>2</v>
      </c>
      <c r="BV328" s="401">
        <v>0</v>
      </c>
      <c r="BW328" s="401">
        <v>1</v>
      </c>
      <c r="BX328" s="401">
        <v>0</v>
      </c>
      <c r="BY328" s="401">
        <v>2</v>
      </c>
      <c r="BZ328" s="401">
        <v>2</v>
      </c>
      <c r="CA328" s="401">
        <v>2</v>
      </c>
      <c r="CB328" s="401">
        <v>0</v>
      </c>
    </row>
    <row r="329" spans="1:80" s="401" customFormat="1" x14ac:dyDescent="0.3">
      <c r="A329" s="993">
        <v>930</v>
      </c>
      <c r="B329" s="1042"/>
      <c r="C329" s="1042" t="s">
        <v>1481</v>
      </c>
      <c r="D329" s="1043" t="s">
        <v>669</v>
      </c>
      <c r="E329" s="1011">
        <v>0</v>
      </c>
      <c r="BH329" s="401">
        <v>0</v>
      </c>
      <c r="BI329" s="401">
        <v>0</v>
      </c>
      <c r="BJ329" s="401">
        <v>2</v>
      </c>
      <c r="BK329" s="401">
        <v>0</v>
      </c>
      <c r="BL329" s="401">
        <v>0</v>
      </c>
      <c r="BM329" s="401">
        <v>0</v>
      </c>
      <c r="BN329" s="401">
        <v>2</v>
      </c>
      <c r="BO329" s="401">
        <v>2</v>
      </c>
      <c r="BP329" s="401">
        <v>0</v>
      </c>
      <c r="BQ329" s="401">
        <v>2</v>
      </c>
      <c r="BR329" s="401">
        <v>2</v>
      </c>
      <c r="BS329" s="401">
        <v>0</v>
      </c>
      <c r="BT329" s="401">
        <v>2</v>
      </c>
      <c r="BU329" s="401">
        <v>2</v>
      </c>
      <c r="BV329" s="401">
        <v>0</v>
      </c>
      <c r="BW329" s="401">
        <v>2</v>
      </c>
      <c r="BX329" s="401">
        <v>0</v>
      </c>
      <c r="BY329" s="401">
        <v>2</v>
      </c>
      <c r="BZ329" s="401">
        <v>2</v>
      </c>
      <c r="CA329" s="401">
        <v>2</v>
      </c>
      <c r="CB329" s="401">
        <v>0</v>
      </c>
    </row>
    <row r="330" spans="1:80" s="401" customFormat="1" x14ac:dyDescent="0.3">
      <c r="A330" s="993">
        <v>931</v>
      </c>
      <c r="B330" s="1042"/>
      <c r="C330" s="1042" t="s">
        <v>1481</v>
      </c>
      <c r="D330" s="1043" t="s">
        <v>670</v>
      </c>
      <c r="E330" s="1011">
        <v>0</v>
      </c>
      <c r="BH330" s="401">
        <v>0</v>
      </c>
      <c r="BI330" s="401">
        <v>0</v>
      </c>
      <c r="BJ330" s="401">
        <v>2</v>
      </c>
      <c r="BK330" s="401">
        <v>0</v>
      </c>
      <c r="BL330" s="401">
        <v>0</v>
      </c>
      <c r="BM330" s="401">
        <v>0</v>
      </c>
      <c r="BN330" s="401">
        <v>2</v>
      </c>
      <c r="BO330" s="401">
        <v>2</v>
      </c>
      <c r="BP330" s="401">
        <v>0</v>
      </c>
      <c r="BQ330" s="401">
        <v>2</v>
      </c>
      <c r="BR330" s="401">
        <v>2</v>
      </c>
      <c r="BS330" s="401">
        <v>0</v>
      </c>
      <c r="BT330" s="401">
        <v>2</v>
      </c>
      <c r="BU330" s="401">
        <v>2</v>
      </c>
      <c r="BV330" s="401">
        <v>0</v>
      </c>
      <c r="BW330" s="401">
        <v>2</v>
      </c>
      <c r="BX330" s="401">
        <v>0</v>
      </c>
      <c r="BY330" s="401">
        <v>2</v>
      </c>
      <c r="BZ330" s="401">
        <v>2</v>
      </c>
      <c r="CA330" s="401">
        <v>2</v>
      </c>
      <c r="CB330" s="401">
        <v>0</v>
      </c>
    </row>
    <row r="331" spans="1:80" s="401" customFormat="1" x14ac:dyDescent="0.3">
      <c r="A331" s="993">
        <v>932</v>
      </c>
      <c r="B331" s="1042"/>
      <c r="C331" s="1042" t="s">
        <v>1481</v>
      </c>
      <c r="D331" s="1043" t="s">
        <v>671</v>
      </c>
      <c r="E331" s="1011">
        <v>0</v>
      </c>
      <c r="BH331" s="401">
        <v>0</v>
      </c>
      <c r="BI331" s="401">
        <v>0</v>
      </c>
      <c r="BJ331" s="401">
        <v>2</v>
      </c>
      <c r="BK331" s="401">
        <v>0</v>
      </c>
      <c r="BL331" s="401">
        <v>0</v>
      </c>
      <c r="BM331" s="401">
        <v>0</v>
      </c>
      <c r="BN331" s="401">
        <v>2</v>
      </c>
      <c r="BO331" s="401">
        <v>2</v>
      </c>
      <c r="BP331" s="401">
        <v>0</v>
      </c>
      <c r="BQ331" s="401">
        <v>2</v>
      </c>
      <c r="BR331" s="401">
        <v>2</v>
      </c>
      <c r="BS331" s="401">
        <v>0</v>
      </c>
      <c r="BT331" s="401">
        <v>2</v>
      </c>
      <c r="BU331" s="401">
        <v>2</v>
      </c>
      <c r="BV331" s="401">
        <v>0</v>
      </c>
      <c r="BW331" s="401">
        <v>2</v>
      </c>
      <c r="BX331" s="401">
        <v>0</v>
      </c>
      <c r="BY331" s="401">
        <v>2</v>
      </c>
      <c r="BZ331" s="401">
        <v>2</v>
      </c>
      <c r="CA331" s="401">
        <v>2</v>
      </c>
      <c r="CB331" s="401">
        <v>0</v>
      </c>
    </row>
    <row r="332" spans="1:80" s="401" customFormat="1" x14ac:dyDescent="0.3">
      <c r="A332" s="993"/>
      <c r="B332" s="1042"/>
      <c r="C332" s="1042"/>
      <c r="D332" s="1043"/>
      <c r="E332" s="993"/>
    </row>
    <row r="333" spans="1:80" s="401" customFormat="1" x14ac:dyDescent="0.3">
      <c r="B333" s="402"/>
    </row>
    <row r="334" spans="1:80" s="401" customFormat="1" x14ac:dyDescent="0.3">
      <c r="A334" s="993"/>
      <c r="B334" s="1044" t="s">
        <v>1482</v>
      </c>
      <c r="C334" s="1044"/>
      <c r="D334" s="1044" t="s">
        <v>836</v>
      </c>
      <c r="E334" s="1045">
        <v>0</v>
      </c>
      <c r="BH334" s="401">
        <v>47685</v>
      </c>
      <c r="BI334" s="401">
        <v>3009729</v>
      </c>
      <c r="BJ334" s="401">
        <v>2485704</v>
      </c>
      <c r="BK334" s="401">
        <v>0</v>
      </c>
      <c r="BL334" s="401">
        <v>9454369</v>
      </c>
      <c r="BM334" s="401">
        <v>4163206</v>
      </c>
      <c r="BN334" s="401">
        <v>40551</v>
      </c>
      <c r="BO334" s="401">
        <v>6868959</v>
      </c>
      <c r="BP334" s="401">
        <v>1565361</v>
      </c>
      <c r="BQ334" s="401">
        <v>1043552</v>
      </c>
      <c r="BR334" s="401">
        <v>1983298</v>
      </c>
      <c r="BS334" s="401">
        <v>1104978</v>
      </c>
      <c r="BT334" s="401">
        <v>25453289</v>
      </c>
      <c r="BU334" s="401">
        <v>2020087</v>
      </c>
      <c r="BV334" s="401">
        <v>2776433</v>
      </c>
      <c r="BW334" s="401">
        <v>1435483</v>
      </c>
      <c r="BX334" s="401">
        <v>782442</v>
      </c>
      <c r="BY334" s="401">
        <v>31281</v>
      </c>
      <c r="BZ334" s="401">
        <v>40519</v>
      </c>
      <c r="CA334" s="401">
        <v>18193742</v>
      </c>
      <c r="CB334" s="401">
        <v>157054</v>
      </c>
    </row>
    <row r="335" spans="1:80" s="401" customFormat="1" x14ac:dyDescent="0.3">
      <c r="A335" s="993"/>
      <c r="B335" s="1046"/>
      <c r="C335" s="1046"/>
      <c r="D335" s="1046"/>
      <c r="E335" s="1047" t="b">
        <v>0</v>
      </c>
      <c r="BH335" s="401" t="s">
        <v>1001</v>
      </c>
      <c r="BI335" s="401" t="s">
        <v>998</v>
      </c>
      <c r="BJ335" s="401" t="s">
        <v>998</v>
      </c>
      <c r="BK335" s="401" t="b">
        <v>0</v>
      </c>
      <c r="BL335" s="401" t="s">
        <v>998</v>
      </c>
      <c r="BM335" s="401" t="s">
        <v>998</v>
      </c>
      <c r="BN335" s="401" t="s">
        <v>1001</v>
      </c>
      <c r="BO335" s="401" t="s">
        <v>998</v>
      </c>
      <c r="BP335" s="401" t="s">
        <v>998</v>
      </c>
      <c r="BQ335" s="401" t="s">
        <v>998</v>
      </c>
      <c r="BR335" s="401" t="s">
        <v>998</v>
      </c>
      <c r="BS335" s="401" t="s">
        <v>998</v>
      </c>
      <c r="BT335" s="401" t="s">
        <v>999</v>
      </c>
      <c r="BU335" s="401" t="s">
        <v>998</v>
      </c>
      <c r="BV335" s="401" t="s">
        <v>998</v>
      </c>
      <c r="BW335" s="401" t="s">
        <v>998</v>
      </c>
      <c r="BX335" s="401" t="s">
        <v>1000</v>
      </c>
      <c r="BY335" s="401" t="s">
        <v>1001</v>
      </c>
      <c r="BZ335" s="401" t="s">
        <v>1001</v>
      </c>
      <c r="CA335" s="401" t="s">
        <v>999</v>
      </c>
      <c r="CB335" s="401" t="s">
        <v>1000</v>
      </c>
    </row>
    <row r="336" spans="1:80" s="405" customFormat="1" x14ac:dyDescent="0.3">
      <c r="A336" s="993"/>
      <c r="B336" s="1046"/>
      <c r="C336" s="1046"/>
      <c r="D336" s="1046"/>
      <c r="E336" s="1047" t="b">
        <v>0</v>
      </c>
      <c r="BH336" s="405">
        <v>1</v>
      </c>
      <c r="BI336" s="405">
        <v>0.34</v>
      </c>
      <c r="BJ336" s="405">
        <v>0.34</v>
      </c>
      <c r="BL336" s="405">
        <v>0.34</v>
      </c>
      <c r="BM336" s="405">
        <v>0.34</v>
      </c>
      <c r="BN336" s="405">
        <v>1</v>
      </c>
      <c r="BO336" s="405">
        <v>0.34</v>
      </c>
      <c r="BP336" s="405">
        <v>0.34</v>
      </c>
      <c r="BQ336" s="405">
        <v>0.34</v>
      </c>
      <c r="BR336" s="405">
        <v>0.34</v>
      </c>
      <c r="BS336" s="405">
        <v>0.34</v>
      </c>
      <c r="BT336" s="405">
        <v>0.25</v>
      </c>
      <c r="BU336" s="405">
        <v>0.34</v>
      </c>
      <c r="BV336" s="405">
        <v>0.34</v>
      </c>
      <c r="BW336" s="405">
        <v>0.34</v>
      </c>
      <c r="BX336" s="405">
        <v>0.71</v>
      </c>
      <c r="BY336" s="405">
        <v>1</v>
      </c>
      <c r="BZ336" s="405">
        <v>1</v>
      </c>
      <c r="CA336" s="405">
        <v>0.25</v>
      </c>
      <c r="CB336" s="405">
        <v>0.71</v>
      </c>
    </row>
    <row r="337" spans="2:80" s="401" customFormat="1" ht="55.8" x14ac:dyDescent="0.3">
      <c r="B337" s="1048" t="s">
        <v>837</v>
      </c>
      <c r="C337" s="1049"/>
      <c r="D337" s="1050" t="s">
        <v>627</v>
      </c>
      <c r="E337" s="1051">
        <v>0</v>
      </c>
      <c r="BH337" s="401">
        <v>151938</v>
      </c>
      <c r="BI337" s="401">
        <v>2696780</v>
      </c>
      <c r="BJ337" s="401">
        <v>3219557</v>
      </c>
      <c r="BK337" s="401">
        <v>0</v>
      </c>
      <c r="BL337" s="401">
        <v>2466858</v>
      </c>
      <c r="BM337" s="401">
        <v>5673126</v>
      </c>
      <c r="BN337" s="401">
        <v>136189</v>
      </c>
      <c r="BO337" s="401">
        <v>3306575</v>
      </c>
      <c r="BP337" s="401">
        <v>3353718</v>
      </c>
      <c r="BQ337" s="401">
        <v>1460119</v>
      </c>
      <c r="BR337" s="401">
        <v>2534604</v>
      </c>
      <c r="BS337" s="401">
        <v>2035149</v>
      </c>
      <c r="BT337" s="401">
        <v>8873551</v>
      </c>
      <c r="BU337" s="401">
        <v>2107484</v>
      </c>
      <c r="BV337" s="401">
        <v>1610680</v>
      </c>
      <c r="BW337" s="401">
        <v>938874</v>
      </c>
      <c r="BX337" s="401">
        <v>807990</v>
      </c>
      <c r="BY337" s="401">
        <v>165153</v>
      </c>
      <c r="BZ337" s="401">
        <v>192770</v>
      </c>
      <c r="CA337" s="401">
        <v>12254939</v>
      </c>
      <c r="CB337" s="401">
        <v>94313</v>
      </c>
    </row>
    <row r="338" spans="2:80" s="401" customFormat="1" ht="42" x14ac:dyDescent="0.3">
      <c r="B338" s="1048" t="s">
        <v>522</v>
      </c>
      <c r="C338" s="1049"/>
      <c r="D338" s="1050" t="s">
        <v>527</v>
      </c>
      <c r="E338" s="1051">
        <v>0</v>
      </c>
      <c r="BH338" s="401">
        <v>47685</v>
      </c>
      <c r="BI338" s="401">
        <v>3009729</v>
      </c>
      <c r="BJ338" s="401">
        <v>2485704</v>
      </c>
      <c r="BK338" s="401">
        <v>0</v>
      </c>
      <c r="BL338" s="401">
        <v>9454369</v>
      </c>
      <c r="BM338" s="401">
        <v>4163206</v>
      </c>
      <c r="BN338" s="401">
        <v>40551</v>
      </c>
      <c r="BO338" s="401">
        <v>6868959</v>
      </c>
      <c r="BP338" s="401">
        <v>1565361</v>
      </c>
      <c r="BQ338" s="401">
        <v>1043552</v>
      </c>
      <c r="BR338" s="401">
        <v>1983298</v>
      </c>
      <c r="BS338" s="401">
        <v>1104978</v>
      </c>
      <c r="BT338" s="401">
        <v>25453289</v>
      </c>
      <c r="BU338" s="401">
        <v>2020087</v>
      </c>
      <c r="BV338" s="401">
        <v>2776433</v>
      </c>
      <c r="BW338" s="401">
        <v>1435483</v>
      </c>
      <c r="BX338" s="401">
        <v>782442</v>
      </c>
      <c r="BY338" s="401">
        <v>31281</v>
      </c>
      <c r="BZ338" s="401">
        <v>40519</v>
      </c>
      <c r="CA338" s="401">
        <v>18193742</v>
      </c>
      <c r="CB338" s="401">
        <v>157054</v>
      </c>
    </row>
    <row r="339" spans="2:80" s="405" customFormat="1" ht="57.6" x14ac:dyDescent="0.3">
      <c r="B339" s="1052" t="s">
        <v>838</v>
      </c>
      <c r="C339" s="1052"/>
      <c r="D339" s="1053" t="s">
        <v>626</v>
      </c>
      <c r="E339" s="1054" t="e">
        <v>#DIV/0!</v>
      </c>
      <c r="BH339" s="405">
        <v>3.1862849952815351</v>
      </c>
      <c r="BI339" s="405">
        <v>0.89602087098207184</v>
      </c>
      <c r="BJ339" s="405">
        <v>1.2952294400298667</v>
      </c>
      <c r="BK339" s="405" t="e">
        <v>#DIV/0!</v>
      </c>
      <c r="BL339" s="405">
        <v>0.26092254279476507</v>
      </c>
      <c r="BM339" s="405">
        <v>1.3626820291861608</v>
      </c>
      <c r="BN339" s="405">
        <v>3.3584621834233435</v>
      </c>
      <c r="BO339" s="405">
        <v>0.4813793472926538</v>
      </c>
      <c r="BP339" s="405">
        <v>2.1424565962739583</v>
      </c>
      <c r="BQ339" s="405">
        <v>1.3991818328171477</v>
      </c>
      <c r="BR339" s="405">
        <v>1.2779743639130379</v>
      </c>
      <c r="BS339" s="405">
        <v>1.8418004702356066</v>
      </c>
      <c r="BT339" s="405">
        <v>0.34862099746716424</v>
      </c>
      <c r="BU339" s="405">
        <v>1.0432639782346007</v>
      </c>
      <c r="BV339" s="405">
        <v>0.58012565042988606</v>
      </c>
      <c r="BW339" s="405">
        <v>0.65404745301755574</v>
      </c>
      <c r="BX339" s="405">
        <v>1.032651621462038</v>
      </c>
      <c r="BY339" s="405">
        <v>5.2796585786899399</v>
      </c>
      <c r="BZ339" s="405">
        <v>4.7575211629112264</v>
      </c>
      <c r="CA339" s="405">
        <v>0.67357990456278871</v>
      </c>
      <c r="CB339" s="405">
        <v>0.60051319928177571</v>
      </c>
    </row>
    <row r="340" spans="2:80" s="401" customFormat="1" ht="28.8" x14ac:dyDescent="0.3">
      <c r="B340" s="1052" t="s">
        <v>523</v>
      </c>
      <c r="C340" s="1052"/>
      <c r="D340" s="1055" t="s">
        <v>528</v>
      </c>
      <c r="E340" s="1056">
        <v>0</v>
      </c>
      <c r="BH340" s="401">
        <v>0</v>
      </c>
      <c r="BI340" s="401">
        <v>317512</v>
      </c>
      <c r="BJ340" s="401">
        <v>193760</v>
      </c>
      <c r="BK340" s="401">
        <v>0</v>
      </c>
      <c r="BL340" s="401">
        <v>79013</v>
      </c>
      <c r="BM340" s="401">
        <v>44138</v>
      </c>
      <c r="BN340" s="401">
        <v>0</v>
      </c>
      <c r="BO340" s="401">
        <v>299338</v>
      </c>
      <c r="BP340" s="401">
        <v>112358</v>
      </c>
      <c r="BQ340" s="401">
        <v>36207</v>
      </c>
      <c r="BR340" s="401">
        <v>97188</v>
      </c>
      <c r="BS340" s="401">
        <v>0</v>
      </c>
      <c r="BT340" s="401">
        <v>0</v>
      </c>
      <c r="BU340" s="401">
        <v>41531</v>
      </c>
      <c r="BV340" s="401">
        <v>368887</v>
      </c>
      <c r="BW340" s="401">
        <v>12132</v>
      </c>
      <c r="BX340" s="401">
        <v>0</v>
      </c>
      <c r="BY340" s="401">
        <v>0</v>
      </c>
      <c r="BZ340" s="401">
        <v>0</v>
      </c>
      <c r="CA340" s="401">
        <v>851748</v>
      </c>
      <c r="CB340" s="401">
        <v>0</v>
      </c>
    </row>
    <row r="341" spans="2:80" s="401" customFormat="1" ht="57.6" x14ac:dyDescent="0.3">
      <c r="B341" s="1052" t="s">
        <v>602</v>
      </c>
      <c r="C341" s="1052"/>
      <c r="D341" s="1050" t="s">
        <v>524</v>
      </c>
      <c r="E341" s="1056"/>
    </row>
    <row r="342" spans="2:80" s="401" customFormat="1" ht="43.2" x14ac:dyDescent="0.3">
      <c r="B342" s="1052" t="s">
        <v>526</v>
      </c>
      <c r="C342" s="1057"/>
      <c r="D342" s="1050" t="s">
        <v>525</v>
      </c>
      <c r="E342" s="1056"/>
    </row>
    <row r="343" spans="2:80" s="401" customFormat="1" ht="28.8" x14ac:dyDescent="0.3">
      <c r="B343" s="1052" t="s">
        <v>529</v>
      </c>
      <c r="C343" s="1057"/>
      <c r="D343" s="1050" t="s">
        <v>531</v>
      </c>
      <c r="E343" s="1056"/>
    </row>
    <row r="344" spans="2:80" s="401" customFormat="1" ht="43.2" x14ac:dyDescent="0.3">
      <c r="B344" s="1052" t="s">
        <v>530</v>
      </c>
      <c r="C344" s="1057"/>
      <c r="D344" s="1050" t="s">
        <v>532</v>
      </c>
      <c r="E344" s="1056"/>
    </row>
    <row r="345" spans="2:80" s="401" customFormat="1" ht="43.2" x14ac:dyDescent="0.3">
      <c r="B345" s="1052" t="s">
        <v>624</v>
      </c>
      <c r="C345" s="1057"/>
      <c r="D345" s="1050" t="s">
        <v>627</v>
      </c>
      <c r="E345" s="1056"/>
    </row>
    <row r="346" spans="2:80" s="401" customFormat="1" ht="57.6" x14ac:dyDescent="0.3">
      <c r="B346" s="1052" t="s">
        <v>625</v>
      </c>
      <c r="C346" s="1057"/>
      <c r="D346" s="993" t="s">
        <v>626</v>
      </c>
      <c r="E346" s="1056"/>
    </row>
    <row r="347" spans="2:80" s="401" customFormat="1" ht="28.8" x14ac:dyDescent="0.3">
      <c r="B347" s="1058" t="s">
        <v>839</v>
      </c>
      <c r="C347" s="1052"/>
      <c r="D347" s="1059" t="s">
        <v>550</v>
      </c>
      <c r="E347" s="1056" t="e">
        <v>#DIV/0!</v>
      </c>
      <c r="BH347" s="401" t="e">
        <v>#DIV/0!</v>
      </c>
      <c r="BI347" s="401">
        <v>2.140739113875135</v>
      </c>
      <c r="BJ347" s="401">
        <v>10.064026612977207</v>
      </c>
      <c r="BK347" s="401" t="e">
        <v>#DIV/0!</v>
      </c>
      <c r="BL347" s="401">
        <v>29.15234895685688</v>
      </c>
      <c r="BM347" s="401">
        <v>16.589920948616601</v>
      </c>
      <c r="BN347" s="401" t="e">
        <v>#DIV/0!</v>
      </c>
      <c r="BO347" s="401">
        <v>6.3453389056426657</v>
      </c>
      <c r="BP347" s="401">
        <v>17.210449873380011</v>
      </c>
      <c r="BQ347" s="401">
        <v>51.483160063239595</v>
      </c>
      <c r="BR347" s="401">
        <v>2.4723680236402372</v>
      </c>
      <c r="BS347" s="401" t="e">
        <v>#DIV/0!</v>
      </c>
      <c r="BT347" s="401" t="e">
        <v>#DIV/0!</v>
      </c>
      <c r="BU347" s="401">
        <v>10.14565902155724</v>
      </c>
      <c r="BV347" s="401">
        <v>7.2586452062864382</v>
      </c>
      <c r="BW347" s="401">
        <v>3.7882354532786775</v>
      </c>
      <c r="BX347" s="401">
        <v>2.6027955920795067</v>
      </c>
      <c r="BY347" s="401" t="e">
        <v>#DIV/0!</v>
      </c>
      <c r="BZ347" s="401" t="e">
        <v>#DIV/0!</v>
      </c>
      <c r="CA347" s="401">
        <v>6.0953589166680535</v>
      </c>
      <c r="CB347" s="401" t="e">
        <v>#DIV/0!</v>
      </c>
    </row>
    <row r="348" spans="2:80" s="401" customFormat="1" x14ac:dyDescent="0.3">
      <c r="B348" s="1218" t="s">
        <v>844</v>
      </c>
      <c r="C348" s="1219"/>
      <c r="D348" s="1029" t="s">
        <v>1005</v>
      </c>
      <c r="E348" s="1060">
        <v>0</v>
      </c>
      <c r="BH348" s="401">
        <f t="shared" ref="BH348:BQ348" si="0">+BH48-BH49+BH36-BH97</f>
        <v>0</v>
      </c>
      <c r="BI348" s="401">
        <f t="shared" si="0"/>
        <v>81423</v>
      </c>
      <c r="BJ348" s="401">
        <f t="shared" si="0"/>
        <v>143130</v>
      </c>
      <c r="BK348" s="401">
        <f t="shared" si="0"/>
        <v>0</v>
      </c>
      <c r="BL348" s="401">
        <f t="shared" si="0"/>
        <v>197067</v>
      </c>
      <c r="BM348" s="401">
        <f t="shared" si="0"/>
        <v>479062</v>
      </c>
      <c r="BN348" s="401">
        <f t="shared" si="0"/>
        <v>0</v>
      </c>
      <c r="BO348" s="401">
        <f t="shared" si="0"/>
        <v>352606</v>
      </c>
      <c r="BP348" s="401">
        <f t="shared" si="0"/>
        <v>256413</v>
      </c>
      <c r="BQ348" s="401">
        <f t="shared" si="0"/>
        <v>205522</v>
      </c>
      <c r="BR348" s="401">
        <f t="shared" ref="BR348:CB348" si="1">+BR48-BR49+BR36-BR97</f>
        <v>93957</v>
      </c>
      <c r="BS348" s="401">
        <f t="shared" si="1"/>
        <v>0</v>
      </c>
      <c r="BT348" s="401">
        <f t="shared" si="1"/>
        <v>0</v>
      </c>
      <c r="BU348" s="401">
        <f t="shared" si="1"/>
        <v>-45214</v>
      </c>
      <c r="BV348" s="401">
        <f t="shared" si="1"/>
        <v>184535</v>
      </c>
      <c r="BW348" s="401">
        <f t="shared" si="1"/>
        <v>57367</v>
      </c>
      <c r="BX348" s="401">
        <f t="shared" si="1"/>
        <v>661423</v>
      </c>
      <c r="BY348" s="401">
        <f t="shared" si="1"/>
        <v>0</v>
      </c>
      <c r="BZ348" s="401">
        <f t="shared" si="1"/>
        <v>0</v>
      </c>
      <c r="CA348" s="401">
        <f t="shared" si="1"/>
        <v>1246711</v>
      </c>
      <c r="CB348" s="401">
        <f t="shared" si="1"/>
        <v>0</v>
      </c>
    </row>
    <row r="349" spans="2:80" s="401" customFormat="1" x14ac:dyDescent="0.3">
      <c r="B349" s="1220" t="s">
        <v>843</v>
      </c>
      <c r="C349" s="1219"/>
      <c r="D349" s="1029" t="s">
        <v>845</v>
      </c>
      <c r="E349" s="1056" t="e">
        <v>#DIV/0!</v>
      </c>
      <c r="BH349" s="401" t="e">
        <f t="shared" ref="BH349:BQ349" si="2">+BH44/(BH49+BH115-BH36+BH97)</f>
        <v>#DIV/0!</v>
      </c>
      <c r="BI349" s="401">
        <f t="shared" si="2"/>
        <v>0.4469558455527341</v>
      </c>
      <c r="BJ349" s="401">
        <f t="shared" si="2"/>
        <v>2.2517835786090625</v>
      </c>
      <c r="BK349" s="401" t="e">
        <f t="shared" si="2"/>
        <v>#DIV/0!</v>
      </c>
      <c r="BL349" s="401">
        <f t="shared" si="2"/>
        <v>2.2156268927922471</v>
      </c>
      <c r="BM349" s="401">
        <f t="shared" si="2"/>
        <v>1.7881104314201071</v>
      </c>
      <c r="BN349" s="401" t="e">
        <f t="shared" si="2"/>
        <v>#DIV/0!</v>
      </c>
      <c r="BO349" s="401">
        <f t="shared" si="2"/>
        <v>0.50086017791550719</v>
      </c>
      <c r="BP349" s="401">
        <f t="shared" si="2"/>
        <v>4.1043090817196504</v>
      </c>
      <c r="BQ349" s="401">
        <f t="shared" si="2"/>
        <v>1.8411814523494539</v>
      </c>
      <c r="BR349" s="401">
        <f t="shared" ref="BR349:CB349" si="3">+BR44/(BR49+BR115-BR36+BR97)</f>
        <v>1.4020216051734358</v>
      </c>
      <c r="BS349" s="401" t="e">
        <f t="shared" si="3"/>
        <v>#DIV/0!</v>
      </c>
      <c r="BT349" s="401" t="e">
        <f t="shared" si="3"/>
        <v>#DIV/0!</v>
      </c>
      <c r="BU349" s="401">
        <f t="shared" si="3"/>
        <v>1.3777772769395367</v>
      </c>
      <c r="BV349" s="401">
        <f t="shared" si="3"/>
        <v>0.69278725117427076</v>
      </c>
      <c r="BW349" s="401">
        <f t="shared" si="3"/>
        <v>0.36200716085624834</v>
      </c>
      <c r="BX349" s="401">
        <f t="shared" si="3"/>
        <v>1.1283249635358208</v>
      </c>
      <c r="BY349" s="401" t="e">
        <f t="shared" si="3"/>
        <v>#DIV/0!</v>
      </c>
      <c r="BZ349" s="401" t="e">
        <f t="shared" si="3"/>
        <v>#DIV/0!</v>
      </c>
      <c r="CA349" s="401">
        <f t="shared" si="3"/>
        <v>1.167554668186698</v>
      </c>
      <c r="CB349" s="401" t="e">
        <f t="shared" si="3"/>
        <v>#DIV/0!</v>
      </c>
    </row>
    <row r="350" spans="2:80" s="401" customFormat="1" ht="28.8" x14ac:dyDescent="0.3">
      <c r="B350" s="1058" t="s">
        <v>842</v>
      </c>
      <c r="C350" s="1052"/>
      <c r="D350" s="1061" t="s">
        <v>846</v>
      </c>
      <c r="E350" s="1056" t="e">
        <v>#DIV/0!</v>
      </c>
      <c r="BH350" s="401" t="e">
        <v>#DIV/0!</v>
      </c>
      <c r="BI350" s="401" t="e">
        <v>#DIV/0!</v>
      </c>
      <c r="BJ350" s="401" t="e">
        <v>#DIV/0!</v>
      </c>
      <c r="BK350" s="401" t="e">
        <v>#DIV/0!</v>
      </c>
      <c r="BL350" s="401">
        <v>49.548571145886584</v>
      </c>
      <c r="BM350" s="401" t="e">
        <v>#DIV/0!</v>
      </c>
      <c r="BN350" s="401" t="e">
        <v>#DIV/0!</v>
      </c>
      <c r="BO350" s="401" t="e">
        <v>#DIV/0!</v>
      </c>
      <c r="BP350" s="401" t="e">
        <v>#DIV/0!</v>
      </c>
      <c r="BQ350" s="401" t="e">
        <v>#DIV/0!</v>
      </c>
      <c r="BR350" s="401" t="e">
        <v>#DIV/0!</v>
      </c>
      <c r="BS350" s="401" t="e">
        <v>#DIV/0!</v>
      </c>
      <c r="BT350" s="401" t="e">
        <v>#DIV/0!</v>
      </c>
      <c r="BU350" s="401" t="e">
        <v>#DIV/0!</v>
      </c>
      <c r="BV350" s="401" t="e">
        <v>#DIV/0!</v>
      </c>
      <c r="BW350" s="401" t="e">
        <v>#DIV/0!</v>
      </c>
      <c r="BX350" s="401" t="e">
        <v>#DIV/0!</v>
      </c>
      <c r="BY350" s="401" t="e">
        <v>#DIV/0!</v>
      </c>
      <c r="BZ350" s="401" t="e">
        <v>#DIV/0!</v>
      </c>
      <c r="CA350" s="401" t="e">
        <v>#DIV/0!</v>
      </c>
      <c r="CB350" s="401" t="e">
        <v>#DIV/0!</v>
      </c>
    </row>
    <row r="351" spans="2:80" s="401" customFormat="1" x14ac:dyDescent="0.3">
      <c r="B351" s="1221" t="s">
        <v>848</v>
      </c>
      <c r="C351" s="1222"/>
      <c r="D351" s="1062" t="s">
        <v>1006</v>
      </c>
      <c r="E351" s="1060">
        <v>0</v>
      </c>
      <c r="BH351" s="401">
        <f t="shared" ref="BH351:BQ351" si="4">+BH55-BH56+BH39-BH60</f>
        <v>0</v>
      </c>
      <c r="BI351" s="401">
        <f t="shared" si="4"/>
        <v>0</v>
      </c>
      <c r="BJ351" s="401">
        <f t="shared" si="4"/>
        <v>0</v>
      </c>
      <c r="BK351" s="401">
        <f t="shared" si="4"/>
        <v>0</v>
      </c>
      <c r="BL351" s="401">
        <f t="shared" si="4"/>
        <v>1095092</v>
      </c>
      <c r="BM351" s="401">
        <f t="shared" si="4"/>
        <v>0</v>
      </c>
      <c r="BN351" s="401">
        <f t="shared" si="4"/>
        <v>0</v>
      </c>
      <c r="BO351" s="401">
        <f t="shared" si="4"/>
        <v>0</v>
      </c>
      <c r="BP351" s="401">
        <f t="shared" si="4"/>
        <v>0</v>
      </c>
      <c r="BQ351" s="401">
        <f t="shared" si="4"/>
        <v>0</v>
      </c>
      <c r="BR351" s="401">
        <f t="shared" ref="BR351:CB351" si="5">+BR55-BR56+BR39-BR60</f>
        <v>0</v>
      </c>
      <c r="BS351" s="401">
        <f t="shared" si="5"/>
        <v>0</v>
      </c>
      <c r="BT351" s="401">
        <f t="shared" si="5"/>
        <v>0</v>
      </c>
      <c r="BU351" s="401">
        <f t="shared" si="5"/>
        <v>0</v>
      </c>
      <c r="BV351" s="401">
        <f t="shared" si="5"/>
        <v>0</v>
      </c>
      <c r="BW351" s="401">
        <f t="shared" si="5"/>
        <v>0</v>
      </c>
      <c r="BX351" s="401">
        <f t="shared" si="5"/>
        <v>0</v>
      </c>
      <c r="BY351" s="401">
        <f t="shared" si="5"/>
        <v>0</v>
      </c>
      <c r="BZ351" s="401">
        <f t="shared" si="5"/>
        <v>0</v>
      </c>
      <c r="CA351" s="401">
        <f t="shared" si="5"/>
        <v>0</v>
      </c>
      <c r="CB351" s="401">
        <f t="shared" si="5"/>
        <v>0</v>
      </c>
    </row>
    <row r="352" spans="2:80" s="401" customFormat="1" x14ac:dyDescent="0.3">
      <c r="B352" s="1221" t="s">
        <v>849</v>
      </c>
      <c r="C352" s="1222"/>
      <c r="D352" s="1062" t="s">
        <v>850</v>
      </c>
      <c r="E352" s="1056" t="e">
        <v>#DIV/0!</v>
      </c>
      <c r="BH352" s="401" t="e">
        <f t="shared" ref="BH352:BQ352" si="6">+BH52/(BH125+BH56-BH39+BH60)</f>
        <v>#DIV/0!</v>
      </c>
      <c r="BI352" s="401" t="e">
        <f t="shared" si="6"/>
        <v>#DIV/0!</v>
      </c>
      <c r="BJ352" s="401" t="e">
        <f t="shared" si="6"/>
        <v>#DIV/0!</v>
      </c>
      <c r="BK352" s="401" t="e">
        <f t="shared" si="6"/>
        <v>#DIV/0!</v>
      </c>
      <c r="BL352" s="401">
        <f t="shared" si="6"/>
        <v>0.36864333071685912</v>
      </c>
      <c r="BM352" s="401" t="e">
        <f t="shared" si="6"/>
        <v>#DIV/0!</v>
      </c>
      <c r="BN352" s="401" t="e">
        <f t="shared" si="6"/>
        <v>#DIV/0!</v>
      </c>
      <c r="BO352" s="401" t="e">
        <f t="shared" si="6"/>
        <v>#DIV/0!</v>
      </c>
      <c r="BP352" s="401" t="e">
        <f t="shared" si="6"/>
        <v>#DIV/0!</v>
      </c>
      <c r="BQ352" s="401" t="e">
        <f t="shared" si="6"/>
        <v>#DIV/0!</v>
      </c>
      <c r="BR352" s="401" t="e">
        <f t="shared" ref="BR352:CB352" si="7">+BR52/(BR125+BR56-BR39+BR60)</f>
        <v>#DIV/0!</v>
      </c>
      <c r="BS352" s="401" t="e">
        <f t="shared" si="7"/>
        <v>#DIV/0!</v>
      </c>
      <c r="BT352" s="401" t="e">
        <f t="shared" si="7"/>
        <v>#DIV/0!</v>
      </c>
      <c r="BU352" s="401" t="e">
        <f t="shared" si="7"/>
        <v>#DIV/0!</v>
      </c>
      <c r="BV352" s="401" t="e">
        <f t="shared" si="7"/>
        <v>#DIV/0!</v>
      </c>
      <c r="BW352" s="401" t="e">
        <f t="shared" si="7"/>
        <v>#DIV/0!</v>
      </c>
      <c r="BX352" s="401" t="e">
        <f t="shared" si="7"/>
        <v>#DIV/0!</v>
      </c>
      <c r="BY352" s="401" t="e">
        <f t="shared" si="7"/>
        <v>#DIV/0!</v>
      </c>
      <c r="BZ352" s="401" t="e">
        <f t="shared" si="7"/>
        <v>#DIV/0!</v>
      </c>
      <c r="CA352" s="401" t="e">
        <f t="shared" si="7"/>
        <v>#DIV/0!</v>
      </c>
      <c r="CB352" s="401" t="e">
        <f t="shared" si="7"/>
        <v>#DIV/0!</v>
      </c>
    </row>
    <row r="353" spans="1:80" s="401" customFormat="1" ht="57.6" x14ac:dyDescent="0.3">
      <c r="A353" s="993"/>
      <c r="B353" s="1063" t="s">
        <v>1483</v>
      </c>
      <c r="C353" s="1052"/>
      <c r="D353" s="1059" t="s">
        <v>864</v>
      </c>
      <c r="E353" s="1064">
        <v>0</v>
      </c>
      <c r="BH353" s="401">
        <f t="shared" ref="BH353:BQ353" si="8">+BH177+BH118</f>
        <v>0</v>
      </c>
      <c r="BI353" s="401">
        <f t="shared" si="8"/>
        <v>0</v>
      </c>
      <c r="BJ353" s="401">
        <f t="shared" si="8"/>
        <v>0</v>
      </c>
      <c r="BK353" s="401">
        <f t="shared" si="8"/>
        <v>0</v>
      </c>
      <c r="BL353" s="401">
        <f t="shared" si="8"/>
        <v>6785633</v>
      </c>
      <c r="BM353" s="401">
        <f t="shared" si="8"/>
        <v>0</v>
      </c>
      <c r="BN353" s="401">
        <f t="shared" si="8"/>
        <v>0</v>
      </c>
      <c r="BO353" s="401">
        <f t="shared" si="8"/>
        <v>0</v>
      </c>
      <c r="BP353" s="401">
        <f t="shared" si="8"/>
        <v>0</v>
      </c>
      <c r="BQ353" s="401">
        <f t="shared" si="8"/>
        <v>0</v>
      </c>
      <c r="BR353" s="401">
        <f t="shared" ref="BR353:CB353" si="9">+BR177+BR118</f>
        <v>0</v>
      </c>
      <c r="BS353" s="401">
        <f t="shared" si="9"/>
        <v>0</v>
      </c>
      <c r="BT353" s="401">
        <f t="shared" si="9"/>
        <v>0</v>
      </c>
      <c r="BU353" s="401">
        <f t="shared" si="9"/>
        <v>0</v>
      </c>
      <c r="BV353" s="401">
        <f t="shared" si="9"/>
        <v>0</v>
      </c>
      <c r="BW353" s="401">
        <f t="shared" si="9"/>
        <v>0</v>
      </c>
      <c r="BX353" s="401">
        <f t="shared" si="9"/>
        <v>0</v>
      </c>
      <c r="BY353" s="401">
        <f t="shared" si="9"/>
        <v>0</v>
      </c>
      <c r="BZ353" s="401">
        <f t="shared" si="9"/>
        <v>0</v>
      </c>
      <c r="CA353" s="401">
        <f t="shared" si="9"/>
        <v>0</v>
      </c>
      <c r="CB353" s="401">
        <f t="shared" si="9"/>
        <v>0</v>
      </c>
    </row>
    <row r="354" spans="1:80" s="401" customFormat="1" ht="57.6" x14ac:dyDescent="0.3">
      <c r="A354" s="993"/>
      <c r="B354" s="1058" t="s">
        <v>863</v>
      </c>
      <c r="C354" s="1052"/>
      <c r="D354" s="1059"/>
      <c r="E354" s="993"/>
      <c r="BH354" s="401">
        <f t="shared" ref="BH354:BR354" si="10">+BH55</f>
        <v>0</v>
      </c>
      <c r="BI354" s="401">
        <f t="shared" si="10"/>
        <v>0</v>
      </c>
      <c r="BJ354" s="401">
        <f t="shared" si="10"/>
        <v>0</v>
      </c>
      <c r="BK354" s="401">
        <f t="shared" si="10"/>
        <v>0</v>
      </c>
      <c r="BL354" s="401">
        <f t="shared" si="10"/>
        <v>8028086</v>
      </c>
      <c r="BM354" s="401">
        <f t="shared" si="10"/>
        <v>0</v>
      </c>
      <c r="BN354" s="401">
        <f t="shared" si="10"/>
        <v>0</v>
      </c>
      <c r="BO354" s="401">
        <f t="shared" si="10"/>
        <v>0</v>
      </c>
      <c r="BP354" s="401">
        <f t="shared" si="10"/>
        <v>0</v>
      </c>
      <c r="BQ354" s="401">
        <f t="shared" si="10"/>
        <v>0</v>
      </c>
      <c r="BR354" s="401">
        <f t="shared" si="10"/>
        <v>0</v>
      </c>
      <c r="BS354" s="401">
        <f t="shared" ref="BS354:CB354" si="11">+BS55</f>
        <v>0</v>
      </c>
      <c r="BT354" s="401">
        <f t="shared" si="11"/>
        <v>0</v>
      </c>
      <c r="BU354" s="401">
        <f t="shared" si="11"/>
        <v>0</v>
      </c>
      <c r="BV354" s="401">
        <f t="shared" si="11"/>
        <v>0</v>
      </c>
      <c r="BW354" s="401">
        <f t="shared" si="11"/>
        <v>0</v>
      </c>
      <c r="BX354" s="401">
        <f t="shared" si="11"/>
        <v>0</v>
      </c>
      <c r="BY354" s="401">
        <f t="shared" si="11"/>
        <v>0</v>
      </c>
      <c r="BZ354" s="401">
        <f t="shared" si="11"/>
        <v>0</v>
      </c>
      <c r="CA354" s="401">
        <f t="shared" si="11"/>
        <v>0</v>
      </c>
      <c r="CB354" s="401">
        <f t="shared" si="11"/>
        <v>0</v>
      </c>
    </row>
    <row r="355" spans="1:80" s="401" customFormat="1" x14ac:dyDescent="0.3">
      <c r="B355" s="402"/>
    </row>
    <row r="356" spans="1:80" s="401" customFormat="1" x14ac:dyDescent="0.3">
      <c r="B356" s="402"/>
    </row>
    <row r="361" spans="1:80" x14ac:dyDescent="0.3">
      <c r="A361" s="993"/>
      <c r="B361" s="1065"/>
      <c r="C361" s="1065"/>
      <c r="D361" s="1065"/>
      <c r="E361" s="1065"/>
    </row>
    <row r="362" spans="1:80" x14ac:dyDescent="0.3">
      <c r="A362" s="993"/>
      <c r="B362" s="1065"/>
      <c r="C362" s="1065"/>
      <c r="D362" s="1065" t="s">
        <v>1002</v>
      </c>
      <c r="E362" s="1066">
        <v>65570574</v>
      </c>
    </row>
    <row r="363" spans="1:80" x14ac:dyDescent="0.3">
      <c r="A363" s="993"/>
      <c r="B363" s="1065"/>
      <c r="C363" s="1065"/>
      <c r="D363" s="1065" t="s">
        <v>1003</v>
      </c>
      <c r="E363" s="1067">
        <v>65570574</v>
      </c>
    </row>
    <row r="364" spans="1:80" x14ac:dyDescent="0.3">
      <c r="A364" s="993"/>
      <c r="B364" s="1065"/>
      <c r="C364" s="1065"/>
      <c r="D364" s="1065"/>
      <c r="E364" s="1068">
        <v>0</v>
      </c>
    </row>
    <row r="366" spans="1:80" x14ac:dyDescent="0.3">
      <c r="A366" s="993" t="s">
        <v>1484</v>
      </c>
      <c r="B366" s="993"/>
      <c r="C366" s="993"/>
      <c r="D366" s="993"/>
      <c r="E366" s="993"/>
    </row>
    <row r="368" spans="1:80" x14ac:dyDescent="0.3">
      <c r="A368" s="993">
        <v>336</v>
      </c>
      <c r="B368" s="1000"/>
      <c r="C368" s="997">
        <v>336</v>
      </c>
      <c r="D368" s="998" t="s">
        <v>393</v>
      </c>
      <c r="E368" s="1011">
        <v>0</v>
      </c>
    </row>
    <row r="369" spans="1:6" x14ac:dyDescent="0.3">
      <c r="A369" s="1006">
        <v>537</v>
      </c>
      <c r="B369" s="1000"/>
      <c r="C369" s="1014">
        <v>537</v>
      </c>
      <c r="D369" s="1014" t="s">
        <v>295</v>
      </c>
      <c r="E369" s="1015">
        <v>0</v>
      </c>
      <c r="F369" s="993"/>
    </row>
    <row r="370" spans="1:6" x14ac:dyDescent="0.3">
      <c r="A370" s="1006">
        <v>538</v>
      </c>
      <c r="B370" s="1000"/>
      <c r="C370" s="1014">
        <v>538</v>
      </c>
      <c r="D370" s="1014" t="s">
        <v>294</v>
      </c>
      <c r="E370" s="1015">
        <v>0</v>
      </c>
      <c r="F370" s="993"/>
    </row>
    <row r="371" spans="1:6" x14ac:dyDescent="0.3">
      <c r="A371" s="1006">
        <v>554</v>
      </c>
      <c r="B371" s="1000">
        <v>554</v>
      </c>
      <c r="C371" s="1014">
        <v>554</v>
      </c>
      <c r="D371" s="1014" t="s">
        <v>365</v>
      </c>
      <c r="E371" s="1015">
        <v>0</v>
      </c>
      <c r="F371" s="993"/>
    </row>
    <row r="372" spans="1:6" x14ac:dyDescent="0.3">
      <c r="A372" s="1006">
        <v>555</v>
      </c>
      <c r="B372" s="1000">
        <v>555</v>
      </c>
      <c r="C372" s="1014">
        <v>555</v>
      </c>
      <c r="D372" s="1014" t="s">
        <v>366</v>
      </c>
      <c r="E372" s="1015">
        <v>0</v>
      </c>
      <c r="F372" s="993"/>
    </row>
    <row r="373" spans="1:6" x14ac:dyDescent="0.3">
      <c r="A373" s="1006">
        <v>556</v>
      </c>
      <c r="B373" s="1000">
        <v>556</v>
      </c>
      <c r="C373" s="1014">
        <v>556</v>
      </c>
      <c r="D373" s="1014" t="s">
        <v>367</v>
      </c>
      <c r="E373" s="1015">
        <v>0</v>
      </c>
      <c r="F373" s="993"/>
    </row>
    <row r="374" spans="1:6" x14ac:dyDescent="0.3">
      <c r="A374" s="1006">
        <v>557</v>
      </c>
      <c r="B374" s="1000">
        <v>557</v>
      </c>
      <c r="C374" s="1014">
        <v>557</v>
      </c>
      <c r="D374" s="1014" t="s">
        <v>368</v>
      </c>
      <c r="E374" s="1015">
        <v>0</v>
      </c>
      <c r="F374" s="993"/>
    </row>
    <row r="375" spans="1:6" x14ac:dyDescent="0.3">
      <c r="A375" s="1006">
        <v>577</v>
      </c>
      <c r="B375" s="1000">
        <v>577</v>
      </c>
      <c r="C375" s="1014">
        <v>577</v>
      </c>
      <c r="D375" s="1014" t="s">
        <v>397</v>
      </c>
      <c r="E375" s="1015">
        <v>2</v>
      </c>
      <c r="F375" s="993"/>
    </row>
    <row r="376" spans="1:6" ht="28.8" x14ac:dyDescent="0.3">
      <c r="A376" s="993">
        <v>606</v>
      </c>
      <c r="B376" s="1000">
        <v>606</v>
      </c>
      <c r="C376" s="1032">
        <v>606</v>
      </c>
      <c r="D376" s="1034" t="s">
        <v>446</v>
      </c>
      <c r="E376" s="1011">
        <v>0</v>
      </c>
      <c r="F376" s="993"/>
    </row>
    <row r="377" spans="1:6" ht="28.8" x14ac:dyDescent="0.3">
      <c r="A377" s="993">
        <v>662</v>
      </c>
      <c r="B377" s="1039">
        <v>662</v>
      </c>
      <c r="C377" s="1039">
        <v>662</v>
      </c>
      <c r="D377" s="1040" t="s">
        <v>609</v>
      </c>
      <c r="E377" s="1041">
        <v>0</v>
      </c>
      <c r="F377" s="993"/>
    </row>
    <row r="378" spans="1:6" ht="28.8" x14ac:dyDescent="0.3">
      <c r="A378" s="993">
        <v>663</v>
      </c>
      <c r="B378" s="1039">
        <v>663</v>
      </c>
      <c r="C378" s="1039">
        <v>663</v>
      </c>
      <c r="D378" s="1040" t="s">
        <v>610</v>
      </c>
      <c r="E378" s="1041">
        <v>0</v>
      </c>
      <c r="F378" s="993"/>
    </row>
    <row r="379" spans="1:6" ht="57.6" x14ac:dyDescent="0.3">
      <c r="A379" s="993">
        <v>620</v>
      </c>
      <c r="B379" s="1000">
        <v>620</v>
      </c>
      <c r="C379" s="1032">
        <v>620</v>
      </c>
      <c r="D379" s="1033" t="s">
        <v>438</v>
      </c>
      <c r="E379" s="1011">
        <v>2</v>
      </c>
      <c r="F379" s="993"/>
    </row>
    <row r="380" spans="1:6" ht="28.8" x14ac:dyDescent="0.3">
      <c r="A380" s="1006">
        <v>995</v>
      </c>
      <c r="B380" s="1017"/>
      <c r="C380" s="1007">
        <v>995</v>
      </c>
      <c r="D380" s="1008" t="s">
        <v>290</v>
      </c>
      <c r="E380" s="1010">
        <v>0</v>
      </c>
      <c r="F380" s="993"/>
    </row>
    <row r="381" spans="1:6" ht="28.8" x14ac:dyDescent="0.3">
      <c r="A381" s="1006">
        <v>996</v>
      </c>
      <c r="B381" s="1017"/>
      <c r="C381" s="1007">
        <v>996</v>
      </c>
      <c r="D381" s="1019" t="s">
        <v>291</v>
      </c>
      <c r="E381" s="1010">
        <v>0</v>
      </c>
      <c r="F381" s="993"/>
    </row>
    <row r="382" spans="1:6" x14ac:dyDescent="0.3">
      <c r="A382" s="1006">
        <v>997</v>
      </c>
      <c r="B382" s="1017"/>
      <c r="C382" s="1018">
        <v>997</v>
      </c>
      <c r="D382" s="1018"/>
      <c r="E382" s="1010"/>
      <c r="F382" s="993"/>
    </row>
    <row r="383" spans="1:6" x14ac:dyDescent="0.3">
      <c r="A383" s="1006">
        <v>998</v>
      </c>
      <c r="B383" s="1000">
        <v>998</v>
      </c>
      <c r="C383" s="1007">
        <v>998</v>
      </c>
      <c r="D383" s="1008" t="s">
        <v>292</v>
      </c>
      <c r="E383" s="1009">
        <v>60</v>
      </c>
      <c r="F383" s="993"/>
    </row>
    <row r="384" spans="1:6" x14ac:dyDescent="0.3">
      <c r="A384" s="1006">
        <v>999</v>
      </c>
      <c r="B384" s="1000">
        <v>999</v>
      </c>
      <c r="C384" s="1007">
        <v>999</v>
      </c>
      <c r="D384" s="1008" t="s">
        <v>293</v>
      </c>
      <c r="E384" s="1009">
        <v>601725</v>
      </c>
      <c r="F384" s="993"/>
    </row>
    <row r="385" spans="1:80" x14ac:dyDescent="0.3">
      <c r="A385" s="1006">
        <v>1000</v>
      </c>
      <c r="B385" s="1000"/>
      <c r="C385" s="1018">
        <v>1000</v>
      </c>
      <c r="D385" s="1018"/>
      <c r="E385" s="1009"/>
    </row>
    <row r="386" spans="1:80" x14ac:dyDescent="0.3">
      <c r="A386" s="1006">
        <v>537</v>
      </c>
      <c r="B386" s="1000"/>
      <c r="C386" s="1018">
        <v>537</v>
      </c>
      <c r="D386" s="1018"/>
      <c r="E386" s="1009"/>
    </row>
    <row r="387" spans="1:80" x14ac:dyDescent="0.3">
      <c r="A387" s="1006">
        <v>538</v>
      </c>
      <c r="B387" s="1000"/>
      <c r="C387" s="1018">
        <v>538</v>
      </c>
      <c r="D387" s="1018"/>
      <c r="E387" s="1009"/>
    </row>
    <row r="388" spans="1:80" ht="28.8" x14ac:dyDescent="0.3">
      <c r="A388" s="993">
        <v>906</v>
      </c>
      <c r="B388" s="1042">
        <v>906</v>
      </c>
      <c r="C388" s="1042" t="s">
        <v>1480</v>
      </c>
      <c r="D388" s="1043" t="s">
        <v>660</v>
      </c>
      <c r="E388" s="1011">
        <v>1</v>
      </c>
    </row>
    <row r="389" spans="1:80" ht="28.8" x14ac:dyDescent="0.3">
      <c r="A389" s="993">
        <v>907</v>
      </c>
      <c r="B389" s="1042">
        <v>907</v>
      </c>
      <c r="C389" s="1042" t="s">
        <v>1480</v>
      </c>
      <c r="D389" s="1043" t="s">
        <v>661</v>
      </c>
      <c r="E389" s="1011">
        <v>2</v>
      </c>
    </row>
    <row r="390" spans="1:80" ht="28.8" x14ac:dyDescent="0.3">
      <c r="A390" s="993">
        <v>951</v>
      </c>
      <c r="B390" s="1042">
        <v>951</v>
      </c>
      <c r="C390" s="1042" t="s">
        <v>1480</v>
      </c>
      <c r="D390" s="1043" t="s">
        <v>662</v>
      </c>
      <c r="E390" s="1011">
        <v>2</v>
      </c>
    </row>
    <row r="391" spans="1:80" ht="28.8" x14ac:dyDescent="0.3">
      <c r="A391" s="993">
        <v>953</v>
      </c>
      <c r="B391" s="1042">
        <v>953</v>
      </c>
      <c r="C391" s="1042" t="s">
        <v>1480</v>
      </c>
      <c r="D391" s="1043" t="s">
        <v>663</v>
      </c>
      <c r="E391" s="1011">
        <v>2</v>
      </c>
    </row>
    <row r="392" spans="1:80" ht="28.8" x14ac:dyDescent="0.3">
      <c r="A392" s="993">
        <v>955</v>
      </c>
      <c r="B392" s="1042">
        <v>955</v>
      </c>
      <c r="C392" s="1042" t="s">
        <v>1480</v>
      </c>
      <c r="D392" s="1043" t="s">
        <v>673</v>
      </c>
      <c r="E392" s="1011">
        <v>0</v>
      </c>
    </row>
    <row r="393" spans="1:80" ht="28.8" x14ac:dyDescent="0.3">
      <c r="A393" s="993">
        <v>957</v>
      </c>
      <c r="B393" s="1042">
        <v>957</v>
      </c>
      <c r="C393" s="1042" t="s">
        <v>1480</v>
      </c>
      <c r="D393" s="1043" t="s">
        <v>674</v>
      </c>
      <c r="E393" s="1011">
        <v>0</v>
      </c>
    </row>
    <row r="394" spans="1:80" ht="57.6" x14ac:dyDescent="0.3">
      <c r="A394" s="993">
        <v>959</v>
      </c>
      <c r="B394" s="1042">
        <v>959</v>
      </c>
      <c r="C394" s="1042" t="s">
        <v>1480</v>
      </c>
      <c r="D394" s="1043" t="s">
        <v>664</v>
      </c>
      <c r="E394" s="1011">
        <v>2</v>
      </c>
    </row>
    <row r="395" spans="1:80" ht="57.6" x14ac:dyDescent="0.3">
      <c r="A395" s="993">
        <v>961</v>
      </c>
      <c r="B395" s="1042">
        <v>961</v>
      </c>
      <c r="C395" s="1042" t="s">
        <v>1480</v>
      </c>
      <c r="D395" s="1043" t="s">
        <v>665</v>
      </c>
      <c r="E395" s="1011">
        <v>2</v>
      </c>
    </row>
    <row r="396" spans="1:80" x14ac:dyDescent="0.3">
      <c r="A396" s="993">
        <v>963</v>
      </c>
      <c r="B396" s="1042">
        <v>963</v>
      </c>
      <c r="C396" s="1042" t="s">
        <v>1480</v>
      </c>
      <c r="D396" s="1043" t="s">
        <v>666</v>
      </c>
      <c r="E396" s="1011">
        <v>1</v>
      </c>
      <c r="F396" s="400"/>
      <c r="G396" s="400"/>
      <c r="H396" s="400"/>
      <c r="I396" s="400"/>
      <c r="J396" s="400"/>
      <c r="K396" s="400"/>
      <c r="L396" s="400"/>
      <c r="M396" s="400"/>
      <c r="N396" s="400"/>
      <c r="O396" s="400"/>
      <c r="P396" s="400"/>
      <c r="Q396" s="400"/>
      <c r="R396" s="400"/>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0"/>
      <c r="AN396" s="400"/>
      <c r="AO396" s="400"/>
      <c r="AP396" s="400"/>
      <c r="AQ396" s="400"/>
      <c r="AR396" s="400"/>
      <c r="AS396" s="400"/>
      <c r="AT396" s="400"/>
      <c r="AU396" s="400"/>
      <c r="AV396" s="400"/>
      <c r="AW396" s="400"/>
      <c r="AX396" s="400"/>
      <c r="AY396" s="400"/>
      <c r="AZ396" s="400"/>
      <c r="BA396" s="400"/>
      <c r="BB396" s="400"/>
      <c r="BC396" s="400"/>
      <c r="BD396" s="400"/>
      <c r="BE396" s="400"/>
      <c r="BF396" s="400"/>
      <c r="BG396" s="400"/>
      <c r="BH396" s="400">
        <v>1854805.9</v>
      </c>
      <c r="BI396" s="400">
        <v>110790692.17</v>
      </c>
      <c r="BJ396" s="400">
        <v>112690578.48</v>
      </c>
      <c r="BK396" s="400">
        <v>0.01</v>
      </c>
      <c r="BL396" s="400">
        <v>303639561.58999997</v>
      </c>
      <c r="BM396" s="400">
        <v>155900898.44</v>
      </c>
      <c r="BN396" s="400">
        <v>1514376</v>
      </c>
      <c r="BO396" s="400">
        <v>250217394.79999998</v>
      </c>
      <c r="BP396" s="400">
        <v>133707149.79000001</v>
      </c>
      <c r="BQ396" s="400">
        <v>70929674.940000013</v>
      </c>
      <c r="BR396" s="400">
        <v>84916797.150000006</v>
      </c>
      <c r="BS396" s="400">
        <v>59448838.159999996</v>
      </c>
      <c r="BT396" s="400">
        <v>1032784966.46</v>
      </c>
      <c r="BU396" s="400">
        <v>80149153.910000011</v>
      </c>
      <c r="BV396" s="400">
        <v>163234566.41999999</v>
      </c>
      <c r="BW396" s="400">
        <v>53953388.990000002</v>
      </c>
      <c r="BX396" s="400">
        <v>44775966.809999995</v>
      </c>
      <c r="BY396" s="400">
        <v>1653275.52</v>
      </c>
      <c r="BZ396" s="400">
        <v>1959376.27</v>
      </c>
      <c r="CA396" s="400">
        <v>782248469.95000005</v>
      </c>
      <c r="CB396" s="400">
        <v>2207035.62</v>
      </c>
    </row>
    <row r="397" spans="1:80" ht="28.8" x14ac:dyDescent="0.3">
      <c r="A397" s="993">
        <v>965</v>
      </c>
      <c r="B397" s="1042">
        <v>965</v>
      </c>
      <c r="C397" s="1042" t="s">
        <v>1480</v>
      </c>
      <c r="D397" s="1043" t="s">
        <v>667</v>
      </c>
      <c r="E397" s="1011">
        <v>1</v>
      </c>
      <c r="F397" s="400"/>
      <c r="G397" s="400"/>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0"/>
      <c r="AQ397" s="400"/>
      <c r="AR397" s="400"/>
      <c r="AS397" s="400"/>
      <c r="AT397" s="400"/>
      <c r="AU397" s="400"/>
      <c r="AV397" s="400"/>
      <c r="AW397" s="400"/>
      <c r="AX397" s="400"/>
      <c r="AY397" s="400"/>
      <c r="AZ397" s="400"/>
      <c r="BA397" s="400"/>
      <c r="BB397" s="400"/>
      <c r="BC397" s="400"/>
      <c r="BD397" s="400"/>
      <c r="BE397" s="400"/>
      <c r="BF397" s="400"/>
      <c r="BG397" s="400"/>
      <c r="BH397" s="400">
        <v>1854805.9</v>
      </c>
      <c r="BI397" s="400">
        <v>110790692.17</v>
      </c>
      <c r="BJ397" s="400">
        <v>112690578.48</v>
      </c>
      <c r="BK397" s="400">
        <v>0.01</v>
      </c>
      <c r="BL397" s="400">
        <v>303639561.58999997</v>
      </c>
      <c r="BM397" s="400">
        <v>155900898.44</v>
      </c>
      <c r="BN397" s="400">
        <v>1514376</v>
      </c>
      <c r="BO397" s="400">
        <v>250217394.80000001</v>
      </c>
      <c r="BP397" s="400">
        <v>133707149.79000001</v>
      </c>
      <c r="BQ397" s="400">
        <v>70929674.939999998</v>
      </c>
      <c r="BR397" s="400">
        <v>84916797.150000006</v>
      </c>
      <c r="BS397" s="400">
        <v>59448838.159999996</v>
      </c>
      <c r="BT397" s="400">
        <v>1032784966.46</v>
      </c>
      <c r="BU397" s="400">
        <v>80149153.909999996</v>
      </c>
      <c r="BV397" s="400">
        <v>163234566.41999999</v>
      </c>
      <c r="BW397" s="400">
        <v>53953388.990000002</v>
      </c>
      <c r="BX397" s="400">
        <v>44775966.810000002</v>
      </c>
      <c r="BY397" s="400">
        <v>1653275.52</v>
      </c>
      <c r="BZ397" s="400">
        <v>1959376.27</v>
      </c>
      <c r="CA397" s="400">
        <v>782248469.95000005</v>
      </c>
      <c r="CB397" s="400">
        <v>2207035.62</v>
      </c>
    </row>
    <row r="398" spans="1:80" ht="28.8" x14ac:dyDescent="0.3">
      <c r="A398" s="993">
        <v>603</v>
      </c>
      <c r="B398" s="1042">
        <v>603</v>
      </c>
      <c r="C398" s="1042" t="s">
        <v>1480</v>
      </c>
      <c r="D398" s="1043" t="s">
        <v>672</v>
      </c>
      <c r="E398" s="1011">
        <v>0</v>
      </c>
      <c r="F398" s="400"/>
      <c r="G398" s="400"/>
      <c r="H398" s="400"/>
      <c r="I398" s="400"/>
      <c r="J398" s="400"/>
      <c r="K398" s="400"/>
      <c r="L398" s="400"/>
      <c r="M398" s="400"/>
      <c r="N398" s="400"/>
      <c r="O398" s="400"/>
      <c r="P398" s="400"/>
      <c r="Q398" s="400"/>
      <c r="R398" s="400"/>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0"/>
      <c r="AN398" s="400"/>
      <c r="AO398" s="400"/>
      <c r="AP398" s="400"/>
      <c r="AQ398" s="400"/>
      <c r="AR398" s="400"/>
      <c r="AS398" s="400"/>
      <c r="AT398" s="400"/>
      <c r="AU398" s="400"/>
      <c r="AV398" s="400"/>
      <c r="AW398" s="400"/>
      <c r="AX398" s="400"/>
      <c r="AY398" s="400"/>
      <c r="AZ398" s="400"/>
      <c r="BA398" s="400"/>
      <c r="BB398" s="400"/>
      <c r="BC398" s="400"/>
      <c r="BD398" s="400"/>
      <c r="BE398" s="400"/>
      <c r="BF398" s="400"/>
      <c r="BG398" s="400"/>
      <c r="BH398" s="400">
        <v>0</v>
      </c>
      <c r="BI398" s="400">
        <v>0</v>
      </c>
      <c r="BJ398" s="400">
        <v>0</v>
      </c>
      <c r="BK398" s="400">
        <v>0</v>
      </c>
      <c r="BL398" s="400">
        <v>0</v>
      </c>
      <c r="BM398" s="400">
        <v>0</v>
      </c>
      <c r="BN398" s="400">
        <v>0</v>
      </c>
      <c r="BO398" s="400">
        <v>0</v>
      </c>
      <c r="BP398" s="400">
        <v>0</v>
      </c>
      <c r="BQ398" s="400">
        <v>0</v>
      </c>
      <c r="BR398" s="400">
        <v>0</v>
      </c>
      <c r="BS398" s="400">
        <v>0</v>
      </c>
      <c r="BT398" s="400">
        <v>0</v>
      </c>
      <c r="BU398" s="400">
        <v>0</v>
      </c>
      <c r="BV398" s="400">
        <v>0</v>
      </c>
      <c r="BW398" s="400">
        <v>0</v>
      </c>
      <c r="BX398" s="400">
        <v>0</v>
      </c>
      <c r="BY398" s="400">
        <v>0</v>
      </c>
      <c r="BZ398" s="400">
        <v>0</v>
      </c>
      <c r="CA398" s="400">
        <v>0</v>
      </c>
      <c r="CB398" s="400">
        <v>0</v>
      </c>
    </row>
    <row r="399" spans="1:80" x14ac:dyDescent="0.3">
      <c r="A399" s="993">
        <v>929</v>
      </c>
      <c r="B399" s="1042">
        <v>929</v>
      </c>
      <c r="C399" s="1042" t="s">
        <v>1480</v>
      </c>
      <c r="D399" s="1043" t="s">
        <v>668</v>
      </c>
      <c r="E399" s="1011">
        <v>0</v>
      </c>
    </row>
    <row r="400" spans="1:80" x14ac:dyDescent="0.3">
      <c r="A400" s="993">
        <v>930</v>
      </c>
      <c r="B400" s="1042">
        <v>930</v>
      </c>
      <c r="C400" s="1042" t="s">
        <v>1480</v>
      </c>
      <c r="D400" s="1043" t="s">
        <v>669</v>
      </c>
      <c r="E400" s="1011">
        <v>0</v>
      </c>
    </row>
    <row r="401" spans="1:6" x14ac:dyDescent="0.3">
      <c r="A401" s="993">
        <v>931</v>
      </c>
      <c r="B401" s="1042">
        <v>931</v>
      </c>
      <c r="C401" s="1042" t="s">
        <v>1480</v>
      </c>
      <c r="D401" s="1043" t="s">
        <v>670</v>
      </c>
      <c r="E401" s="1011">
        <v>0</v>
      </c>
      <c r="F401" s="993"/>
    </row>
    <row r="402" spans="1:6" x14ac:dyDescent="0.3">
      <c r="A402" s="993">
        <v>932</v>
      </c>
      <c r="B402" s="1042">
        <v>932</v>
      </c>
      <c r="C402" s="1042" t="s">
        <v>1480</v>
      </c>
      <c r="D402" s="1043" t="s">
        <v>671</v>
      </c>
      <c r="E402" s="1011">
        <v>0</v>
      </c>
      <c r="F402" s="993"/>
    </row>
    <row r="403" spans="1:6" x14ac:dyDescent="0.3">
      <c r="A403" s="1006"/>
      <c r="B403" s="1006"/>
      <c r="C403" s="1006"/>
      <c r="D403" s="1006"/>
      <c r="E403" s="1069">
        <v>601802</v>
      </c>
      <c r="F403" s="993"/>
    </row>
    <row r="405" spans="1:6" ht="28.8" x14ac:dyDescent="0.3">
      <c r="A405" s="993"/>
      <c r="B405" s="993"/>
      <c r="C405" s="993"/>
      <c r="D405" s="1043" t="s">
        <v>1485</v>
      </c>
      <c r="E405" s="1070">
        <v>64968772</v>
      </c>
      <c r="F405" s="993"/>
    </row>
    <row r="409" spans="1:6" x14ac:dyDescent="0.3">
      <c r="A409" s="993"/>
      <c r="B409" s="993"/>
      <c r="C409" s="993"/>
      <c r="D409" s="993"/>
      <c r="E409" s="993"/>
      <c r="F409" s="1006"/>
    </row>
    <row r="410" spans="1:6" x14ac:dyDescent="0.3">
      <c r="A410" s="1071" t="s">
        <v>1486</v>
      </c>
      <c r="B410" s="1071"/>
      <c r="C410" s="1071"/>
      <c r="D410" s="1071"/>
      <c r="E410" s="993"/>
      <c r="F410" s="1006"/>
    </row>
    <row r="411" spans="1:6" x14ac:dyDescent="0.3">
      <c r="A411" s="993"/>
      <c r="B411" s="993">
        <v>947</v>
      </c>
      <c r="C411" s="993"/>
      <c r="D411" s="997" t="s">
        <v>533</v>
      </c>
      <c r="E411" s="993"/>
      <c r="F411" s="1006"/>
    </row>
    <row r="412" spans="1:6" x14ac:dyDescent="0.3">
      <c r="A412" s="993"/>
      <c r="B412" s="993">
        <v>948</v>
      </c>
      <c r="C412" s="993"/>
      <c r="D412" s="997" t="s">
        <v>534</v>
      </c>
      <c r="E412" s="993"/>
      <c r="F412" s="993"/>
    </row>
    <row r="413" spans="1:6" x14ac:dyDescent="0.3">
      <c r="A413" s="993"/>
      <c r="B413" s="993">
        <v>949</v>
      </c>
      <c r="C413" s="993"/>
      <c r="D413" s="997" t="s">
        <v>562</v>
      </c>
      <c r="E413" s="993"/>
      <c r="F413" s="993"/>
    </row>
    <row r="414" spans="1:6" x14ac:dyDescent="0.3">
      <c r="A414" s="993"/>
      <c r="B414" s="993">
        <v>950</v>
      </c>
      <c r="C414" s="993"/>
      <c r="D414" s="997" t="s">
        <v>563</v>
      </c>
      <c r="E414" s="993"/>
      <c r="F414" s="993"/>
    </row>
    <row r="415" spans="1:6" x14ac:dyDescent="0.3">
      <c r="A415" s="993"/>
      <c r="B415" s="993">
        <v>952</v>
      </c>
      <c r="C415" s="993"/>
      <c r="D415" s="997" t="s">
        <v>564</v>
      </c>
      <c r="E415" s="993"/>
      <c r="F415" s="993"/>
    </row>
    <row r="416" spans="1:6" x14ac:dyDescent="0.3">
      <c r="A416" s="993"/>
      <c r="B416" s="993">
        <v>954</v>
      </c>
      <c r="C416" s="993"/>
      <c r="D416" s="997" t="s">
        <v>565</v>
      </c>
      <c r="E416" s="993"/>
      <c r="F416" s="993"/>
    </row>
    <row r="417" spans="2:6" x14ac:dyDescent="0.3">
      <c r="B417" s="993">
        <v>956</v>
      </c>
      <c r="C417" s="993"/>
      <c r="D417" s="997" t="s">
        <v>566</v>
      </c>
      <c r="E417" s="993"/>
      <c r="F417" s="993"/>
    </row>
    <row r="418" spans="2:6" ht="158.4" x14ac:dyDescent="0.3">
      <c r="B418" s="993">
        <v>958</v>
      </c>
      <c r="C418" s="993"/>
      <c r="D418" s="1072" t="s">
        <v>567</v>
      </c>
      <c r="E418" s="993"/>
      <c r="F418" s="993"/>
    </row>
    <row r="419" spans="2:6" x14ac:dyDescent="0.3">
      <c r="B419" s="993">
        <v>960</v>
      </c>
      <c r="C419" s="993"/>
      <c r="D419" s="997" t="s">
        <v>558</v>
      </c>
      <c r="E419" s="993"/>
      <c r="F419" s="993"/>
    </row>
    <row r="420" spans="2:6" x14ac:dyDescent="0.3">
      <c r="B420" s="993">
        <v>962</v>
      </c>
      <c r="C420" s="993"/>
      <c r="D420" s="997" t="s">
        <v>518</v>
      </c>
      <c r="E420" s="993"/>
      <c r="F420" s="993"/>
    </row>
    <row r="421" spans="2:6" x14ac:dyDescent="0.3">
      <c r="B421" s="993">
        <v>964</v>
      </c>
      <c r="C421" s="993"/>
      <c r="D421" s="997" t="s">
        <v>1487</v>
      </c>
      <c r="E421" s="993"/>
      <c r="F421" s="993"/>
    </row>
    <row r="422" spans="2:6" x14ac:dyDescent="0.3">
      <c r="B422" s="993">
        <v>966</v>
      </c>
      <c r="C422" s="993"/>
      <c r="D422" s="997" t="s">
        <v>520</v>
      </c>
      <c r="E422" s="993"/>
      <c r="F422" s="993"/>
    </row>
    <row r="423" spans="2:6" x14ac:dyDescent="0.3">
      <c r="B423" s="993">
        <v>968</v>
      </c>
      <c r="C423" s="993"/>
      <c r="D423" s="997" t="s">
        <v>521</v>
      </c>
      <c r="E423" s="993"/>
      <c r="F423" s="993"/>
    </row>
    <row r="426" spans="2:6" x14ac:dyDescent="0.3">
      <c r="B426" s="993"/>
      <c r="C426" s="993"/>
      <c r="D426" s="993"/>
      <c r="E426" s="993"/>
      <c r="F426" s="1006"/>
    </row>
    <row r="427" spans="2:6" x14ac:dyDescent="0.3">
      <c r="B427" s="993"/>
      <c r="C427" s="993"/>
      <c r="D427" s="993"/>
      <c r="E427" s="993"/>
      <c r="F427" s="1006"/>
    </row>
    <row r="428" spans="2:6" x14ac:dyDescent="0.3">
      <c r="B428" s="993"/>
      <c r="C428" s="993"/>
      <c r="D428" s="993"/>
      <c r="E428" s="993"/>
      <c r="F428" s="1006"/>
    </row>
    <row r="429" spans="2:6" x14ac:dyDescent="0.3">
      <c r="B429" s="993"/>
      <c r="C429" s="993"/>
      <c r="D429" s="993"/>
      <c r="E429" s="993"/>
      <c r="F429" s="1006"/>
    </row>
    <row r="449" spans="6:6" x14ac:dyDescent="0.3">
      <c r="F449" s="1006"/>
    </row>
    <row r="466" spans="6:6" x14ac:dyDescent="0.3">
      <c r="F466" s="1006"/>
    </row>
    <row r="467" spans="6:6" x14ac:dyDescent="0.3">
      <c r="F467" s="1006"/>
    </row>
    <row r="468" spans="6:6" x14ac:dyDescent="0.3">
      <c r="F468" s="1006"/>
    </row>
    <row r="469" spans="6:6" x14ac:dyDescent="0.3">
      <c r="F469" s="1006"/>
    </row>
    <row r="470" spans="6:6" x14ac:dyDescent="0.3">
      <c r="F470" s="1006"/>
    </row>
    <row r="471" spans="6:6" x14ac:dyDescent="0.3">
      <c r="F471" s="1006"/>
    </row>
    <row r="472" spans="6:6" x14ac:dyDescent="0.3">
      <c r="F472" s="1006"/>
    </row>
    <row r="473" spans="6:6" x14ac:dyDescent="0.3">
      <c r="F473" s="1006"/>
    </row>
    <row r="477" spans="6:6" x14ac:dyDescent="0.3">
      <c r="F477" s="1021"/>
    </row>
    <row r="478" spans="6:6" x14ac:dyDescent="0.3">
      <c r="F478" s="1021"/>
    </row>
    <row r="479" spans="6:6" x14ac:dyDescent="0.3">
      <c r="F479" s="1021"/>
    </row>
    <row r="482" spans="6:6" x14ac:dyDescent="0.3">
      <c r="F482" s="1006"/>
    </row>
    <row r="483" spans="6:6" x14ac:dyDescent="0.3">
      <c r="F483" s="1006"/>
    </row>
    <row r="590" spans="6:6" x14ac:dyDescent="0.3">
      <c r="F590" s="1006"/>
    </row>
    <row r="591" spans="6:6" x14ac:dyDescent="0.3">
      <c r="F591" s="1006"/>
    </row>
    <row r="793" spans="2:2" x14ac:dyDescent="0.3">
      <c r="B793" s="1021"/>
    </row>
  </sheetData>
  <sheetProtection algorithmName="SHA-512" hashValue="VE84vUNsM0iUnXok8LHAPFc+lgr43tgBIwD/Rqt+LmLBmmOfa1CH9pkV8oPvWBIaGUTUGuf8//z+6WZME24jLg==" saltValue="2g83QC87Uvna4UM7zL93Mg==" spinCount="100000" sheet="1" objects="1" scenarios="1"/>
  <mergeCells count="4">
    <mergeCell ref="B348:C348"/>
    <mergeCell ref="B349:C349"/>
    <mergeCell ref="B351:C351"/>
    <mergeCell ref="B352:C352"/>
  </mergeCells>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D282"/>
  <sheetViews>
    <sheetView zoomScale="120" zoomScaleNormal="120" workbookViewId="0">
      <selection activeCell="A9" sqref="A9:C9"/>
    </sheetView>
  </sheetViews>
  <sheetFormatPr defaultColWidth="9.109375" defaultRowHeight="14.4" x14ac:dyDescent="0.3"/>
  <cols>
    <col min="1" max="1" width="12.88671875" style="993" customWidth="1"/>
    <col min="2" max="2" width="14" style="993" customWidth="1"/>
    <col min="3" max="3" width="47" style="993" customWidth="1"/>
    <col min="4" max="4" width="25.33203125" style="993" customWidth="1"/>
    <col min="5" max="5" width="16" style="993" customWidth="1"/>
    <col min="6" max="16384" width="9.109375" style="993"/>
  </cols>
  <sheetData>
    <row r="1" spans="1:4" x14ac:dyDescent="0.3">
      <c r="A1" s="993" t="s">
        <v>1391</v>
      </c>
      <c r="D1" s="993" t="s">
        <v>1390</v>
      </c>
    </row>
    <row r="2" spans="1:4" x14ac:dyDescent="0.3">
      <c r="D2" s="993">
        <v>601725</v>
      </c>
    </row>
    <row r="3" spans="1:4" x14ac:dyDescent="0.3">
      <c r="D3" s="993" t="s">
        <v>1390</v>
      </c>
    </row>
    <row r="4" spans="1:4" x14ac:dyDescent="0.3">
      <c r="A4" s="993">
        <v>4</v>
      </c>
      <c r="B4" s="993">
        <v>4</v>
      </c>
      <c r="C4" s="993" t="s">
        <v>383</v>
      </c>
      <c r="D4" s="993">
        <v>0</v>
      </c>
    </row>
    <row r="5" spans="1:4" x14ac:dyDescent="0.3">
      <c r="A5" s="993">
        <v>5</v>
      </c>
      <c r="B5" s="993">
        <v>5</v>
      </c>
      <c r="C5" s="993" t="s">
        <v>120</v>
      </c>
      <c r="D5" s="993">
        <v>0</v>
      </c>
    </row>
    <row r="6" spans="1:4" x14ac:dyDescent="0.3">
      <c r="A6" s="993">
        <v>6</v>
      </c>
      <c r="B6" s="993">
        <v>6</v>
      </c>
      <c r="C6" s="993" t="s">
        <v>265</v>
      </c>
      <c r="D6" s="993">
        <v>0</v>
      </c>
    </row>
    <row r="7" spans="1:4" x14ac:dyDescent="0.3">
      <c r="A7" s="993">
        <v>7</v>
      </c>
      <c r="B7" s="993">
        <v>7</v>
      </c>
      <c r="C7" s="993" t="s">
        <v>202</v>
      </c>
      <c r="D7" s="993">
        <v>0</v>
      </c>
    </row>
    <row r="8" spans="1:4" x14ac:dyDescent="0.3">
      <c r="A8" s="993">
        <v>9</v>
      </c>
      <c r="B8" s="993">
        <v>9</v>
      </c>
      <c r="C8" s="993" t="s">
        <v>204</v>
      </c>
      <c r="D8" s="993">
        <v>0</v>
      </c>
    </row>
    <row r="9" spans="1:4" x14ac:dyDescent="0.3">
      <c r="B9" s="993">
        <v>11</v>
      </c>
      <c r="C9" s="993" t="e">
        <v>#VALUE!</v>
      </c>
      <c r="D9" s="993">
        <v>0</v>
      </c>
    </row>
    <row r="10" spans="1:4" x14ac:dyDescent="0.3">
      <c r="B10" s="993">
        <v>12</v>
      </c>
      <c r="C10" s="993" t="s">
        <v>384</v>
      </c>
      <c r="D10" s="993">
        <v>0</v>
      </c>
    </row>
    <row r="11" spans="1:4" ht="82.5" customHeight="1" x14ac:dyDescent="0.3">
      <c r="A11" s="993">
        <v>13</v>
      </c>
      <c r="B11" s="993">
        <v>13</v>
      </c>
      <c r="C11" s="994" t="s">
        <v>1392</v>
      </c>
      <c r="D11" s="993">
        <v>4106554</v>
      </c>
    </row>
    <row r="12" spans="1:4" x14ac:dyDescent="0.3">
      <c r="A12" s="993">
        <v>14</v>
      </c>
      <c r="B12" s="993">
        <v>14</v>
      </c>
      <c r="C12" s="993" t="s">
        <v>297</v>
      </c>
      <c r="D12" s="993">
        <v>2096750</v>
      </c>
    </row>
    <row r="13" spans="1:4" x14ac:dyDescent="0.3">
      <c r="A13" s="993">
        <v>16</v>
      </c>
      <c r="B13" s="993">
        <v>16</v>
      </c>
      <c r="C13" s="993" t="s">
        <v>206</v>
      </c>
      <c r="D13" s="993">
        <v>0</v>
      </c>
    </row>
    <row r="14" spans="1:4" x14ac:dyDescent="0.3">
      <c r="A14" s="993">
        <v>17</v>
      </c>
      <c r="B14" s="993">
        <v>17</v>
      </c>
      <c r="C14" s="993" t="s">
        <v>209</v>
      </c>
      <c r="D14" s="993">
        <v>0</v>
      </c>
    </row>
    <row r="15" spans="1:4" x14ac:dyDescent="0.3">
      <c r="B15" s="993">
        <v>19</v>
      </c>
      <c r="C15" s="993" t="s">
        <v>1393</v>
      </c>
      <c r="D15" s="993">
        <v>0</v>
      </c>
    </row>
    <row r="16" spans="1:4" x14ac:dyDescent="0.3">
      <c r="A16" s="993">
        <v>20</v>
      </c>
      <c r="B16" s="993">
        <v>20</v>
      </c>
      <c r="C16" s="993" t="s">
        <v>210</v>
      </c>
      <c r="D16" s="993">
        <v>0</v>
      </c>
    </row>
    <row r="17" spans="1:4" x14ac:dyDescent="0.3">
      <c r="B17" s="993">
        <v>21</v>
      </c>
      <c r="C17" s="993" t="s">
        <v>385</v>
      </c>
      <c r="D17" s="993">
        <v>0</v>
      </c>
    </row>
    <row r="18" spans="1:4" x14ac:dyDescent="0.3">
      <c r="A18" s="993">
        <v>22</v>
      </c>
      <c r="B18" s="993">
        <v>22</v>
      </c>
      <c r="C18" s="993" t="s">
        <v>212</v>
      </c>
      <c r="D18" s="993">
        <v>0</v>
      </c>
    </row>
    <row r="19" spans="1:4" x14ac:dyDescent="0.3">
      <c r="A19" s="993">
        <v>23</v>
      </c>
      <c r="B19" s="993">
        <v>23</v>
      </c>
      <c r="C19" s="993" t="s">
        <v>215</v>
      </c>
      <c r="D19" s="993">
        <v>0</v>
      </c>
    </row>
    <row r="20" spans="1:4" x14ac:dyDescent="0.3">
      <c r="A20" s="993">
        <v>31</v>
      </c>
      <c r="B20" s="993">
        <v>31</v>
      </c>
      <c r="C20" s="993" t="s">
        <v>1394</v>
      </c>
      <c r="D20" s="993">
        <v>-882127</v>
      </c>
    </row>
    <row r="21" spans="1:4" x14ac:dyDescent="0.3">
      <c r="A21" s="993">
        <v>32</v>
      </c>
      <c r="B21" s="993">
        <v>32</v>
      </c>
      <c r="C21" s="993" t="s">
        <v>298</v>
      </c>
      <c r="D21" s="993">
        <v>326025</v>
      </c>
    </row>
    <row r="22" spans="1:4" x14ac:dyDescent="0.3">
      <c r="A22" s="993">
        <v>33</v>
      </c>
      <c r="B22" s="993">
        <v>33</v>
      </c>
      <c r="C22" s="993" t="s">
        <v>299</v>
      </c>
      <c r="D22" s="993">
        <v>407881</v>
      </c>
    </row>
    <row r="23" spans="1:4" x14ac:dyDescent="0.3">
      <c r="B23" s="993">
        <v>34</v>
      </c>
      <c r="C23" s="993" t="s">
        <v>300</v>
      </c>
      <c r="D23" s="993">
        <v>0</v>
      </c>
    </row>
    <row r="24" spans="1:4" x14ac:dyDescent="0.3">
      <c r="B24" s="993">
        <v>35</v>
      </c>
      <c r="C24" s="993" t="s">
        <v>386</v>
      </c>
      <c r="D24" s="993">
        <v>0</v>
      </c>
    </row>
    <row r="25" spans="1:4" x14ac:dyDescent="0.3">
      <c r="B25" s="993">
        <v>36</v>
      </c>
      <c r="C25" s="993" t="s">
        <v>387</v>
      </c>
      <c r="D25" s="993">
        <v>0</v>
      </c>
    </row>
    <row r="26" spans="1:4" x14ac:dyDescent="0.3">
      <c r="B26" s="993">
        <v>37</v>
      </c>
      <c r="C26" s="993" t="s">
        <v>301</v>
      </c>
      <c r="D26" s="993">
        <v>0</v>
      </c>
    </row>
    <row r="27" spans="1:4" x14ac:dyDescent="0.3">
      <c r="B27" s="993">
        <v>38</v>
      </c>
      <c r="C27" s="993" t="s">
        <v>388</v>
      </c>
      <c r="D27" s="993">
        <v>0</v>
      </c>
    </row>
    <row r="28" spans="1:4" x14ac:dyDescent="0.3">
      <c r="B28" s="993">
        <v>39</v>
      </c>
      <c r="C28" s="993" t="s">
        <v>302</v>
      </c>
      <c r="D28" s="993">
        <v>0</v>
      </c>
    </row>
    <row r="29" spans="1:4" x14ac:dyDescent="0.3">
      <c r="B29" s="993">
        <v>40</v>
      </c>
      <c r="C29" s="993" t="s">
        <v>303</v>
      </c>
      <c r="D29" s="993">
        <v>0</v>
      </c>
    </row>
    <row r="30" spans="1:4" x14ac:dyDescent="0.3">
      <c r="B30" s="993">
        <v>41</v>
      </c>
      <c r="C30" s="993" t="s">
        <v>304</v>
      </c>
      <c r="D30" s="993">
        <v>0</v>
      </c>
    </row>
    <row r="31" spans="1:4" x14ac:dyDescent="0.3">
      <c r="B31" s="993">
        <v>43</v>
      </c>
      <c r="C31" s="993" t="s">
        <v>305</v>
      </c>
      <c r="D31" s="993">
        <v>0</v>
      </c>
    </row>
    <row r="32" spans="1:4" x14ac:dyDescent="0.3">
      <c r="B32" s="993">
        <v>44</v>
      </c>
      <c r="C32" s="993" t="s">
        <v>1395</v>
      </c>
      <c r="D32" s="993">
        <v>0</v>
      </c>
    </row>
    <row r="33" spans="2:4" x14ac:dyDescent="0.3">
      <c r="B33" s="993">
        <v>45</v>
      </c>
      <c r="C33" s="993" t="s">
        <v>1396</v>
      </c>
      <c r="D33" s="993">
        <v>0</v>
      </c>
    </row>
    <row r="34" spans="2:4" x14ac:dyDescent="0.3">
      <c r="B34" s="993">
        <v>46</v>
      </c>
      <c r="C34" s="993" t="s">
        <v>389</v>
      </c>
      <c r="D34" s="993">
        <v>0</v>
      </c>
    </row>
    <row r="35" spans="2:4" x14ac:dyDescent="0.3">
      <c r="B35" s="993">
        <v>47</v>
      </c>
      <c r="C35" s="993" t="s">
        <v>1397</v>
      </c>
      <c r="D35" s="993">
        <v>0</v>
      </c>
    </row>
    <row r="36" spans="2:4" x14ac:dyDescent="0.3">
      <c r="B36" s="993">
        <v>48</v>
      </c>
      <c r="C36" s="993" t="s">
        <v>1398</v>
      </c>
      <c r="D36" s="993">
        <v>0</v>
      </c>
    </row>
    <row r="37" spans="2:4" x14ac:dyDescent="0.3">
      <c r="B37" s="993">
        <v>49</v>
      </c>
      <c r="C37" s="993" t="s">
        <v>1399</v>
      </c>
      <c r="D37" s="993">
        <v>0</v>
      </c>
    </row>
    <row r="38" spans="2:4" x14ac:dyDescent="0.3">
      <c r="B38" s="993">
        <v>50</v>
      </c>
      <c r="C38" s="993" t="s">
        <v>1400</v>
      </c>
      <c r="D38" s="993">
        <v>0</v>
      </c>
    </row>
    <row r="39" spans="2:4" x14ac:dyDescent="0.3">
      <c r="B39" s="993">
        <v>51</v>
      </c>
      <c r="C39" s="993" t="s">
        <v>1401</v>
      </c>
      <c r="D39" s="993">
        <v>0</v>
      </c>
    </row>
    <row r="40" spans="2:4" x14ac:dyDescent="0.3">
      <c r="B40" s="993">
        <v>52</v>
      </c>
      <c r="C40" s="993" t="s">
        <v>1402</v>
      </c>
      <c r="D40" s="993">
        <v>0</v>
      </c>
    </row>
    <row r="41" spans="2:4" x14ac:dyDescent="0.3">
      <c r="B41" s="993">
        <v>53</v>
      </c>
      <c r="C41" s="993" t="s">
        <v>1403</v>
      </c>
      <c r="D41" s="993">
        <v>0</v>
      </c>
    </row>
    <row r="42" spans="2:4" x14ac:dyDescent="0.3">
      <c r="B42" s="993">
        <v>54</v>
      </c>
      <c r="C42" s="993" t="s">
        <v>390</v>
      </c>
      <c r="D42" s="993">
        <v>0</v>
      </c>
    </row>
    <row r="43" spans="2:4" x14ac:dyDescent="0.3">
      <c r="B43" s="993">
        <v>55</v>
      </c>
      <c r="C43" s="993" t="s">
        <v>1404</v>
      </c>
      <c r="D43" s="993">
        <v>0</v>
      </c>
    </row>
    <row r="44" spans="2:4" x14ac:dyDescent="0.3">
      <c r="B44" s="993">
        <v>61</v>
      </c>
      <c r="C44" s="993" t="s">
        <v>1405</v>
      </c>
      <c r="D44" s="993">
        <v>0</v>
      </c>
    </row>
    <row r="45" spans="2:4" x14ac:dyDescent="0.3">
      <c r="B45" s="993">
        <v>80</v>
      </c>
      <c r="C45" s="993" t="s">
        <v>1406</v>
      </c>
      <c r="D45" s="993">
        <v>0</v>
      </c>
    </row>
    <row r="46" spans="2:4" x14ac:dyDescent="0.3">
      <c r="B46" s="993">
        <v>81</v>
      </c>
      <c r="C46" s="993" t="s">
        <v>1407</v>
      </c>
      <c r="D46" s="993">
        <v>0</v>
      </c>
    </row>
    <row r="47" spans="2:4" x14ac:dyDescent="0.3">
      <c r="B47" s="993">
        <v>82</v>
      </c>
      <c r="C47" s="993" t="s">
        <v>1408</v>
      </c>
      <c r="D47" s="993">
        <v>0</v>
      </c>
    </row>
    <row r="48" spans="2:4" x14ac:dyDescent="0.3">
      <c r="B48" s="993">
        <v>83</v>
      </c>
      <c r="C48" s="993" t="s">
        <v>1409</v>
      </c>
      <c r="D48" s="993">
        <v>0</v>
      </c>
    </row>
    <row r="49" spans="2:4" x14ac:dyDescent="0.3">
      <c r="B49" s="993">
        <v>84</v>
      </c>
      <c r="C49" s="993" t="s">
        <v>1410</v>
      </c>
      <c r="D49" s="993">
        <v>0</v>
      </c>
    </row>
    <row r="50" spans="2:4" x14ac:dyDescent="0.3">
      <c r="B50" s="993">
        <v>85</v>
      </c>
      <c r="C50" s="993" t="s">
        <v>1411</v>
      </c>
      <c r="D50" s="993">
        <v>0</v>
      </c>
    </row>
    <row r="51" spans="2:4" x14ac:dyDescent="0.3">
      <c r="B51" s="993">
        <v>88</v>
      </c>
      <c r="C51" s="993" t="s">
        <v>1412</v>
      </c>
      <c r="D51" s="993">
        <v>0</v>
      </c>
    </row>
    <row r="52" spans="2:4" x14ac:dyDescent="0.3">
      <c r="B52" s="993">
        <v>89</v>
      </c>
      <c r="C52" s="993" t="s">
        <v>1413</v>
      </c>
      <c r="D52" s="993">
        <v>0</v>
      </c>
    </row>
    <row r="53" spans="2:4" x14ac:dyDescent="0.3">
      <c r="B53" s="993">
        <v>90</v>
      </c>
      <c r="C53" s="993" t="s">
        <v>1414</v>
      </c>
      <c r="D53" s="993">
        <v>0</v>
      </c>
    </row>
    <row r="54" spans="2:4" x14ac:dyDescent="0.3">
      <c r="B54" s="993">
        <v>91</v>
      </c>
      <c r="C54" s="993" t="s">
        <v>1415</v>
      </c>
      <c r="D54" s="993">
        <v>0</v>
      </c>
    </row>
    <row r="55" spans="2:4" x14ac:dyDescent="0.3">
      <c r="B55" s="993">
        <v>92</v>
      </c>
      <c r="C55" s="993" t="s">
        <v>1416</v>
      </c>
      <c r="D55" s="993">
        <v>0</v>
      </c>
    </row>
    <row r="56" spans="2:4" x14ac:dyDescent="0.3">
      <c r="B56" s="993">
        <v>93</v>
      </c>
      <c r="C56" s="993" t="s">
        <v>1417</v>
      </c>
      <c r="D56" s="993">
        <v>0</v>
      </c>
    </row>
    <row r="57" spans="2:4" x14ac:dyDescent="0.3">
      <c r="B57" s="993">
        <v>94</v>
      </c>
      <c r="C57" s="993" t="s">
        <v>1418</v>
      </c>
      <c r="D57" s="993">
        <v>0</v>
      </c>
    </row>
    <row r="58" spans="2:4" x14ac:dyDescent="0.3">
      <c r="B58" s="993">
        <v>97</v>
      </c>
      <c r="C58" s="993" t="s">
        <v>1419</v>
      </c>
      <c r="D58" s="993">
        <v>0</v>
      </c>
    </row>
    <row r="59" spans="2:4" x14ac:dyDescent="0.3">
      <c r="B59" s="993">
        <v>98</v>
      </c>
      <c r="C59" s="993" t="s">
        <v>1420</v>
      </c>
      <c r="D59" s="993">
        <v>0</v>
      </c>
    </row>
    <row r="60" spans="2:4" x14ac:dyDescent="0.3">
      <c r="B60" s="993">
        <v>99</v>
      </c>
      <c r="C60" s="993" t="s">
        <v>1421</v>
      </c>
      <c r="D60" s="993">
        <v>0</v>
      </c>
    </row>
    <row r="61" spans="2:4" x14ac:dyDescent="0.3">
      <c r="B61" s="993">
        <v>100</v>
      </c>
      <c r="C61" s="993" t="s">
        <v>1422</v>
      </c>
      <c r="D61" s="993">
        <v>0</v>
      </c>
    </row>
    <row r="62" spans="2:4" x14ac:dyDescent="0.3">
      <c r="B62" s="993">
        <v>101</v>
      </c>
      <c r="C62" s="993" t="s">
        <v>1423</v>
      </c>
      <c r="D62" s="993">
        <v>0</v>
      </c>
    </row>
    <row r="63" spans="2:4" x14ac:dyDescent="0.3">
      <c r="B63" s="993">
        <v>102</v>
      </c>
      <c r="C63" s="993" t="s">
        <v>1424</v>
      </c>
      <c r="D63" s="993">
        <v>0</v>
      </c>
    </row>
    <row r="64" spans="2:4" x14ac:dyDescent="0.3">
      <c r="B64" s="993">
        <v>103</v>
      </c>
      <c r="C64" s="993" t="s">
        <v>1425</v>
      </c>
      <c r="D64" s="993">
        <v>0</v>
      </c>
    </row>
    <row r="65" spans="1:4" x14ac:dyDescent="0.3">
      <c r="B65" s="993">
        <v>104</v>
      </c>
      <c r="C65" s="993" t="s">
        <v>306</v>
      </c>
      <c r="D65" s="993">
        <v>0</v>
      </c>
    </row>
    <row r="66" spans="1:4" x14ac:dyDescent="0.3">
      <c r="B66" s="993">
        <v>107</v>
      </c>
      <c r="C66" s="993" t="s">
        <v>391</v>
      </c>
      <c r="D66" s="993">
        <v>0</v>
      </c>
    </row>
    <row r="67" spans="1:4" x14ac:dyDescent="0.3">
      <c r="B67" s="993">
        <v>108</v>
      </c>
      <c r="C67" s="993" t="s">
        <v>392</v>
      </c>
      <c r="D67" s="993">
        <v>0</v>
      </c>
    </row>
    <row r="68" spans="1:4" x14ac:dyDescent="0.3">
      <c r="B68" s="993">
        <v>147</v>
      </c>
      <c r="C68" s="993" t="s">
        <v>307</v>
      </c>
      <c r="D68" s="993">
        <v>0</v>
      </c>
    </row>
    <row r="69" spans="1:4" x14ac:dyDescent="0.3">
      <c r="B69" s="993">
        <v>148</v>
      </c>
      <c r="C69" s="993" t="s">
        <v>308</v>
      </c>
      <c r="D69" s="993">
        <v>0</v>
      </c>
    </row>
    <row r="70" spans="1:4" x14ac:dyDescent="0.3">
      <c r="B70" s="993">
        <v>149</v>
      </c>
      <c r="C70" s="993" t="s">
        <v>309</v>
      </c>
      <c r="D70" s="993">
        <v>0</v>
      </c>
    </row>
    <row r="71" spans="1:4" x14ac:dyDescent="0.3">
      <c r="B71" s="993">
        <v>150</v>
      </c>
      <c r="C71" s="993" t="s">
        <v>310</v>
      </c>
      <c r="D71" s="993">
        <v>0</v>
      </c>
    </row>
    <row r="72" spans="1:4" x14ac:dyDescent="0.3">
      <c r="B72" s="993">
        <v>171</v>
      </c>
      <c r="C72" s="993" t="e">
        <v>#VALUE!</v>
      </c>
      <c r="D72" s="993">
        <v>0</v>
      </c>
    </row>
    <row r="73" spans="1:4" x14ac:dyDescent="0.3">
      <c r="B73" s="993">
        <v>191</v>
      </c>
      <c r="C73" s="993" t="s">
        <v>1426</v>
      </c>
      <c r="D73" s="993">
        <v>0</v>
      </c>
    </row>
    <row r="74" spans="1:4" x14ac:dyDescent="0.3">
      <c r="B74" s="993">
        <v>192</v>
      </c>
      <c r="C74" s="993" t="s">
        <v>1427</v>
      </c>
      <c r="D74" s="993">
        <v>0</v>
      </c>
    </row>
    <row r="75" spans="1:4" x14ac:dyDescent="0.3">
      <c r="A75" s="993">
        <v>193</v>
      </c>
      <c r="B75" s="993">
        <v>193</v>
      </c>
      <c r="C75" s="993" t="s">
        <v>311</v>
      </c>
      <c r="D75" s="1012">
        <v>351085</v>
      </c>
    </row>
    <row r="76" spans="1:4" x14ac:dyDescent="0.3">
      <c r="B76" s="993">
        <v>194</v>
      </c>
      <c r="C76" s="993" t="s">
        <v>312</v>
      </c>
      <c r="D76" s="993">
        <v>0</v>
      </c>
    </row>
    <row r="77" spans="1:4" x14ac:dyDescent="0.3">
      <c r="B77" s="993">
        <v>231</v>
      </c>
      <c r="C77" s="993" t="s">
        <v>313</v>
      </c>
      <c r="D77" s="993">
        <v>0</v>
      </c>
    </row>
    <row r="78" spans="1:4" x14ac:dyDescent="0.3">
      <c r="B78" s="993">
        <v>251</v>
      </c>
      <c r="C78" s="993" t="s">
        <v>314</v>
      </c>
      <c r="D78" s="993">
        <v>0</v>
      </c>
    </row>
    <row r="79" spans="1:4" x14ac:dyDescent="0.3">
      <c r="A79" s="993">
        <v>252</v>
      </c>
      <c r="B79" s="993">
        <v>252</v>
      </c>
      <c r="C79" s="993" t="s">
        <v>103</v>
      </c>
      <c r="D79" s="993">
        <v>0</v>
      </c>
    </row>
    <row r="80" spans="1:4" x14ac:dyDescent="0.3">
      <c r="A80" s="993">
        <v>253</v>
      </c>
      <c r="B80" s="993">
        <v>253</v>
      </c>
      <c r="C80" s="993" t="s">
        <v>104</v>
      </c>
      <c r="D80" s="993">
        <v>0</v>
      </c>
    </row>
    <row r="81" spans="1:4" x14ac:dyDescent="0.3">
      <c r="A81" s="993">
        <v>254</v>
      </c>
      <c r="B81" s="993">
        <v>254</v>
      </c>
      <c r="C81" s="993" t="s">
        <v>105</v>
      </c>
      <c r="D81" s="993">
        <v>0</v>
      </c>
    </row>
    <row r="82" spans="1:4" x14ac:dyDescent="0.3">
      <c r="A82" s="993">
        <v>255</v>
      </c>
      <c r="B82" s="993">
        <v>255</v>
      </c>
      <c r="C82" s="993" t="s">
        <v>197</v>
      </c>
      <c r="D82" s="993">
        <v>0</v>
      </c>
    </row>
    <row r="83" spans="1:4" x14ac:dyDescent="0.3">
      <c r="B83" s="993">
        <v>274</v>
      </c>
      <c r="C83" s="993" t="s">
        <v>315</v>
      </c>
      <c r="D83" s="993">
        <v>0</v>
      </c>
    </row>
    <row r="84" spans="1:4" x14ac:dyDescent="0.3">
      <c r="B84" s="993">
        <v>294</v>
      </c>
      <c r="C84" s="993" t="s">
        <v>595</v>
      </c>
      <c r="D84" s="993">
        <v>0</v>
      </c>
    </row>
    <row r="85" spans="1:4" x14ac:dyDescent="0.3">
      <c r="B85" s="993">
        <v>314</v>
      </c>
      <c r="C85" s="993" t="s">
        <v>316</v>
      </c>
      <c r="D85" s="993">
        <v>0</v>
      </c>
    </row>
    <row r="86" spans="1:4" x14ac:dyDescent="0.3">
      <c r="B86" s="993">
        <v>315</v>
      </c>
      <c r="C86" s="993" t="s">
        <v>317</v>
      </c>
      <c r="D86" s="993">
        <v>0</v>
      </c>
    </row>
    <row r="87" spans="1:4" x14ac:dyDescent="0.3">
      <c r="B87" s="993">
        <v>316</v>
      </c>
      <c r="C87" s="993" t="s">
        <v>318</v>
      </c>
      <c r="D87" s="993">
        <v>0</v>
      </c>
    </row>
    <row r="88" spans="1:4" x14ac:dyDescent="0.3">
      <c r="B88" s="993">
        <v>320</v>
      </c>
      <c r="C88" s="993" t="s">
        <v>258</v>
      </c>
      <c r="D88" s="993">
        <v>0</v>
      </c>
    </row>
    <row r="89" spans="1:4" x14ac:dyDescent="0.3">
      <c r="B89" s="993">
        <v>321</v>
      </c>
      <c r="C89" s="993" t="s">
        <v>596</v>
      </c>
      <c r="D89" s="993">
        <v>0</v>
      </c>
    </row>
    <row r="90" spans="1:4" x14ac:dyDescent="0.3">
      <c r="B90" s="993">
        <v>322</v>
      </c>
      <c r="C90" s="993" t="s">
        <v>260</v>
      </c>
      <c r="D90" s="993">
        <v>0</v>
      </c>
    </row>
    <row r="91" spans="1:4" x14ac:dyDescent="0.3">
      <c r="B91" s="993">
        <v>323</v>
      </c>
      <c r="C91" s="993" t="s">
        <v>259</v>
      </c>
      <c r="D91" s="993">
        <v>0</v>
      </c>
    </row>
    <row r="92" spans="1:4" x14ac:dyDescent="0.3">
      <c r="B92" s="993">
        <v>324</v>
      </c>
      <c r="C92" s="993" t="s">
        <v>257</v>
      </c>
      <c r="D92" s="993">
        <v>0</v>
      </c>
    </row>
    <row r="93" spans="1:4" x14ac:dyDescent="0.3">
      <c r="B93" s="993">
        <v>325</v>
      </c>
      <c r="C93" s="993" t="s">
        <v>261</v>
      </c>
      <c r="D93" s="993">
        <v>0</v>
      </c>
    </row>
    <row r="94" spans="1:4" x14ac:dyDescent="0.3">
      <c r="B94" s="993">
        <v>326</v>
      </c>
      <c r="C94" s="993" t="e">
        <v>#VALUE!</v>
      </c>
      <c r="D94" s="993">
        <v>0</v>
      </c>
    </row>
    <row r="95" spans="1:4" x14ac:dyDescent="0.3">
      <c r="B95" s="993">
        <v>327</v>
      </c>
      <c r="C95" s="993" t="s">
        <v>1428</v>
      </c>
      <c r="D95" s="993">
        <v>0</v>
      </c>
    </row>
    <row r="96" spans="1:4" x14ac:dyDescent="0.3">
      <c r="B96" s="993">
        <v>328</v>
      </c>
      <c r="C96" s="993" t="s">
        <v>1429</v>
      </c>
      <c r="D96" s="993">
        <v>0</v>
      </c>
    </row>
    <row r="97" spans="1:4" x14ac:dyDescent="0.3">
      <c r="B97" s="993">
        <v>330</v>
      </c>
      <c r="C97" s="993" t="s">
        <v>1430</v>
      </c>
      <c r="D97" s="993">
        <v>0</v>
      </c>
    </row>
    <row r="98" spans="1:4" x14ac:dyDescent="0.3">
      <c r="B98" s="993">
        <v>331</v>
      </c>
      <c r="C98" s="993" t="s">
        <v>1431</v>
      </c>
      <c r="D98" s="993">
        <v>0</v>
      </c>
    </row>
    <row r="99" spans="1:4" x14ac:dyDescent="0.3">
      <c r="B99" s="993">
        <v>332</v>
      </c>
      <c r="C99" s="993" t="s">
        <v>1432</v>
      </c>
      <c r="D99" s="993">
        <v>0</v>
      </c>
    </row>
    <row r="100" spans="1:4" x14ac:dyDescent="0.3">
      <c r="A100" s="993">
        <v>333</v>
      </c>
      <c r="B100" s="993">
        <v>333</v>
      </c>
      <c r="C100" s="993" t="s">
        <v>184</v>
      </c>
      <c r="D100" s="993">
        <v>0</v>
      </c>
    </row>
    <row r="101" spans="1:4" x14ac:dyDescent="0.3">
      <c r="A101" s="993">
        <v>334</v>
      </c>
      <c r="B101" s="993">
        <v>334</v>
      </c>
      <c r="C101" s="993" t="s">
        <v>276</v>
      </c>
      <c r="D101" s="993">
        <v>0</v>
      </c>
    </row>
    <row r="102" spans="1:4" x14ac:dyDescent="0.3">
      <c r="A102" s="993">
        <v>335</v>
      </c>
      <c r="B102" s="993">
        <v>335</v>
      </c>
      <c r="C102" s="993" t="s">
        <v>117</v>
      </c>
      <c r="D102" s="993">
        <v>0</v>
      </c>
    </row>
    <row r="103" spans="1:4" x14ac:dyDescent="0.3">
      <c r="A103" s="993">
        <v>336</v>
      </c>
      <c r="B103" s="993">
        <v>336</v>
      </c>
      <c r="C103" s="993" t="s">
        <v>393</v>
      </c>
      <c r="D103" s="993">
        <v>0</v>
      </c>
    </row>
    <row r="104" spans="1:4" x14ac:dyDescent="0.3">
      <c r="B104" s="993">
        <v>337</v>
      </c>
      <c r="C104" s="993" t="s">
        <v>1433</v>
      </c>
      <c r="D104" s="993">
        <v>0</v>
      </c>
    </row>
    <row r="105" spans="1:4" x14ac:dyDescent="0.3">
      <c r="A105" s="993">
        <v>338</v>
      </c>
      <c r="B105" s="993">
        <v>338</v>
      </c>
      <c r="C105" s="993" t="s">
        <v>116</v>
      </c>
      <c r="D105" s="993">
        <v>0</v>
      </c>
    </row>
    <row r="106" spans="1:4" x14ac:dyDescent="0.3">
      <c r="A106" s="993">
        <v>339</v>
      </c>
      <c r="B106" s="993">
        <v>339</v>
      </c>
      <c r="C106" s="993" t="s">
        <v>190</v>
      </c>
      <c r="D106" s="993">
        <v>0</v>
      </c>
    </row>
    <row r="107" spans="1:4" x14ac:dyDescent="0.3">
      <c r="B107" s="993">
        <v>340</v>
      </c>
      <c r="C107" s="993" t="s">
        <v>1434</v>
      </c>
      <c r="D107" s="993">
        <v>0</v>
      </c>
    </row>
    <row r="108" spans="1:4" x14ac:dyDescent="0.3">
      <c r="A108" s="993">
        <v>341</v>
      </c>
      <c r="B108" s="993">
        <v>341</v>
      </c>
      <c r="C108" s="993" t="s">
        <v>193</v>
      </c>
      <c r="D108" s="993">
        <v>0</v>
      </c>
    </row>
    <row r="109" spans="1:4" x14ac:dyDescent="0.3">
      <c r="B109" s="993">
        <v>342</v>
      </c>
      <c r="C109" s="993" t="s">
        <v>394</v>
      </c>
      <c r="D109" s="993">
        <v>0</v>
      </c>
    </row>
    <row r="110" spans="1:4" x14ac:dyDescent="0.3">
      <c r="B110" s="993">
        <v>343</v>
      </c>
      <c r="C110" s="993" t="s">
        <v>1435</v>
      </c>
      <c r="D110" s="993">
        <v>0</v>
      </c>
    </row>
    <row r="111" spans="1:4" x14ac:dyDescent="0.3">
      <c r="B111" s="993">
        <v>344</v>
      </c>
      <c r="C111" s="993" t="s">
        <v>1436</v>
      </c>
      <c r="D111" s="993">
        <v>0</v>
      </c>
    </row>
    <row r="112" spans="1:4" x14ac:dyDescent="0.3">
      <c r="B112" s="993">
        <v>346</v>
      </c>
      <c r="C112" s="993" t="s">
        <v>395</v>
      </c>
      <c r="D112" s="993">
        <v>0</v>
      </c>
    </row>
    <row r="113" spans="2:4" x14ac:dyDescent="0.3">
      <c r="B113" s="993">
        <v>347</v>
      </c>
      <c r="C113" s="993" t="s">
        <v>1437</v>
      </c>
      <c r="D113" s="993">
        <v>0</v>
      </c>
    </row>
    <row r="114" spans="2:4" x14ac:dyDescent="0.3">
      <c r="B114" s="993">
        <v>349</v>
      </c>
      <c r="C114" s="993" t="s">
        <v>1438</v>
      </c>
      <c r="D114" s="993">
        <v>0</v>
      </c>
    </row>
    <row r="115" spans="2:4" x14ac:dyDescent="0.3">
      <c r="B115" s="993">
        <v>350</v>
      </c>
      <c r="C115" s="993" t="s">
        <v>1439</v>
      </c>
      <c r="D115" s="993">
        <v>0</v>
      </c>
    </row>
    <row r="116" spans="2:4" x14ac:dyDescent="0.3">
      <c r="B116" s="993">
        <v>351</v>
      </c>
      <c r="C116" s="993" t="s">
        <v>1440</v>
      </c>
      <c r="D116" s="993">
        <v>0</v>
      </c>
    </row>
    <row r="117" spans="2:4" x14ac:dyDescent="0.3">
      <c r="B117" s="993">
        <v>352</v>
      </c>
      <c r="C117" s="993" t="s">
        <v>1441</v>
      </c>
      <c r="D117" s="993">
        <v>0</v>
      </c>
    </row>
    <row r="118" spans="2:4" x14ac:dyDescent="0.3">
      <c r="B118" s="993">
        <v>353</v>
      </c>
      <c r="C118" s="993" t="s">
        <v>1442</v>
      </c>
      <c r="D118" s="993">
        <v>0</v>
      </c>
    </row>
    <row r="119" spans="2:4" x14ac:dyDescent="0.3">
      <c r="B119" s="993">
        <v>356</v>
      </c>
      <c r="C119" s="993" t="s">
        <v>1443</v>
      </c>
      <c r="D119" s="993">
        <v>0</v>
      </c>
    </row>
    <row r="120" spans="2:4" x14ac:dyDescent="0.3">
      <c r="B120" s="993">
        <v>357</v>
      </c>
      <c r="C120" s="993" t="s">
        <v>1444</v>
      </c>
      <c r="D120" s="993">
        <v>0</v>
      </c>
    </row>
    <row r="121" spans="2:4" x14ac:dyDescent="0.3">
      <c r="B121" s="993">
        <v>359</v>
      </c>
      <c r="C121" s="993" t="s">
        <v>1445</v>
      </c>
      <c r="D121" s="993">
        <v>0</v>
      </c>
    </row>
    <row r="122" spans="2:4" x14ac:dyDescent="0.3">
      <c r="B122" s="993">
        <v>360</v>
      </c>
      <c r="C122" s="993" t="s">
        <v>1446</v>
      </c>
      <c r="D122" s="993">
        <v>0</v>
      </c>
    </row>
    <row r="123" spans="2:4" x14ac:dyDescent="0.3">
      <c r="B123" s="993">
        <v>361</v>
      </c>
      <c r="C123" s="993" t="s">
        <v>1447</v>
      </c>
      <c r="D123" s="993">
        <v>0</v>
      </c>
    </row>
    <row r="124" spans="2:4" x14ac:dyDescent="0.3">
      <c r="B124" s="993">
        <v>362</v>
      </c>
      <c r="C124" s="993" t="s">
        <v>1448</v>
      </c>
      <c r="D124" s="993">
        <v>0</v>
      </c>
    </row>
    <row r="125" spans="2:4" x14ac:dyDescent="0.3">
      <c r="B125" s="993">
        <v>363</v>
      </c>
      <c r="C125" s="993" t="s">
        <v>1449</v>
      </c>
      <c r="D125" s="993">
        <v>0</v>
      </c>
    </row>
    <row r="126" spans="2:4" x14ac:dyDescent="0.3">
      <c r="B126" s="993">
        <v>364</v>
      </c>
      <c r="C126" s="993" t="s">
        <v>1450</v>
      </c>
      <c r="D126" s="993">
        <v>0</v>
      </c>
    </row>
    <row r="127" spans="2:4" x14ac:dyDescent="0.3">
      <c r="B127" s="993">
        <v>365</v>
      </c>
      <c r="C127" s="993" t="s">
        <v>1451</v>
      </c>
      <c r="D127" s="993">
        <v>0</v>
      </c>
    </row>
    <row r="128" spans="2:4" x14ac:dyDescent="0.3">
      <c r="B128" s="993">
        <v>366</v>
      </c>
      <c r="C128" s="993" t="s">
        <v>1452</v>
      </c>
      <c r="D128" s="993">
        <v>0</v>
      </c>
    </row>
    <row r="129" spans="1:4" x14ac:dyDescent="0.3">
      <c r="B129" s="993">
        <v>367</v>
      </c>
      <c r="C129" s="993" t="s">
        <v>396</v>
      </c>
      <c r="D129" s="993">
        <v>0</v>
      </c>
    </row>
    <row r="130" spans="1:4" x14ac:dyDescent="0.3">
      <c r="B130" s="993">
        <v>368</v>
      </c>
      <c r="C130" s="993" t="s">
        <v>1453</v>
      </c>
      <c r="D130" s="993">
        <v>0</v>
      </c>
    </row>
    <row r="131" spans="1:4" x14ac:dyDescent="0.3">
      <c r="B131" s="993">
        <v>369</v>
      </c>
      <c r="C131" s="993" t="s">
        <v>1454</v>
      </c>
      <c r="D131" s="993">
        <v>0</v>
      </c>
    </row>
    <row r="132" spans="1:4" x14ac:dyDescent="0.3">
      <c r="B132" s="993">
        <v>370</v>
      </c>
      <c r="C132" s="993" t="s">
        <v>1455</v>
      </c>
      <c r="D132" s="993">
        <v>0</v>
      </c>
    </row>
    <row r="133" spans="1:4" x14ac:dyDescent="0.3">
      <c r="B133" s="993">
        <v>371</v>
      </c>
      <c r="C133" s="993" t="s">
        <v>1456</v>
      </c>
      <c r="D133" s="993">
        <v>0</v>
      </c>
    </row>
    <row r="134" spans="1:4" x14ac:dyDescent="0.3">
      <c r="A134" s="993">
        <v>373</v>
      </c>
      <c r="B134" s="993">
        <v>373</v>
      </c>
      <c r="C134" s="993" t="s">
        <v>343</v>
      </c>
      <c r="D134" s="993">
        <v>0</v>
      </c>
    </row>
    <row r="135" spans="1:4" x14ac:dyDescent="0.3">
      <c r="B135" s="993">
        <v>375</v>
      </c>
      <c r="C135" s="993" t="s">
        <v>1457</v>
      </c>
      <c r="D135" s="993">
        <v>0</v>
      </c>
    </row>
    <row r="136" spans="1:4" x14ac:dyDescent="0.3">
      <c r="A136" s="993">
        <v>376</v>
      </c>
      <c r="B136" s="993">
        <v>376</v>
      </c>
      <c r="C136" s="993" t="s">
        <v>108</v>
      </c>
      <c r="D136" s="993">
        <v>0</v>
      </c>
    </row>
    <row r="137" spans="1:4" x14ac:dyDescent="0.3">
      <c r="B137" s="993">
        <v>377</v>
      </c>
      <c r="C137" s="993" t="s">
        <v>1458</v>
      </c>
      <c r="D137" s="993">
        <v>0</v>
      </c>
    </row>
    <row r="138" spans="1:4" x14ac:dyDescent="0.3">
      <c r="B138" s="993">
        <v>378</v>
      </c>
      <c r="C138" s="993" t="s">
        <v>1459</v>
      </c>
      <c r="D138" s="993">
        <v>0</v>
      </c>
    </row>
    <row r="139" spans="1:4" x14ac:dyDescent="0.3">
      <c r="A139" s="993">
        <v>379</v>
      </c>
      <c r="B139" s="993">
        <v>379</v>
      </c>
      <c r="C139" s="993" t="s">
        <v>118</v>
      </c>
      <c r="D139" s="993">
        <v>0</v>
      </c>
    </row>
    <row r="140" spans="1:4" x14ac:dyDescent="0.3">
      <c r="A140" s="993">
        <v>380</v>
      </c>
      <c r="B140" s="993">
        <v>380</v>
      </c>
      <c r="C140" s="993" t="s">
        <v>121</v>
      </c>
      <c r="D140" s="993">
        <v>0</v>
      </c>
    </row>
    <row r="141" spans="1:4" x14ac:dyDescent="0.3">
      <c r="B141" s="993">
        <v>381</v>
      </c>
      <c r="C141" s="993" t="s">
        <v>1460</v>
      </c>
      <c r="D141" s="993">
        <v>0</v>
      </c>
    </row>
    <row r="142" spans="1:4" x14ac:dyDescent="0.3">
      <c r="B142" s="993">
        <v>382</v>
      </c>
      <c r="C142" s="993" t="s">
        <v>1461</v>
      </c>
      <c r="D142" s="993">
        <v>0</v>
      </c>
    </row>
    <row r="143" spans="1:4" x14ac:dyDescent="0.3">
      <c r="B143" s="993">
        <v>383</v>
      </c>
      <c r="C143" s="993" t="s">
        <v>1462</v>
      </c>
      <c r="D143" s="993">
        <v>0</v>
      </c>
    </row>
    <row r="144" spans="1:4" x14ac:dyDescent="0.3">
      <c r="B144" s="993">
        <v>384</v>
      </c>
      <c r="C144" s="993" t="s">
        <v>1463</v>
      </c>
      <c r="D144" s="993">
        <v>0</v>
      </c>
    </row>
    <row r="145" spans="1:4" x14ac:dyDescent="0.3">
      <c r="A145" s="993">
        <v>385</v>
      </c>
      <c r="B145" s="993">
        <v>385</v>
      </c>
      <c r="C145" s="993" t="s">
        <v>115</v>
      </c>
      <c r="D145" s="993">
        <v>0</v>
      </c>
    </row>
    <row r="146" spans="1:4" x14ac:dyDescent="0.3">
      <c r="A146" s="993">
        <v>386</v>
      </c>
      <c r="B146" s="993">
        <v>386</v>
      </c>
      <c r="C146" s="993" t="s">
        <v>194</v>
      </c>
      <c r="D146" s="993">
        <v>0</v>
      </c>
    </row>
    <row r="147" spans="1:4" x14ac:dyDescent="0.3">
      <c r="A147" s="993">
        <v>387</v>
      </c>
      <c r="B147" s="993">
        <v>387</v>
      </c>
      <c r="C147" s="993" t="s">
        <v>195</v>
      </c>
      <c r="D147" s="993">
        <v>0</v>
      </c>
    </row>
    <row r="148" spans="1:4" x14ac:dyDescent="0.3">
      <c r="A148" s="993">
        <v>388</v>
      </c>
      <c r="B148" s="993">
        <v>388</v>
      </c>
      <c r="C148" s="993" t="s">
        <v>189</v>
      </c>
      <c r="D148" s="993">
        <v>0</v>
      </c>
    </row>
    <row r="149" spans="1:4" x14ac:dyDescent="0.3">
      <c r="A149" s="993">
        <v>389</v>
      </c>
      <c r="B149" s="993">
        <v>389</v>
      </c>
      <c r="C149" s="993" t="s">
        <v>196</v>
      </c>
      <c r="D149" s="993">
        <v>0</v>
      </c>
    </row>
    <row r="150" spans="1:4" x14ac:dyDescent="0.3">
      <c r="A150" s="993">
        <v>391</v>
      </c>
      <c r="B150" s="993">
        <v>391</v>
      </c>
      <c r="C150" s="993" t="s">
        <v>201</v>
      </c>
      <c r="D150" s="993">
        <v>0</v>
      </c>
    </row>
    <row r="151" spans="1:4" x14ac:dyDescent="0.3">
      <c r="A151" s="993">
        <v>500</v>
      </c>
      <c r="B151" s="993">
        <v>500</v>
      </c>
      <c r="C151" s="993" t="s">
        <v>183</v>
      </c>
      <c r="D151" s="993">
        <v>0</v>
      </c>
    </row>
    <row r="152" spans="1:4" x14ac:dyDescent="0.3">
      <c r="B152" s="993">
        <v>501</v>
      </c>
      <c r="C152" s="993" t="s">
        <v>185</v>
      </c>
      <c r="D152" s="993">
        <v>0</v>
      </c>
    </row>
    <row r="153" spans="1:4" x14ac:dyDescent="0.3">
      <c r="A153" s="993">
        <v>502</v>
      </c>
      <c r="B153" s="993">
        <v>502</v>
      </c>
      <c r="C153" s="993" t="s">
        <v>186</v>
      </c>
      <c r="D153" s="1012">
        <v>1994241</v>
      </c>
    </row>
    <row r="154" spans="1:4" x14ac:dyDescent="0.3">
      <c r="A154" s="993">
        <v>503</v>
      </c>
      <c r="B154" s="993">
        <v>503</v>
      </c>
      <c r="C154" s="993" t="s">
        <v>187</v>
      </c>
      <c r="D154" s="993">
        <v>0</v>
      </c>
    </row>
    <row r="155" spans="1:4" x14ac:dyDescent="0.3">
      <c r="A155" s="993">
        <v>504</v>
      </c>
      <c r="B155" s="993">
        <v>504</v>
      </c>
      <c r="C155" s="993" t="s">
        <v>191</v>
      </c>
      <c r="D155" s="993">
        <v>0</v>
      </c>
    </row>
    <row r="156" spans="1:4" x14ac:dyDescent="0.3">
      <c r="A156" s="993">
        <v>505</v>
      </c>
      <c r="B156" s="993">
        <v>505</v>
      </c>
      <c r="C156" s="993" t="s">
        <v>192</v>
      </c>
      <c r="D156" s="993">
        <v>0</v>
      </c>
    </row>
    <row r="157" spans="1:4" x14ac:dyDescent="0.3">
      <c r="A157" s="993">
        <v>506</v>
      </c>
      <c r="B157" s="993">
        <v>506</v>
      </c>
      <c r="C157" s="993" t="s">
        <v>198</v>
      </c>
      <c r="D157" s="993">
        <v>0</v>
      </c>
    </row>
    <row r="158" spans="1:4" x14ac:dyDescent="0.3">
      <c r="A158" s="993">
        <v>507</v>
      </c>
      <c r="B158" s="993">
        <v>507</v>
      </c>
      <c r="C158" s="993" t="s">
        <v>216</v>
      </c>
      <c r="D158" s="993">
        <v>0</v>
      </c>
    </row>
    <row r="159" spans="1:4" x14ac:dyDescent="0.3">
      <c r="A159" s="993">
        <v>508</v>
      </c>
      <c r="B159" s="993">
        <v>508</v>
      </c>
      <c r="C159" s="993" t="s">
        <v>213</v>
      </c>
      <c r="D159" s="993">
        <v>0</v>
      </c>
    </row>
    <row r="160" spans="1:4" x14ac:dyDescent="0.3">
      <c r="A160" s="993">
        <v>509</v>
      </c>
      <c r="B160" s="993">
        <v>509</v>
      </c>
      <c r="C160" s="993" t="s">
        <v>214</v>
      </c>
      <c r="D160" s="993">
        <v>0</v>
      </c>
    </row>
    <row r="161" spans="1:4" x14ac:dyDescent="0.3">
      <c r="B161" s="993">
        <v>510</v>
      </c>
      <c r="C161" s="993" t="s">
        <v>220</v>
      </c>
      <c r="D161" s="993">
        <v>0</v>
      </c>
    </row>
    <row r="162" spans="1:4" x14ac:dyDescent="0.3">
      <c r="B162" s="993">
        <v>511</v>
      </c>
      <c r="C162" s="993" t="s">
        <v>225</v>
      </c>
      <c r="D162" s="993">
        <v>0</v>
      </c>
    </row>
    <row r="163" spans="1:4" x14ac:dyDescent="0.3">
      <c r="A163" s="993">
        <v>512</v>
      </c>
      <c r="B163" s="993">
        <v>512</v>
      </c>
      <c r="C163" s="993" t="s">
        <v>252</v>
      </c>
      <c r="D163" s="1012">
        <v>4384858</v>
      </c>
    </row>
    <row r="164" spans="1:4" x14ac:dyDescent="0.3">
      <c r="B164" s="993">
        <v>513</v>
      </c>
      <c r="C164" s="993" t="s">
        <v>263</v>
      </c>
      <c r="D164" s="993">
        <v>0</v>
      </c>
    </row>
    <row r="165" spans="1:4" x14ac:dyDescent="0.3">
      <c r="B165" s="993">
        <v>514</v>
      </c>
      <c r="C165" s="993" t="s">
        <v>264</v>
      </c>
      <c r="D165" s="993">
        <v>0</v>
      </c>
    </row>
    <row r="166" spans="1:4" x14ac:dyDescent="0.3">
      <c r="B166" s="993">
        <v>515</v>
      </c>
      <c r="C166" s="993" t="s">
        <v>277</v>
      </c>
      <c r="D166" s="993">
        <v>0</v>
      </c>
    </row>
    <row r="167" spans="1:4" x14ac:dyDescent="0.3">
      <c r="B167" s="993">
        <v>516</v>
      </c>
      <c r="C167" s="993" t="s">
        <v>278</v>
      </c>
      <c r="D167" s="993">
        <v>0</v>
      </c>
    </row>
    <row r="168" spans="1:4" x14ac:dyDescent="0.3">
      <c r="B168" s="993">
        <v>517</v>
      </c>
      <c r="C168" s="993" t="s">
        <v>279</v>
      </c>
      <c r="D168" s="993">
        <v>0</v>
      </c>
    </row>
    <row r="169" spans="1:4" x14ac:dyDescent="0.3">
      <c r="B169" s="993">
        <v>518</v>
      </c>
      <c r="C169" s="993" t="s">
        <v>280</v>
      </c>
      <c r="D169" s="993">
        <v>0</v>
      </c>
    </row>
    <row r="170" spans="1:4" x14ac:dyDescent="0.3">
      <c r="B170" s="993">
        <v>519</v>
      </c>
      <c r="C170" s="993" t="s">
        <v>281</v>
      </c>
      <c r="D170" s="993">
        <v>0</v>
      </c>
    </row>
    <row r="171" spans="1:4" x14ac:dyDescent="0.3">
      <c r="B171" s="993">
        <v>520</v>
      </c>
      <c r="C171" s="993" t="s">
        <v>282</v>
      </c>
      <c r="D171" s="993">
        <v>0</v>
      </c>
    </row>
    <row r="172" spans="1:4" x14ac:dyDescent="0.3">
      <c r="B172" s="993">
        <v>521</v>
      </c>
      <c r="C172" s="993" t="s">
        <v>283</v>
      </c>
      <c r="D172" s="993">
        <v>0</v>
      </c>
    </row>
    <row r="173" spans="1:4" x14ac:dyDescent="0.3">
      <c r="B173" s="993">
        <v>522</v>
      </c>
      <c r="C173" s="993" t="s">
        <v>284</v>
      </c>
      <c r="D173" s="993">
        <v>0</v>
      </c>
    </row>
    <row r="174" spans="1:4" x14ac:dyDescent="0.3">
      <c r="B174" s="993">
        <v>523</v>
      </c>
      <c r="C174" s="993" t="s">
        <v>285</v>
      </c>
      <c r="D174" s="993">
        <v>0</v>
      </c>
    </row>
    <row r="175" spans="1:4" x14ac:dyDescent="0.3">
      <c r="B175" s="993">
        <v>524</v>
      </c>
      <c r="C175" s="993" t="s">
        <v>286</v>
      </c>
      <c r="D175" s="993">
        <v>0</v>
      </c>
    </row>
    <row r="176" spans="1:4" x14ac:dyDescent="0.3">
      <c r="B176" s="993">
        <v>525</v>
      </c>
      <c r="C176" s="993" t="s">
        <v>287</v>
      </c>
      <c r="D176" s="993">
        <v>0</v>
      </c>
    </row>
    <row r="177" spans="1:4" x14ac:dyDescent="0.3">
      <c r="B177" s="993">
        <v>526</v>
      </c>
      <c r="C177" s="993" t="s">
        <v>288</v>
      </c>
      <c r="D177" s="993">
        <v>0</v>
      </c>
    </row>
    <row r="178" spans="1:4" x14ac:dyDescent="0.3">
      <c r="B178" s="993">
        <v>527</v>
      </c>
      <c r="C178" s="993" t="s">
        <v>289</v>
      </c>
      <c r="D178" s="993">
        <v>0</v>
      </c>
    </row>
    <row r="179" spans="1:4" x14ac:dyDescent="0.3">
      <c r="B179" s="993">
        <v>528</v>
      </c>
      <c r="C179" s="993" t="s">
        <v>271</v>
      </c>
      <c r="D179" s="993">
        <v>0</v>
      </c>
    </row>
    <row r="180" spans="1:4" x14ac:dyDescent="0.3">
      <c r="B180" s="993">
        <v>529</v>
      </c>
      <c r="C180" s="993" t="s">
        <v>272</v>
      </c>
      <c r="D180" s="993">
        <v>0</v>
      </c>
    </row>
    <row r="181" spans="1:4" x14ac:dyDescent="0.3">
      <c r="B181" s="993">
        <v>530</v>
      </c>
      <c r="C181" s="993" t="s">
        <v>273</v>
      </c>
      <c r="D181" s="993">
        <v>0</v>
      </c>
    </row>
    <row r="182" spans="1:4" x14ac:dyDescent="0.3">
      <c r="B182" s="993">
        <v>531</v>
      </c>
      <c r="C182" s="993" t="s">
        <v>274</v>
      </c>
      <c r="D182" s="993">
        <v>0</v>
      </c>
    </row>
    <row r="183" spans="1:4" x14ac:dyDescent="0.3">
      <c r="A183" s="993">
        <v>532</v>
      </c>
      <c r="B183" s="993">
        <v>532</v>
      </c>
      <c r="C183" s="993" t="s">
        <v>361</v>
      </c>
      <c r="D183" s="993">
        <v>0</v>
      </c>
    </row>
    <row r="184" spans="1:4" x14ac:dyDescent="0.3">
      <c r="A184" s="993">
        <v>533</v>
      </c>
      <c r="B184" s="993">
        <v>533</v>
      </c>
      <c r="C184" s="993" t="s">
        <v>362</v>
      </c>
      <c r="D184" s="993">
        <v>0</v>
      </c>
    </row>
    <row r="185" spans="1:4" x14ac:dyDescent="0.3">
      <c r="A185" s="993">
        <v>534</v>
      </c>
      <c r="B185" s="993">
        <v>534</v>
      </c>
      <c r="C185" s="993" t="s">
        <v>275</v>
      </c>
      <c r="D185" s="993">
        <v>0</v>
      </c>
    </row>
    <row r="186" spans="1:4" x14ac:dyDescent="0.3">
      <c r="A186" s="993">
        <v>535</v>
      </c>
      <c r="B186" s="993">
        <v>535</v>
      </c>
      <c r="C186" s="993" t="s">
        <v>253</v>
      </c>
      <c r="D186" s="993">
        <v>0</v>
      </c>
    </row>
    <row r="187" spans="1:4" x14ac:dyDescent="0.3">
      <c r="A187" s="993">
        <v>536</v>
      </c>
      <c r="B187" s="993">
        <v>536</v>
      </c>
      <c r="C187" s="993" t="s">
        <v>199</v>
      </c>
      <c r="D187" s="993">
        <v>0</v>
      </c>
    </row>
    <row r="188" spans="1:4" x14ac:dyDescent="0.3">
      <c r="B188" s="993">
        <v>537</v>
      </c>
      <c r="C188" s="993" t="s">
        <v>295</v>
      </c>
      <c r="D188" s="993">
        <v>0</v>
      </c>
    </row>
    <row r="189" spans="1:4" x14ac:dyDescent="0.3">
      <c r="B189" s="993">
        <v>538</v>
      </c>
      <c r="C189" s="993" t="s">
        <v>294</v>
      </c>
      <c r="D189" s="993">
        <v>0</v>
      </c>
    </row>
    <row r="190" spans="1:4" x14ac:dyDescent="0.3">
      <c r="B190" s="993">
        <v>539</v>
      </c>
      <c r="C190" s="993" t="s">
        <v>1464</v>
      </c>
      <c r="D190" s="993">
        <v>0</v>
      </c>
    </row>
    <row r="191" spans="1:4" x14ac:dyDescent="0.3">
      <c r="A191" s="993">
        <v>540</v>
      </c>
      <c r="B191" s="993">
        <v>540</v>
      </c>
      <c r="C191" s="993" t="s">
        <v>267</v>
      </c>
      <c r="D191" s="993">
        <v>0</v>
      </c>
    </row>
    <row r="192" spans="1:4" x14ac:dyDescent="0.3">
      <c r="B192" s="993">
        <v>541</v>
      </c>
      <c r="C192" s="993" t="s">
        <v>349</v>
      </c>
      <c r="D192" s="993">
        <v>0</v>
      </c>
    </row>
    <row r="193" spans="1:4" x14ac:dyDescent="0.3">
      <c r="B193" s="993">
        <v>542</v>
      </c>
      <c r="C193" s="993" t="s">
        <v>597</v>
      </c>
      <c r="D193" s="993">
        <v>0</v>
      </c>
    </row>
    <row r="194" spans="1:4" x14ac:dyDescent="0.3">
      <c r="B194" s="993">
        <v>543</v>
      </c>
      <c r="C194" s="993" t="s">
        <v>1465</v>
      </c>
      <c r="D194" s="993">
        <v>0</v>
      </c>
    </row>
    <row r="195" spans="1:4" x14ac:dyDescent="0.3">
      <c r="B195" s="993">
        <v>544</v>
      </c>
      <c r="C195" s="993" t="s">
        <v>53</v>
      </c>
      <c r="D195" s="993">
        <v>0</v>
      </c>
    </row>
    <row r="196" spans="1:4" x14ac:dyDescent="0.3">
      <c r="B196" s="993">
        <v>545</v>
      </c>
      <c r="C196" s="993" t="s">
        <v>54</v>
      </c>
      <c r="D196" s="993">
        <v>0</v>
      </c>
    </row>
    <row r="197" spans="1:4" x14ac:dyDescent="0.3">
      <c r="B197" s="993">
        <v>546</v>
      </c>
      <c r="C197" s="993" t="s">
        <v>598</v>
      </c>
      <c r="D197" s="993">
        <v>0</v>
      </c>
    </row>
    <row r="198" spans="1:4" ht="84.75" customHeight="1" x14ac:dyDescent="0.3">
      <c r="A198" s="993">
        <v>547</v>
      </c>
      <c r="B198" s="993">
        <v>547</v>
      </c>
      <c r="C198" s="994" t="s">
        <v>335</v>
      </c>
      <c r="D198" s="993">
        <v>3</v>
      </c>
    </row>
    <row r="199" spans="1:4" x14ac:dyDescent="0.3">
      <c r="B199" s="993">
        <v>548</v>
      </c>
      <c r="C199" s="993" t="s">
        <v>334</v>
      </c>
      <c r="D199" s="993">
        <v>0</v>
      </c>
    </row>
    <row r="200" spans="1:4" x14ac:dyDescent="0.3">
      <c r="B200" s="993">
        <v>549</v>
      </c>
      <c r="C200" s="993" t="s">
        <v>1466</v>
      </c>
      <c r="D200" s="993">
        <v>0</v>
      </c>
    </row>
    <row r="201" spans="1:4" x14ac:dyDescent="0.3">
      <c r="B201" s="993">
        <v>550</v>
      </c>
      <c r="C201" s="993" t="s">
        <v>363</v>
      </c>
      <c r="D201" s="993">
        <v>0</v>
      </c>
    </row>
    <row r="202" spans="1:4" x14ac:dyDescent="0.3">
      <c r="B202" s="993">
        <v>551</v>
      </c>
      <c r="C202" s="993" t="s">
        <v>1467</v>
      </c>
      <c r="D202" s="993">
        <v>0</v>
      </c>
    </row>
    <row r="203" spans="1:4" x14ac:dyDescent="0.3">
      <c r="B203" s="993">
        <v>552</v>
      </c>
      <c r="C203" s="993" t="s">
        <v>336</v>
      </c>
      <c r="D203" s="993">
        <v>0</v>
      </c>
    </row>
    <row r="204" spans="1:4" x14ac:dyDescent="0.3">
      <c r="B204" s="993">
        <v>553</v>
      </c>
      <c r="C204" s="993" t="s">
        <v>364</v>
      </c>
      <c r="D204" s="993">
        <v>0</v>
      </c>
    </row>
    <row r="205" spans="1:4" x14ac:dyDescent="0.3">
      <c r="A205" s="993">
        <v>554</v>
      </c>
      <c r="B205" s="993">
        <v>554</v>
      </c>
      <c r="C205" s="993" t="s">
        <v>365</v>
      </c>
      <c r="D205" s="993">
        <v>0</v>
      </c>
    </row>
    <row r="206" spans="1:4" x14ac:dyDescent="0.3">
      <c r="A206" s="993">
        <v>555</v>
      </c>
      <c r="B206" s="993">
        <v>555</v>
      </c>
      <c r="C206" s="993" t="s">
        <v>366</v>
      </c>
      <c r="D206" s="993">
        <v>0</v>
      </c>
    </row>
    <row r="207" spans="1:4" x14ac:dyDescent="0.3">
      <c r="A207" s="993">
        <v>556</v>
      </c>
      <c r="B207" s="993">
        <v>556</v>
      </c>
      <c r="C207" s="993" t="s">
        <v>367</v>
      </c>
      <c r="D207" s="993">
        <v>0</v>
      </c>
    </row>
    <row r="208" spans="1:4" x14ac:dyDescent="0.3">
      <c r="A208" s="993">
        <v>557</v>
      </c>
      <c r="B208" s="993">
        <v>557</v>
      </c>
      <c r="C208" s="993" t="s">
        <v>368</v>
      </c>
      <c r="D208" s="993">
        <v>0</v>
      </c>
    </row>
    <row r="209" spans="2:3" x14ac:dyDescent="0.3">
      <c r="B209" s="993">
        <v>558</v>
      </c>
      <c r="C209" s="993" t="s">
        <v>1134</v>
      </c>
    </row>
    <row r="210" spans="2:3" x14ac:dyDescent="0.3">
      <c r="B210" s="993">
        <v>559</v>
      </c>
      <c r="C210" s="993" t="s">
        <v>1135</v>
      </c>
    </row>
    <row r="211" spans="2:3" x14ac:dyDescent="0.3">
      <c r="B211" s="993">
        <v>560</v>
      </c>
      <c r="C211" s="993" t="s">
        <v>1136</v>
      </c>
    </row>
    <row r="212" spans="2:3" x14ac:dyDescent="0.3">
      <c r="B212" s="993">
        <v>561</v>
      </c>
      <c r="C212" s="993" t="s">
        <v>1137</v>
      </c>
    </row>
    <row r="213" spans="2:3" x14ac:dyDescent="0.3">
      <c r="B213" s="993">
        <v>562</v>
      </c>
      <c r="C213" s="993" t="s">
        <v>1143</v>
      </c>
    </row>
    <row r="214" spans="2:3" x14ac:dyDescent="0.3">
      <c r="B214" s="993">
        <v>563</v>
      </c>
      <c r="C214" s="993" t="s">
        <v>1138</v>
      </c>
    </row>
    <row r="215" spans="2:3" x14ac:dyDescent="0.3">
      <c r="B215" s="993">
        <v>564</v>
      </c>
      <c r="C215" s="993" t="s">
        <v>1139</v>
      </c>
    </row>
    <row r="216" spans="2:3" x14ac:dyDescent="0.3">
      <c r="B216" s="993">
        <v>565</v>
      </c>
      <c r="C216" s="993" t="s">
        <v>1274</v>
      </c>
    </row>
    <row r="217" spans="2:3" x14ac:dyDescent="0.3">
      <c r="B217" s="993">
        <v>566</v>
      </c>
      <c r="C217" s="993" t="s">
        <v>1141</v>
      </c>
    </row>
    <row r="218" spans="2:3" x14ac:dyDescent="0.3">
      <c r="B218" s="993">
        <v>567</v>
      </c>
      <c r="C218" s="993" t="s">
        <v>1142</v>
      </c>
    </row>
    <row r="219" spans="2:3" x14ac:dyDescent="0.3">
      <c r="B219" s="993">
        <v>568</v>
      </c>
      <c r="C219" s="993" t="s">
        <v>1140</v>
      </c>
    </row>
    <row r="220" spans="2:3" x14ac:dyDescent="0.3">
      <c r="B220" s="993">
        <v>569</v>
      </c>
      <c r="C220" s="993" t="s">
        <v>1144</v>
      </c>
    </row>
    <row r="221" spans="2:3" x14ac:dyDescent="0.3">
      <c r="B221" s="993">
        <v>570</v>
      </c>
      <c r="C221" s="993" t="s">
        <v>1468</v>
      </c>
    </row>
    <row r="222" spans="2:3" x14ac:dyDescent="0.3">
      <c r="B222" s="993">
        <v>571</v>
      </c>
      <c r="C222" s="993" t="s">
        <v>1116</v>
      </c>
    </row>
    <row r="223" spans="2:3" x14ac:dyDescent="0.3">
      <c r="B223" s="993">
        <v>572</v>
      </c>
      <c r="C223" s="993" t="s">
        <v>1117</v>
      </c>
    </row>
    <row r="224" spans="2:3" x14ac:dyDescent="0.3">
      <c r="B224" s="993">
        <v>573</v>
      </c>
      <c r="C224" s="993" t="s">
        <v>1275</v>
      </c>
    </row>
    <row r="225" spans="1:4" x14ac:dyDescent="0.3">
      <c r="B225" s="993">
        <v>574</v>
      </c>
      <c r="C225" s="993" t="s">
        <v>1469</v>
      </c>
    </row>
    <row r="226" spans="1:4" x14ac:dyDescent="0.3">
      <c r="A226" s="993">
        <v>575</v>
      </c>
      <c r="B226" s="993">
        <v>575</v>
      </c>
      <c r="C226" s="993" t="s">
        <v>341</v>
      </c>
      <c r="D226" s="993">
        <v>0</v>
      </c>
    </row>
    <row r="227" spans="1:4" x14ac:dyDescent="0.3">
      <c r="A227" s="993">
        <v>576</v>
      </c>
      <c r="B227" s="993">
        <v>576</v>
      </c>
      <c r="C227" s="993" t="s">
        <v>342</v>
      </c>
      <c r="D227" s="993">
        <v>0</v>
      </c>
    </row>
    <row r="228" spans="1:4" x14ac:dyDescent="0.3">
      <c r="A228" s="993">
        <v>577</v>
      </c>
      <c r="B228" s="993">
        <v>577</v>
      </c>
      <c r="C228" s="993" t="s">
        <v>397</v>
      </c>
      <c r="D228" s="993">
        <v>2</v>
      </c>
    </row>
    <row r="229" spans="1:4" x14ac:dyDescent="0.3">
      <c r="B229" s="993">
        <v>578</v>
      </c>
      <c r="C229" s="993" t="s">
        <v>398</v>
      </c>
      <c r="D229" s="993">
        <v>0</v>
      </c>
    </row>
    <row r="230" spans="1:4" x14ac:dyDescent="0.3">
      <c r="B230" s="993">
        <v>579</v>
      </c>
      <c r="C230" s="993" t="s">
        <v>399</v>
      </c>
      <c r="D230" s="993">
        <v>0</v>
      </c>
    </row>
    <row r="231" spans="1:4" x14ac:dyDescent="0.3">
      <c r="B231" s="993">
        <v>580</v>
      </c>
      <c r="C231" s="993" t="s">
        <v>400</v>
      </c>
      <c r="D231" s="993">
        <v>0</v>
      </c>
    </row>
    <row r="232" spans="1:4" x14ac:dyDescent="0.3">
      <c r="B232" s="993">
        <v>581</v>
      </c>
      <c r="C232" s="993" t="s">
        <v>401</v>
      </c>
      <c r="D232" s="993">
        <v>0</v>
      </c>
    </row>
    <row r="233" spans="1:4" x14ac:dyDescent="0.3">
      <c r="B233" s="993">
        <v>582</v>
      </c>
      <c r="C233" s="993" t="s">
        <v>402</v>
      </c>
      <c r="D233" s="993">
        <v>0</v>
      </c>
    </row>
    <row r="234" spans="1:4" x14ac:dyDescent="0.3">
      <c r="B234" s="993">
        <v>583</v>
      </c>
      <c r="C234" s="993" t="s">
        <v>403</v>
      </c>
      <c r="D234" s="993">
        <v>0</v>
      </c>
    </row>
    <row r="235" spans="1:4" x14ac:dyDescent="0.3">
      <c r="B235" s="993">
        <v>584</v>
      </c>
      <c r="C235" s="993" t="s">
        <v>404</v>
      </c>
      <c r="D235" s="993">
        <v>0</v>
      </c>
    </row>
    <row r="236" spans="1:4" x14ac:dyDescent="0.3">
      <c r="B236" s="993">
        <v>585</v>
      </c>
      <c r="C236" s="993" t="s">
        <v>405</v>
      </c>
      <c r="D236" s="993">
        <v>0</v>
      </c>
    </row>
    <row r="237" spans="1:4" x14ac:dyDescent="0.3">
      <c r="A237" s="993">
        <v>586</v>
      </c>
      <c r="B237" s="993">
        <v>586</v>
      </c>
      <c r="C237" s="993" t="s">
        <v>406</v>
      </c>
      <c r="D237" s="993">
        <v>0</v>
      </c>
    </row>
    <row r="238" spans="1:4" x14ac:dyDescent="0.3">
      <c r="B238" s="993">
        <v>587</v>
      </c>
      <c r="C238" s="993" t="s">
        <v>407</v>
      </c>
      <c r="D238" s="993">
        <v>0</v>
      </c>
    </row>
    <row r="239" spans="1:4" x14ac:dyDescent="0.3">
      <c r="B239" s="993">
        <v>588</v>
      </c>
      <c r="C239" s="993" t="s">
        <v>408</v>
      </c>
      <c r="D239" s="993">
        <v>0</v>
      </c>
    </row>
    <row r="240" spans="1:4" x14ac:dyDescent="0.3">
      <c r="B240" s="993">
        <v>993</v>
      </c>
      <c r="C240" s="993" t="s">
        <v>1470</v>
      </c>
      <c r="D240" s="993">
        <v>0</v>
      </c>
    </row>
    <row r="241" spans="1:4" x14ac:dyDescent="0.3">
      <c r="B241" s="993">
        <v>994</v>
      </c>
      <c r="C241" s="993" t="s">
        <v>1471</v>
      </c>
      <c r="D241" s="993">
        <v>0</v>
      </c>
    </row>
    <row r="242" spans="1:4" x14ac:dyDescent="0.3">
      <c r="B242" s="993">
        <v>995</v>
      </c>
      <c r="C242" s="993" t="s">
        <v>290</v>
      </c>
      <c r="D242" s="993">
        <v>0</v>
      </c>
    </row>
    <row r="243" spans="1:4" x14ac:dyDescent="0.3">
      <c r="B243" s="993">
        <v>996</v>
      </c>
      <c r="C243" s="993" t="s">
        <v>291</v>
      </c>
      <c r="D243" s="993">
        <v>0</v>
      </c>
    </row>
    <row r="244" spans="1:4" x14ac:dyDescent="0.3">
      <c r="A244" s="993">
        <v>998</v>
      </c>
      <c r="B244" s="993">
        <v>998</v>
      </c>
      <c r="C244" s="993" t="s">
        <v>292</v>
      </c>
      <c r="D244" s="993">
        <v>60</v>
      </c>
    </row>
    <row r="245" spans="1:4" x14ac:dyDescent="0.3">
      <c r="A245" s="993">
        <v>999</v>
      </c>
      <c r="B245" s="993">
        <v>999</v>
      </c>
      <c r="C245" s="993" t="s">
        <v>293</v>
      </c>
      <c r="D245" s="1012">
        <v>601725</v>
      </c>
    </row>
    <row r="246" spans="1:4" x14ac:dyDescent="0.3">
      <c r="A246" s="993">
        <v>591</v>
      </c>
      <c r="B246" s="993">
        <v>591</v>
      </c>
      <c r="C246" s="993" t="s">
        <v>375</v>
      </c>
      <c r="D246" s="1012">
        <v>34726006</v>
      </c>
    </row>
    <row r="247" spans="1:4" x14ac:dyDescent="0.3">
      <c r="A247" s="993">
        <v>592</v>
      </c>
      <c r="B247" s="993">
        <v>592</v>
      </c>
      <c r="C247" s="993" t="s">
        <v>376</v>
      </c>
      <c r="D247" s="1012">
        <v>-882127</v>
      </c>
    </row>
    <row r="248" spans="1:4" ht="163.5" customHeight="1" x14ac:dyDescent="0.3">
      <c r="B248" s="993">
        <v>595</v>
      </c>
      <c r="C248" s="994" t="s">
        <v>1472</v>
      </c>
    </row>
    <row r="249" spans="1:4" x14ac:dyDescent="0.3">
      <c r="A249" s="993">
        <v>596</v>
      </c>
      <c r="B249" s="993">
        <v>596</v>
      </c>
      <c r="C249" s="993" t="s">
        <v>382</v>
      </c>
      <c r="D249" s="993">
        <v>0</v>
      </c>
    </row>
    <row r="250" spans="1:4" x14ac:dyDescent="0.3">
      <c r="A250" s="993">
        <v>598</v>
      </c>
      <c r="B250" s="993">
        <v>598</v>
      </c>
      <c r="C250" s="993" t="s">
        <v>334</v>
      </c>
      <c r="D250" s="993">
        <v>0</v>
      </c>
    </row>
    <row r="251" spans="1:4" x14ac:dyDescent="0.3">
      <c r="A251" s="993">
        <v>599</v>
      </c>
      <c r="B251" s="993">
        <v>599</v>
      </c>
      <c r="C251" s="993" t="s">
        <v>1466</v>
      </c>
      <c r="D251" s="993">
        <v>0</v>
      </c>
    </row>
    <row r="252" spans="1:4" ht="139.5" customHeight="1" x14ac:dyDescent="0.3">
      <c r="B252" s="993">
        <v>600</v>
      </c>
      <c r="C252" s="994" t="s">
        <v>600</v>
      </c>
    </row>
    <row r="253" spans="1:4" ht="261" customHeight="1" x14ac:dyDescent="0.3">
      <c r="B253" s="993">
        <v>601</v>
      </c>
      <c r="C253" s="994" t="s">
        <v>601</v>
      </c>
    </row>
    <row r="254" spans="1:4" ht="52.5" customHeight="1" x14ac:dyDescent="0.3">
      <c r="A254" s="993">
        <v>602</v>
      </c>
      <c r="B254" s="993">
        <v>602</v>
      </c>
      <c r="C254" s="993" t="s">
        <v>336</v>
      </c>
      <c r="D254" s="993">
        <v>0</v>
      </c>
    </row>
    <row r="255" spans="1:4" ht="225" customHeight="1" x14ac:dyDescent="0.3">
      <c r="A255" s="993">
        <v>603</v>
      </c>
      <c r="B255" s="993">
        <v>603</v>
      </c>
      <c r="C255" s="994" t="s">
        <v>430</v>
      </c>
      <c r="D255" s="993">
        <v>2</v>
      </c>
    </row>
    <row r="256" spans="1:4" ht="163.5" customHeight="1" x14ac:dyDescent="0.3">
      <c r="B256" s="993">
        <v>604</v>
      </c>
      <c r="C256" s="994" t="s">
        <v>431</v>
      </c>
    </row>
    <row r="257" spans="1:4" x14ac:dyDescent="0.3">
      <c r="A257" s="993">
        <v>605</v>
      </c>
      <c r="B257" s="993">
        <v>605</v>
      </c>
      <c r="C257" s="993" t="s">
        <v>433</v>
      </c>
      <c r="D257" s="993">
        <v>1</v>
      </c>
    </row>
    <row r="258" spans="1:4" x14ac:dyDescent="0.3">
      <c r="A258" s="993">
        <v>606</v>
      </c>
      <c r="B258" s="993">
        <v>606</v>
      </c>
      <c r="C258" s="993" t="s">
        <v>446</v>
      </c>
      <c r="D258" s="993">
        <v>0</v>
      </c>
    </row>
    <row r="259" spans="1:4" x14ac:dyDescent="0.3">
      <c r="A259" s="993">
        <v>607</v>
      </c>
      <c r="B259" s="993">
        <v>607</v>
      </c>
      <c r="C259" s="993" t="s">
        <v>423</v>
      </c>
      <c r="D259" s="1012">
        <v>4478064</v>
      </c>
    </row>
    <row r="260" spans="1:4" x14ac:dyDescent="0.3">
      <c r="A260" s="993">
        <v>608</v>
      </c>
      <c r="B260" s="993">
        <v>608</v>
      </c>
      <c r="C260" s="993" t="s">
        <v>424</v>
      </c>
      <c r="D260" s="1012">
        <v>4190142</v>
      </c>
    </row>
    <row r="261" spans="1:4" x14ac:dyDescent="0.3">
      <c r="A261" s="993">
        <v>609</v>
      </c>
      <c r="B261" s="993">
        <v>609</v>
      </c>
      <c r="C261" s="993" t="s">
        <v>1473</v>
      </c>
      <c r="D261" s="993">
        <v>93.6</v>
      </c>
    </row>
    <row r="262" spans="1:4" x14ac:dyDescent="0.3">
      <c r="A262" s="993">
        <v>610</v>
      </c>
      <c r="B262" s="993">
        <v>610</v>
      </c>
      <c r="C262" s="993" t="s">
        <v>425</v>
      </c>
      <c r="D262" s="993">
        <v>0</v>
      </c>
    </row>
    <row r="263" spans="1:4" x14ac:dyDescent="0.3">
      <c r="A263" s="993">
        <v>611</v>
      </c>
      <c r="B263" s="993">
        <v>611</v>
      </c>
      <c r="C263" s="993" t="s">
        <v>426</v>
      </c>
      <c r="D263" s="993">
        <v>0</v>
      </c>
    </row>
    <row r="264" spans="1:4" x14ac:dyDescent="0.3">
      <c r="A264" s="993">
        <v>612</v>
      </c>
      <c r="B264" s="993">
        <v>612</v>
      </c>
      <c r="C264" s="993" t="s">
        <v>1474</v>
      </c>
      <c r="D264" s="993">
        <v>0</v>
      </c>
    </row>
    <row r="265" spans="1:4" x14ac:dyDescent="0.3">
      <c r="A265" s="993">
        <v>613</v>
      </c>
      <c r="B265" s="993">
        <v>613</v>
      </c>
      <c r="C265" s="993" t="s">
        <v>434</v>
      </c>
      <c r="D265" s="993">
        <v>0</v>
      </c>
    </row>
    <row r="266" spans="1:4" x14ac:dyDescent="0.3">
      <c r="A266" s="993">
        <v>614</v>
      </c>
      <c r="B266" s="993">
        <v>614</v>
      </c>
      <c r="C266" s="993" t="s">
        <v>427</v>
      </c>
      <c r="D266" s="993">
        <v>0</v>
      </c>
    </row>
    <row r="267" spans="1:4" x14ac:dyDescent="0.3">
      <c r="A267" s="993">
        <v>615</v>
      </c>
      <c r="B267" s="993">
        <v>615</v>
      </c>
      <c r="C267" s="993" t="s">
        <v>1475</v>
      </c>
      <c r="D267" s="993">
        <v>0</v>
      </c>
    </row>
    <row r="268" spans="1:4" x14ac:dyDescent="0.3">
      <c r="A268" s="993">
        <v>616</v>
      </c>
      <c r="B268" s="993">
        <v>616</v>
      </c>
      <c r="C268" s="993" t="s">
        <v>428</v>
      </c>
      <c r="D268" s="993">
        <v>0</v>
      </c>
    </row>
    <row r="269" spans="1:4" x14ac:dyDescent="0.3">
      <c r="A269" s="993">
        <v>617</v>
      </c>
      <c r="B269" s="993">
        <v>617</v>
      </c>
      <c r="C269" s="993" t="s">
        <v>429</v>
      </c>
      <c r="D269" s="993">
        <v>0</v>
      </c>
    </row>
    <row r="270" spans="1:4" x14ac:dyDescent="0.3">
      <c r="A270" s="993">
        <v>618</v>
      </c>
      <c r="B270" s="993">
        <v>618</v>
      </c>
      <c r="C270" s="993" t="s">
        <v>1476</v>
      </c>
      <c r="D270" s="993">
        <v>0</v>
      </c>
    </row>
    <row r="271" spans="1:4" x14ac:dyDescent="0.3">
      <c r="A271" s="993">
        <v>619</v>
      </c>
      <c r="B271" s="993">
        <v>619</v>
      </c>
      <c r="C271" s="993" t="s">
        <v>444</v>
      </c>
      <c r="D271" s="993">
        <v>0</v>
      </c>
    </row>
    <row r="272" spans="1:4" x14ac:dyDescent="0.3">
      <c r="A272" s="993">
        <v>620</v>
      </c>
      <c r="B272" s="993">
        <v>620</v>
      </c>
      <c r="C272" s="993" t="s">
        <v>438</v>
      </c>
      <c r="D272" s="993">
        <v>2</v>
      </c>
    </row>
    <row r="273" spans="1:4" x14ac:dyDescent="0.3">
      <c r="A273" s="993">
        <v>622</v>
      </c>
      <c r="B273" s="993">
        <v>622</v>
      </c>
      <c r="C273" s="993" t="s">
        <v>454</v>
      </c>
      <c r="D273" s="1012">
        <v>4891901</v>
      </c>
    </row>
    <row r="274" spans="1:4" ht="100.8" x14ac:dyDescent="0.3">
      <c r="A274" s="993">
        <v>625</v>
      </c>
      <c r="B274" s="993">
        <v>625</v>
      </c>
      <c r="C274" s="994" t="s">
        <v>547</v>
      </c>
      <c r="D274" s="993">
        <v>1</v>
      </c>
    </row>
    <row r="275" spans="1:4" x14ac:dyDescent="0.3">
      <c r="D275" s="990">
        <f t="shared" ref="D275" si="0">SUM(D4:D274)</f>
        <v>60791142.600000001</v>
      </c>
    </row>
    <row r="276" spans="1:4" x14ac:dyDescent="0.3">
      <c r="D276" s="999">
        <v>60791142.600000001</v>
      </c>
    </row>
    <row r="277" spans="1:4" x14ac:dyDescent="0.3">
      <c r="D277" s="991">
        <f t="shared" ref="D277" si="1">D275-D276</f>
        <v>0</v>
      </c>
    </row>
    <row r="282" spans="1:4" x14ac:dyDescent="0.3">
      <c r="D282" s="999"/>
    </row>
  </sheetData>
  <sheetProtection algorithmName="SHA-512" hashValue="KGLeNVhEUsXxkK69YNRqxlI2aDJmKpBvbSXQhRcEdfFgZeSESUHo5LBLEWrGTPIvmZwV7jIUFZgWrQoq1kEFBQ==" saltValue="pI098EuyGRHAK4E9pffyf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9" sqref="A9:C9"/>
    </sheetView>
  </sheetViews>
  <sheetFormatPr defaultColWidth="9.109375" defaultRowHeight="14.4" x14ac:dyDescent="0.3"/>
  <cols>
    <col min="1" max="1" width="31.5546875" style="299" customWidth="1"/>
    <col min="2" max="2" width="8" style="299" customWidth="1"/>
    <col min="3" max="3" width="14.88671875" style="299" customWidth="1"/>
    <col min="4" max="4" width="16" style="299" customWidth="1"/>
    <col min="5" max="7" width="9.109375" style="299"/>
    <col min="8" max="8" width="21.33203125" style="299" customWidth="1"/>
    <col min="9" max="16384" width="9.109375" style="299"/>
  </cols>
  <sheetData>
    <row r="1" spans="1:11" ht="15.75" customHeight="1" x14ac:dyDescent="0.3">
      <c r="A1" s="1224" t="s">
        <v>793</v>
      </c>
      <c r="B1" s="1224"/>
      <c r="C1" s="1224"/>
      <c r="D1" s="1224"/>
    </row>
    <row r="2" spans="1:11" ht="15.75" customHeight="1" x14ac:dyDescent="0.3">
      <c r="A2" s="1225" t="s">
        <v>879</v>
      </c>
      <c r="B2" s="1225"/>
      <c r="C2" s="1225"/>
      <c r="D2" s="1225"/>
    </row>
    <row r="3" spans="1:11" ht="21.9" customHeight="1" x14ac:dyDescent="0.3">
      <c r="A3" s="1224" t="s">
        <v>880</v>
      </c>
      <c r="B3" s="1224"/>
      <c r="C3" s="1224"/>
      <c r="D3" s="1224"/>
    </row>
    <row r="4" spans="1:11" ht="21" customHeight="1" x14ac:dyDescent="0.3">
      <c r="A4" s="700"/>
      <c r="B4" s="700"/>
      <c r="C4" s="699" t="s">
        <v>881</v>
      </c>
      <c r="D4" s="699" t="s">
        <v>882</v>
      </c>
      <c r="I4" s="700"/>
      <c r="J4" s="699"/>
      <c r="K4" s="699"/>
    </row>
    <row r="5" spans="1:11" ht="15.75" customHeight="1" x14ac:dyDescent="0.3">
      <c r="A5" s="700"/>
      <c r="B5" s="695" t="s">
        <v>883</v>
      </c>
      <c r="C5" s="699" t="s">
        <v>884</v>
      </c>
      <c r="D5" s="699" t="s">
        <v>885</v>
      </c>
      <c r="I5" s="695"/>
      <c r="J5" s="699"/>
      <c r="K5" s="699"/>
    </row>
    <row r="6" spans="1:11" ht="21" customHeight="1" x14ac:dyDescent="0.3">
      <c r="A6" s="679" t="s">
        <v>886</v>
      </c>
      <c r="B6" s="695" t="s">
        <v>887</v>
      </c>
      <c r="C6" s="699" t="s">
        <v>888</v>
      </c>
      <c r="D6" s="699" t="s">
        <v>888</v>
      </c>
      <c r="I6" s="695"/>
      <c r="J6" s="699"/>
      <c r="K6" s="699"/>
    </row>
    <row r="7" spans="1:11" ht="21.9" customHeight="1" x14ac:dyDescent="0.3">
      <c r="A7" s="679" t="s">
        <v>889</v>
      </c>
      <c r="B7" s="684">
        <v>0.59699999999999998</v>
      </c>
      <c r="C7" s="680">
        <v>2015</v>
      </c>
      <c r="D7" s="680">
        <v>2021</v>
      </c>
      <c r="H7" s="686"/>
      <c r="I7" s="682"/>
      <c r="J7" s="693"/>
      <c r="K7" s="693"/>
    </row>
    <row r="8" spans="1:11" ht="15.75" customHeight="1" x14ac:dyDescent="0.3">
      <c r="A8" s="679" t="s">
        <v>890</v>
      </c>
      <c r="B8" s="684">
        <v>0.52900000000000003</v>
      </c>
      <c r="C8" s="680">
        <v>2017</v>
      </c>
      <c r="D8" s="680">
        <v>2021</v>
      </c>
      <c r="H8" s="686"/>
      <c r="I8" s="682"/>
      <c r="J8" s="693"/>
      <c r="K8" s="693"/>
    </row>
    <row r="9" spans="1:11" ht="15.75" customHeight="1" x14ac:dyDescent="0.3">
      <c r="A9" s="679" t="s">
        <v>891</v>
      </c>
      <c r="B9" s="684">
        <v>0.63</v>
      </c>
      <c r="C9" s="680">
        <v>2013</v>
      </c>
      <c r="D9" s="680">
        <v>2021</v>
      </c>
      <c r="H9" s="686"/>
      <c r="I9" s="682"/>
      <c r="J9" s="693"/>
      <c r="K9" s="693"/>
    </row>
    <row r="10" spans="1:11" ht="15.75" customHeight="1" x14ac:dyDescent="0.3">
      <c r="A10" s="679" t="s">
        <v>892</v>
      </c>
      <c r="B10" s="684">
        <v>0.73499999999999999</v>
      </c>
      <c r="C10" s="680">
        <v>2016</v>
      </c>
      <c r="D10" s="680">
        <v>2021</v>
      </c>
      <c r="H10" s="686"/>
      <c r="I10" s="682"/>
      <c r="J10" s="693"/>
      <c r="K10" s="693"/>
    </row>
    <row r="11" spans="1:11" ht="21.9" customHeight="1" x14ac:dyDescent="0.3">
      <c r="A11" s="679" t="s">
        <v>893</v>
      </c>
      <c r="B11" s="684">
        <v>0.67</v>
      </c>
      <c r="C11" s="680">
        <v>2017</v>
      </c>
      <c r="D11" s="680">
        <v>2021</v>
      </c>
      <c r="H11" s="686"/>
      <c r="I11" s="682"/>
      <c r="J11" s="693"/>
      <c r="K11" s="693"/>
    </row>
    <row r="12" spans="1:11" ht="21" customHeight="1" x14ac:dyDescent="0.3">
      <c r="A12" s="679" t="s">
        <v>894</v>
      </c>
      <c r="B12" s="684">
        <v>0.72</v>
      </c>
      <c r="C12" s="680">
        <v>2016</v>
      </c>
      <c r="D12" s="680">
        <v>2021</v>
      </c>
      <c r="H12" s="686"/>
      <c r="I12" s="682"/>
      <c r="J12" s="693"/>
      <c r="K12" s="693"/>
    </row>
    <row r="13" spans="1:11" ht="15.75" customHeight="1" x14ac:dyDescent="0.3">
      <c r="A13" s="679" t="s">
        <v>895</v>
      </c>
      <c r="B13" s="684">
        <v>0.80500000000000005</v>
      </c>
      <c r="C13" s="680">
        <v>2013</v>
      </c>
      <c r="D13" s="680">
        <v>2021</v>
      </c>
      <c r="H13" s="686"/>
      <c r="I13" s="682"/>
      <c r="J13" s="693"/>
      <c r="K13" s="693"/>
    </row>
    <row r="14" spans="1:11" ht="15.75" customHeight="1" x14ac:dyDescent="0.3">
      <c r="A14" s="679" t="s">
        <v>896</v>
      </c>
      <c r="B14" s="684">
        <v>0.48</v>
      </c>
      <c r="C14" s="680">
        <v>2013</v>
      </c>
      <c r="D14" s="680">
        <v>2021</v>
      </c>
      <c r="H14" s="686"/>
      <c r="I14" s="682"/>
      <c r="J14" s="693"/>
      <c r="K14" s="693"/>
    </row>
    <row r="15" spans="1:11" ht="15.75" customHeight="1" x14ac:dyDescent="0.3">
      <c r="A15" s="679" t="s">
        <v>897</v>
      </c>
      <c r="B15" s="684">
        <v>0.54</v>
      </c>
      <c r="C15" s="680">
        <v>2015</v>
      </c>
      <c r="D15" s="680">
        <v>2021</v>
      </c>
      <c r="H15" s="686"/>
      <c r="I15" s="682"/>
      <c r="J15" s="693"/>
      <c r="K15" s="685"/>
    </row>
    <row r="16" spans="1:11" ht="21" customHeight="1" x14ac:dyDescent="0.3">
      <c r="A16" s="679" t="s">
        <v>898</v>
      </c>
      <c r="B16" s="684">
        <v>0.73799999999999999</v>
      </c>
      <c r="C16" s="680">
        <v>2017</v>
      </c>
      <c r="D16" s="680">
        <v>2021</v>
      </c>
      <c r="H16" s="686"/>
      <c r="I16" s="682"/>
      <c r="J16" s="693"/>
      <c r="K16" s="685"/>
    </row>
    <row r="17" spans="1:11" ht="21.9" customHeight="1" x14ac:dyDescent="0.3">
      <c r="A17" s="679" t="s">
        <v>899</v>
      </c>
      <c r="B17" s="684">
        <v>0.74350000000000005</v>
      </c>
      <c r="C17" s="680">
        <v>2017</v>
      </c>
      <c r="D17" s="680">
        <v>2021</v>
      </c>
      <c r="H17" s="686"/>
      <c r="I17" s="682"/>
      <c r="J17" s="693"/>
      <c r="K17" s="685"/>
    </row>
    <row r="18" spans="1:11" ht="15.75" customHeight="1" x14ac:dyDescent="0.3">
      <c r="A18" s="679" t="s">
        <v>900</v>
      </c>
      <c r="B18" s="684">
        <v>0.78600000000000003</v>
      </c>
      <c r="C18" s="680">
        <v>2013</v>
      </c>
      <c r="D18" s="680">
        <v>2021</v>
      </c>
      <c r="H18" s="686"/>
      <c r="I18" s="682"/>
      <c r="J18" s="693"/>
      <c r="K18" s="685"/>
    </row>
    <row r="19" spans="1:11" ht="15.75" customHeight="1" x14ac:dyDescent="0.3">
      <c r="A19" s="679" t="s">
        <v>901</v>
      </c>
      <c r="B19" s="684">
        <v>0.58499999999999996</v>
      </c>
      <c r="C19" s="680">
        <v>2017</v>
      </c>
      <c r="D19" s="680">
        <v>2021</v>
      </c>
      <c r="H19" s="686"/>
      <c r="I19" s="682"/>
      <c r="J19" s="693"/>
      <c r="K19" s="685"/>
    </row>
    <row r="20" spans="1:11" ht="15.75" customHeight="1" x14ac:dyDescent="0.3">
      <c r="A20" s="679" t="s">
        <v>902</v>
      </c>
      <c r="B20" s="684">
        <v>0.38</v>
      </c>
      <c r="C20" s="680">
        <v>2016</v>
      </c>
      <c r="D20" s="680">
        <v>2021</v>
      </c>
    </row>
    <row r="21" spans="1:11" ht="21.9" customHeight="1" x14ac:dyDescent="0.3">
      <c r="A21" s="688" t="s">
        <v>903</v>
      </c>
      <c r="B21" s="684">
        <v>0.55500000000000005</v>
      </c>
      <c r="C21" s="680">
        <v>2017</v>
      </c>
      <c r="D21" s="698">
        <v>2021</v>
      </c>
    </row>
    <row r="22" spans="1:11" ht="21" customHeight="1" x14ac:dyDescent="0.3">
      <c r="A22" s="688" t="s">
        <v>904</v>
      </c>
      <c r="B22" s="684">
        <v>0.8679</v>
      </c>
      <c r="C22" s="680">
        <v>2017</v>
      </c>
      <c r="D22" s="698">
        <v>2021</v>
      </c>
    </row>
    <row r="23" spans="1:11" ht="15.75" customHeight="1" x14ac:dyDescent="0.3">
      <c r="A23" s="688" t="s">
        <v>905</v>
      </c>
      <c r="B23" s="684">
        <v>0.72</v>
      </c>
      <c r="C23" s="680">
        <v>2013</v>
      </c>
      <c r="D23" s="698">
        <v>2021</v>
      </c>
    </row>
    <row r="24" spans="1:11" ht="15.75" customHeight="1" x14ac:dyDescent="0.3">
      <c r="A24" s="688" t="s">
        <v>906</v>
      </c>
      <c r="B24" s="684">
        <v>0.5494</v>
      </c>
      <c r="C24" s="680">
        <v>2017</v>
      </c>
      <c r="D24" s="698">
        <v>2021</v>
      </c>
    </row>
    <row r="25" spans="1:11" ht="15.75" customHeight="1" x14ac:dyDescent="0.3">
      <c r="A25" s="688" t="s">
        <v>907</v>
      </c>
      <c r="B25" s="684">
        <v>0.67</v>
      </c>
      <c r="C25" s="680">
        <v>2017</v>
      </c>
      <c r="D25" s="698">
        <v>2021</v>
      </c>
    </row>
    <row r="26" spans="1:11" ht="21.9" customHeight="1" x14ac:dyDescent="0.3">
      <c r="A26" s="688" t="s">
        <v>908</v>
      </c>
      <c r="B26" s="684">
        <v>0.66</v>
      </c>
      <c r="C26" s="680">
        <v>2017</v>
      </c>
      <c r="D26" s="698">
        <v>2021</v>
      </c>
    </row>
    <row r="27" spans="1:11" ht="21.9" customHeight="1" x14ac:dyDescent="0.3">
      <c r="A27" s="688" t="s">
        <v>909</v>
      </c>
      <c r="B27" s="684">
        <v>0.58199999999999996</v>
      </c>
      <c r="C27" s="680">
        <v>2016</v>
      </c>
      <c r="D27" s="698">
        <v>2021</v>
      </c>
    </row>
    <row r="28" spans="1:11" ht="15.75" customHeight="1" x14ac:dyDescent="0.3">
      <c r="A28" s="688" t="s">
        <v>910</v>
      </c>
      <c r="B28" s="684">
        <v>0.36</v>
      </c>
      <c r="C28" s="680">
        <v>2013</v>
      </c>
      <c r="D28" s="698">
        <v>2021</v>
      </c>
    </row>
    <row r="29" spans="1:11" ht="15.75" customHeight="1" x14ac:dyDescent="0.3">
      <c r="A29" s="688" t="s">
        <v>911</v>
      </c>
      <c r="B29" s="684">
        <v>0.63600000000000001</v>
      </c>
      <c r="C29" s="680">
        <v>2016</v>
      </c>
      <c r="D29" s="698">
        <v>2021</v>
      </c>
    </row>
    <row r="30" spans="1:11" ht="15.75" customHeight="1" x14ac:dyDescent="0.3">
      <c r="A30" s="688" t="s">
        <v>912</v>
      </c>
      <c r="B30" s="684">
        <v>0.73089999999999999</v>
      </c>
      <c r="C30" s="680">
        <v>2015</v>
      </c>
      <c r="D30" s="698">
        <v>2021</v>
      </c>
    </row>
    <row r="31" spans="1:11" ht="21" customHeight="1" x14ac:dyDescent="0.3">
      <c r="A31" s="688" t="s">
        <v>913</v>
      </c>
      <c r="B31" s="684">
        <v>0.85499999999999998</v>
      </c>
      <c r="C31" s="680">
        <v>2013</v>
      </c>
      <c r="D31" s="698">
        <v>2021</v>
      </c>
    </row>
    <row r="32" spans="1:11" ht="21.9" customHeight="1" x14ac:dyDescent="0.3">
      <c r="A32" s="701" t="s">
        <v>914</v>
      </c>
      <c r="B32" s="678">
        <v>0.55000000000000004</v>
      </c>
      <c r="C32" s="697">
        <v>2018</v>
      </c>
      <c r="D32" s="697">
        <v>2022</v>
      </c>
    </row>
    <row r="33" spans="1:4" ht="15.75" customHeight="1" x14ac:dyDescent="0.3">
      <c r="A33" s="701" t="s">
        <v>915</v>
      </c>
      <c r="B33" s="678">
        <v>0.82</v>
      </c>
      <c r="C33" s="697">
        <v>2015</v>
      </c>
      <c r="D33" s="697">
        <v>2022</v>
      </c>
    </row>
    <row r="34" spans="1:4" ht="15.75" customHeight="1" x14ac:dyDescent="0.3">
      <c r="A34" s="701" t="s">
        <v>916</v>
      </c>
      <c r="B34" s="678">
        <v>0.755</v>
      </c>
      <c r="C34" s="697">
        <v>2014</v>
      </c>
      <c r="D34" s="697">
        <v>2022</v>
      </c>
    </row>
    <row r="35" spans="1:4" ht="15.75" customHeight="1" x14ac:dyDescent="0.3">
      <c r="A35" s="701" t="s">
        <v>917</v>
      </c>
      <c r="B35" s="678">
        <v>0.5494</v>
      </c>
      <c r="C35" s="697">
        <v>2016</v>
      </c>
      <c r="D35" s="697">
        <v>2022</v>
      </c>
    </row>
    <row r="36" spans="1:4" ht="21.9" customHeight="1" x14ac:dyDescent="0.3">
      <c r="A36" s="701" t="s">
        <v>918</v>
      </c>
      <c r="B36" s="678">
        <v>0.73499999999999999</v>
      </c>
      <c r="C36" s="697">
        <v>2017</v>
      </c>
      <c r="D36" s="697">
        <v>2022</v>
      </c>
    </row>
    <row r="37" spans="1:4" ht="21" customHeight="1" x14ac:dyDescent="0.3">
      <c r="A37" s="701" t="s">
        <v>919</v>
      </c>
      <c r="B37" s="678">
        <v>0.73050000000000004</v>
      </c>
      <c r="C37" s="697">
        <v>2017</v>
      </c>
      <c r="D37" s="697">
        <v>2022</v>
      </c>
    </row>
    <row r="38" spans="1:4" ht="15.75" customHeight="1" x14ac:dyDescent="0.3">
      <c r="A38" s="701" t="s">
        <v>920</v>
      </c>
      <c r="B38" s="678">
        <v>0.75</v>
      </c>
      <c r="C38" s="697">
        <v>2017</v>
      </c>
      <c r="D38" s="697">
        <v>2022</v>
      </c>
    </row>
    <row r="39" spans="1:4" ht="15.75" customHeight="1" x14ac:dyDescent="0.3">
      <c r="A39" s="701" t="s">
        <v>921</v>
      </c>
      <c r="B39" s="678">
        <v>0.75</v>
      </c>
      <c r="C39" s="697">
        <v>2014</v>
      </c>
      <c r="D39" s="697">
        <v>2022</v>
      </c>
    </row>
    <row r="40" spans="1:4" ht="15.75" customHeight="1" x14ac:dyDescent="0.3">
      <c r="A40" s="702" t="s">
        <v>922</v>
      </c>
      <c r="B40" s="678">
        <v>0.77</v>
      </c>
      <c r="C40" s="697">
        <v>2014</v>
      </c>
      <c r="D40" s="683">
        <v>2022</v>
      </c>
    </row>
    <row r="41" spans="1:4" ht="21" customHeight="1" x14ac:dyDescent="0.3">
      <c r="A41" s="702" t="s">
        <v>923</v>
      </c>
      <c r="B41" s="678">
        <v>0.57999999999999996</v>
      </c>
      <c r="C41" s="697">
        <v>2018</v>
      </c>
      <c r="D41" s="683">
        <v>2022</v>
      </c>
    </row>
    <row r="42" spans="1:4" ht="21.9" customHeight="1" x14ac:dyDescent="0.3">
      <c r="A42" s="702" t="s">
        <v>924</v>
      </c>
      <c r="B42" s="678">
        <v>0.70499999999999996</v>
      </c>
      <c r="C42" s="697">
        <v>2018</v>
      </c>
      <c r="D42" s="683">
        <v>2022</v>
      </c>
    </row>
    <row r="43" spans="1:4" ht="15.75" customHeight="1" x14ac:dyDescent="0.3">
      <c r="A43" s="702" t="s">
        <v>925</v>
      </c>
      <c r="B43" s="678">
        <v>0.77</v>
      </c>
      <c r="C43" s="697">
        <v>2014</v>
      </c>
      <c r="D43" s="683">
        <v>2022</v>
      </c>
    </row>
    <row r="44" spans="1:4" ht="15.75" customHeight="1" x14ac:dyDescent="0.3">
      <c r="A44" s="702" t="s">
        <v>926</v>
      </c>
      <c r="B44" s="678">
        <v>0.40300000000000002</v>
      </c>
      <c r="C44" s="697">
        <v>2014</v>
      </c>
      <c r="D44" s="683">
        <v>2022</v>
      </c>
    </row>
    <row r="45" spans="1:4" ht="15.75" customHeight="1" x14ac:dyDescent="0.3">
      <c r="A45" s="679" t="s">
        <v>927</v>
      </c>
      <c r="B45" s="684">
        <v>0.79</v>
      </c>
      <c r="C45" s="680">
        <v>2015</v>
      </c>
      <c r="D45" s="680">
        <v>2023</v>
      </c>
    </row>
    <row r="46" spans="1:4" ht="21.9" customHeight="1" x14ac:dyDescent="0.3">
      <c r="A46" s="679" t="s">
        <v>928</v>
      </c>
      <c r="B46" s="684">
        <v>0.443</v>
      </c>
      <c r="C46" s="680">
        <v>2019</v>
      </c>
      <c r="D46" s="680">
        <v>2023</v>
      </c>
    </row>
    <row r="47" spans="1:4" ht="21" customHeight="1" x14ac:dyDescent="0.3">
      <c r="A47" s="679" t="s">
        <v>929</v>
      </c>
      <c r="B47" s="684">
        <v>0.48499999999999999</v>
      </c>
      <c r="C47" s="680">
        <v>2019</v>
      </c>
      <c r="D47" s="680">
        <v>2023</v>
      </c>
    </row>
    <row r="48" spans="1:4" ht="15.75" customHeight="1" x14ac:dyDescent="0.3">
      <c r="A48" s="679" t="s">
        <v>930</v>
      </c>
      <c r="B48" s="684">
        <v>0.74</v>
      </c>
      <c r="C48" s="680">
        <v>2015</v>
      </c>
      <c r="D48" s="680">
        <v>2023</v>
      </c>
    </row>
    <row r="49" spans="1:4" ht="15.75" customHeight="1" x14ac:dyDescent="0.3">
      <c r="A49" s="679" t="s">
        <v>931</v>
      </c>
      <c r="B49" s="684">
        <v>0.57499999999999996</v>
      </c>
      <c r="C49" s="680">
        <v>2019</v>
      </c>
      <c r="D49" s="680">
        <v>2023</v>
      </c>
    </row>
    <row r="50" spans="1:4" ht="15.75" customHeight="1" x14ac:dyDescent="0.3">
      <c r="A50" s="679" t="s">
        <v>932</v>
      </c>
      <c r="B50" s="684">
        <v>0.71220000000000006</v>
      </c>
      <c r="C50" s="680">
        <v>2019</v>
      </c>
      <c r="D50" s="680">
        <v>2023</v>
      </c>
    </row>
    <row r="51" spans="1:4" ht="21.9" customHeight="1" x14ac:dyDescent="0.3">
      <c r="A51" s="679" t="s">
        <v>933</v>
      </c>
      <c r="B51" s="684">
        <v>0.83</v>
      </c>
      <c r="C51" s="680">
        <v>2019</v>
      </c>
      <c r="D51" s="680">
        <v>2023</v>
      </c>
    </row>
    <row r="52" spans="1:4" ht="21.9" customHeight="1" x14ac:dyDescent="0.3">
      <c r="A52" s="679" t="s">
        <v>934</v>
      </c>
      <c r="B52" s="684">
        <v>0.65</v>
      </c>
      <c r="C52" s="680">
        <v>2019</v>
      </c>
      <c r="D52" s="680">
        <v>2023</v>
      </c>
    </row>
    <row r="53" spans="1:4" ht="15.75" customHeight="1" x14ac:dyDescent="0.3">
      <c r="A53" s="679" t="s">
        <v>935</v>
      </c>
      <c r="B53" s="684">
        <v>0.56100000000000005</v>
      </c>
      <c r="C53" s="680">
        <v>2019</v>
      </c>
      <c r="D53" s="680">
        <v>2023</v>
      </c>
    </row>
    <row r="54" spans="1:4" ht="15.75" customHeight="1" x14ac:dyDescent="0.3">
      <c r="A54" s="679" t="s">
        <v>936</v>
      </c>
      <c r="B54" s="684">
        <v>0.77</v>
      </c>
      <c r="C54" s="680">
        <v>2017</v>
      </c>
      <c r="D54" s="680">
        <v>2023</v>
      </c>
    </row>
    <row r="55" spans="1:4" ht="15.75" customHeight="1" x14ac:dyDescent="0.3">
      <c r="A55" s="679" t="s">
        <v>937</v>
      </c>
      <c r="B55" s="684">
        <v>0.53749999999999998</v>
      </c>
      <c r="C55" s="680">
        <v>2019</v>
      </c>
      <c r="D55" s="680">
        <v>2023</v>
      </c>
    </row>
    <row r="56" spans="1:4" ht="36" customHeight="1" x14ac:dyDescent="0.3">
      <c r="A56" s="688" t="s">
        <v>938</v>
      </c>
      <c r="B56" s="684">
        <v>0.77500000000000002</v>
      </c>
      <c r="C56" s="680">
        <v>2019</v>
      </c>
      <c r="D56" s="698">
        <v>2023</v>
      </c>
    </row>
    <row r="57" spans="1:4" ht="36" customHeight="1" x14ac:dyDescent="0.3">
      <c r="A57" s="688" t="s">
        <v>939</v>
      </c>
      <c r="B57" s="684">
        <v>0.59899999999999998</v>
      </c>
      <c r="C57" s="680">
        <v>2019</v>
      </c>
      <c r="D57" s="698">
        <v>2023</v>
      </c>
    </row>
    <row r="58" spans="1:4" ht="36" customHeight="1" x14ac:dyDescent="0.3">
      <c r="A58" s="688" t="s">
        <v>940</v>
      </c>
      <c r="B58" s="684">
        <v>0.37469999999999998</v>
      </c>
      <c r="C58" s="680">
        <v>2019</v>
      </c>
      <c r="D58" s="698">
        <v>2023</v>
      </c>
    </row>
    <row r="59" spans="1:4" ht="36" customHeight="1" x14ac:dyDescent="0.3">
      <c r="A59" s="688" t="s">
        <v>941</v>
      </c>
      <c r="B59" s="684">
        <v>0.58750000000000002</v>
      </c>
      <c r="C59" s="680">
        <v>2019</v>
      </c>
      <c r="D59" s="698">
        <v>2023</v>
      </c>
    </row>
    <row r="60" spans="1:4" ht="36" customHeight="1" x14ac:dyDescent="0.3">
      <c r="A60" s="688" t="s">
        <v>942</v>
      </c>
      <c r="B60" s="684">
        <v>0.6169</v>
      </c>
      <c r="C60" s="680">
        <v>2019</v>
      </c>
      <c r="D60" s="698">
        <v>2023</v>
      </c>
    </row>
    <row r="61" spans="1:4" ht="36" customHeight="1" x14ac:dyDescent="0.3">
      <c r="A61" s="688" t="s">
        <v>943</v>
      </c>
      <c r="B61" s="684">
        <v>0.51</v>
      </c>
      <c r="C61" s="680">
        <v>2019</v>
      </c>
      <c r="D61" s="698">
        <v>2023</v>
      </c>
    </row>
    <row r="62" spans="1:4" ht="36" customHeight="1" x14ac:dyDescent="0.3">
      <c r="A62" s="688" t="s">
        <v>944</v>
      </c>
      <c r="B62" s="684">
        <v>0.91</v>
      </c>
      <c r="C62" s="680">
        <v>2015</v>
      </c>
      <c r="D62" s="698">
        <v>2023</v>
      </c>
    </row>
    <row r="63" spans="1:4" ht="36" customHeight="1" x14ac:dyDescent="0.3">
      <c r="A63" s="688" t="s">
        <v>945</v>
      </c>
      <c r="B63" s="684">
        <v>0.65749999999999997</v>
      </c>
      <c r="C63" s="680">
        <v>2019</v>
      </c>
      <c r="D63" s="698">
        <v>2023</v>
      </c>
    </row>
    <row r="64" spans="1:4" ht="36" customHeight="1" x14ac:dyDescent="0.3">
      <c r="A64" s="688" t="s">
        <v>946</v>
      </c>
      <c r="B64" s="684">
        <v>0.59699999999999998</v>
      </c>
      <c r="C64" s="680">
        <v>2019</v>
      </c>
      <c r="D64" s="698">
        <v>2023</v>
      </c>
    </row>
    <row r="65" spans="1:4" ht="36" customHeight="1" x14ac:dyDescent="0.3">
      <c r="A65" s="688" t="s">
        <v>947</v>
      </c>
      <c r="B65" s="684">
        <v>0.66</v>
      </c>
      <c r="C65" s="680">
        <v>2019</v>
      </c>
      <c r="D65" s="698">
        <v>2023</v>
      </c>
    </row>
    <row r="66" spans="1:4" ht="36" customHeight="1" x14ac:dyDescent="0.3">
      <c r="A66" s="688" t="s">
        <v>948</v>
      </c>
      <c r="B66" s="684">
        <v>0.66</v>
      </c>
      <c r="C66" s="680">
        <v>2017</v>
      </c>
      <c r="D66" s="698">
        <v>2023</v>
      </c>
    </row>
    <row r="67" spans="1:4" ht="36" customHeight="1" x14ac:dyDescent="0.3">
      <c r="A67" s="679" t="s">
        <v>949</v>
      </c>
      <c r="B67" s="684">
        <v>0.74</v>
      </c>
      <c r="C67" s="680">
        <v>2020</v>
      </c>
      <c r="D67" s="680">
        <v>2024</v>
      </c>
    </row>
    <row r="68" spans="1:4" ht="36" customHeight="1" x14ac:dyDescent="0.3">
      <c r="A68" s="679" t="s">
        <v>950</v>
      </c>
      <c r="B68" s="684">
        <v>0.33</v>
      </c>
      <c r="C68" s="680">
        <v>2020</v>
      </c>
      <c r="D68" s="680">
        <v>2024</v>
      </c>
    </row>
    <row r="69" spans="1:4" ht="36" customHeight="1" x14ac:dyDescent="0.3">
      <c r="A69" s="679" t="s">
        <v>951</v>
      </c>
      <c r="B69" s="684">
        <v>0.80500000000000005</v>
      </c>
      <c r="C69" s="680">
        <v>2018</v>
      </c>
      <c r="D69" s="680">
        <v>2024</v>
      </c>
    </row>
    <row r="70" spans="1:4" ht="36" customHeight="1" x14ac:dyDescent="0.3">
      <c r="A70" s="679" t="s">
        <v>952</v>
      </c>
      <c r="B70" s="684">
        <v>0.76</v>
      </c>
      <c r="C70" s="680">
        <v>2020</v>
      </c>
      <c r="D70" s="680">
        <v>2024</v>
      </c>
    </row>
    <row r="71" spans="1:4" ht="36" customHeight="1" x14ac:dyDescent="0.3">
      <c r="A71" s="688" t="s">
        <v>953</v>
      </c>
      <c r="B71" s="684">
        <v>0.59</v>
      </c>
      <c r="C71" s="680">
        <v>2016</v>
      </c>
      <c r="D71" s="698">
        <v>2024</v>
      </c>
    </row>
    <row r="72" spans="1:4" ht="36" customHeight="1" x14ac:dyDescent="0.3">
      <c r="A72" s="688" t="s">
        <v>954</v>
      </c>
      <c r="B72" s="684">
        <v>0.67969999999999997</v>
      </c>
      <c r="C72" s="680">
        <v>2020</v>
      </c>
      <c r="D72" s="698">
        <v>2024</v>
      </c>
    </row>
    <row r="73" spans="1:4" ht="36" customHeight="1" x14ac:dyDescent="0.3">
      <c r="A73" s="688" t="s">
        <v>955</v>
      </c>
      <c r="B73" s="684">
        <v>0.83</v>
      </c>
      <c r="C73" s="680">
        <v>2016</v>
      </c>
      <c r="D73" s="698">
        <v>2024</v>
      </c>
    </row>
    <row r="74" spans="1:4" ht="36" customHeight="1" x14ac:dyDescent="0.3">
      <c r="A74" s="688" t="s">
        <v>956</v>
      </c>
      <c r="B74" s="684">
        <v>0.77</v>
      </c>
      <c r="C74" s="680">
        <v>2018</v>
      </c>
      <c r="D74" s="698">
        <v>2024</v>
      </c>
    </row>
    <row r="75" spans="1:4" ht="36" customHeight="1" x14ac:dyDescent="0.3">
      <c r="A75" s="688" t="s">
        <v>957</v>
      </c>
      <c r="B75" s="684">
        <v>0.89</v>
      </c>
      <c r="C75" s="680">
        <v>2016</v>
      </c>
      <c r="D75" s="698">
        <v>2024</v>
      </c>
    </row>
    <row r="76" spans="1:4" ht="36" customHeight="1" x14ac:dyDescent="0.3">
      <c r="A76" s="688" t="s">
        <v>958</v>
      </c>
      <c r="B76" s="684">
        <v>0.6</v>
      </c>
      <c r="C76" s="680">
        <v>2020</v>
      </c>
      <c r="D76" s="698">
        <v>2024</v>
      </c>
    </row>
    <row r="77" spans="1:4" ht="36" customHeight="1" x14ac:dyDescent="0.3">
      <c r="A77" s="688" t="s">
        <v>959</v>
      </c>
      <c r="B77" s="684">
        <v>0.73</v>
      </c>
      <c r="C77" s="680">
        <v>2016</v>
      </c>
      <c r="D77" s="698">
        <v>2024</v>
      </c>
    </row>
    <row r="78" spans="1:4" ht="36" customHeight="1" x14ac:dyDescent="0.3">
      <c r="A78" s="688" t="s">
        <v>960</v>
      </c>
      <c r="B78" s="684">
        <v>0.6</v>
      </c>
      <c r="C78" s="680">
        <v>2016</v>
      </c>
      <c r="D78" s="698">
        <v>2024</v>
      </c>
    </row>
    <row r="79" spans="1:4" ht="36" customHeight="1" x14ac:dyDescent="0.3">
      <c r="A79" s="679" t="s">
        <v>961</v>
      </c>
      <c r="B79" s="684">
        <v>0.67</v>
      </c>
      <c r="C79" s="680">
        <v>2017</v>
      </c>
      <c r="D79" s="680">
        <v>2025</v>
      </c>
    </row>
    <row r="80" spans="1:4" ht="36" customHeight="1" x14ac:dyDescent="0.3">
      <c r="A80" s="679" t="s">
        <v>962</v>
      </c>
      <c r="B80" s="684">
        <v>0.69499999999999995</v>
      </c>
      <c r="C80" s="680">
        <v>2019</v>
      </c>
      <c r="D80" s="680">
        <v>2025</v>
      </c>
    </row>
    <row r="81" spans="1:4" ht="36" customHeight="1" x14ac:dyDescent="0.3">
      <c r="A81" s="679" t="s">
        <v>963</v>
      </c>
      <c r="B81" s="684">
        <v>0.79900000000000004</v>
      </c>
      <c r="C81" s="680">
        <v>2017</v>
      </c>
      <c r="D81" s="680">
        <v>2025</v>
      </c>
    </row>
    <row r="82" spans="1:4" ht="36" customHeight="1" x14ac:dyDescent="0.3">
      <c r="A82" s="679" t="s">
        <v>964</v>
      </c>
      <c r="B82" s="684">
        <v>0.40050000000000002</v>
      </c>
      <c r="C82" s="680">
        <v>2020</v>
      </c>
      <c r="D82" s="680">
        <v>2025</v>
      </c>
    </row>
    <row r="83" spans="1:4" ht="36" customHeight="1" x14ac:dyDescent="0.3">
      <c r="A83" s="679" t="s">
        <v>965</v>
      </c>
      <c r="B83" s="684">
        <v>0.95</v>
      </c>
      <c r="C83" s="680">
        <v>2017</v>
      </c>
      <c r="D83" s="680">
        <v>2025</v>
      </c>
    </row>
    <row r="84" spans="1:4" ht="36" customHeight="1" x14ac:dyDescent="0.3">
      <c r="A84" s="679" t="s">
        <v>966</v>
      </c>
      <c r="B84" s="684">
        <v>0.79</v>
      </c>
      <c r="C84" s="680">
        <v>2017</v>
      </c>
      <c r="D84" s="680">
        <v>2025</v>
      </c>
    </row>
    <row r="85" spans="1:4" ht="36" customHeight="1" x14ac:dyDescent="0.3">
      <c r="A85" s="688" t="s">
        <v>967</v>
      </c>
      <c r="B85" s="684">
        <v>0.76</v>
      </c>
      <c r="C85" s="680">
        <v>2019</v>
      </c>
      <c r="D85" s="698">
        <v>2025</v>
      </c>
    </row>
    <row r="86" spans="1:4" ht="36" customHeight="1" x14ac:dyDescent="0.3">
      <c r="A86" s="688" t="s">
        <v>968</v>
      </c>
      <c r="B86" s="684">
        <v>0.84499999999999997</v>
      </c>
      <c r="C86" s="680">
        <v>2017</v>
      </c>
      <c r="D86" s="698">
        <v>2025</v>
      </c>
    </row>
    <row r="87" spans="1:4" ht="36" customHeight="1" x14ac:dyDescent="0.3">
      <c r="A87" s="688" t="s">
        <v>969</v>
      </c>
      <c r="B87" s="684">
        <v>0.81</v>
      </c>
      <c r="C87" s="680">
        <v>2017</v>
      </c>
      <c r="D87" s="698">
        <v>2025</v>
      </c>
    </row>
    <row r="88" spans="1:4" ht="36" customHeight="1" x14ac:dyDescent="0.3">
      <c r="A88" s="688" t="s">
        <v>970</v>
      </c>
      <c r="B88" s="684">
        <v>0.67</v>
      </c>
      <c r="C88" s="680">
        <v>2017</v>
      </c>
      <c r="D88" s="698">
        <v>2025</v>
      </c>
    </row>
    <row r="89" spans="1:4" ht="36" customHeight="1" x14ac:dyDescent="0.3">
      <c r="A89" s="688" t="s">
        <v>971</v>
      </c>
      <c r="B89" s="684">
        <v>0.63270000000000004</v>
      </c>
      <c r="C89" s="680">
        <v>2019</v>
      </c>
      <c r="D89" s="698">
        <v>2025</v>
      </c>
    </row>
    <row r="90" spans="1:4" ht="36" customHeight="1" x14ac:dyDescent="0.3">
      <c r="A90" s="688" t="s">
        <v>972</v>
      </c>
      <c r="B90" s="684">
        <v>0.94</v>
      </c>
      <c r="C90" s="680">
        <v>2017</v>
      </c>
      <c r="D90" s="698">
        <v>2025</v>
      </c>
    </row>
    <row r="91" spans="1:4" ht="36" customHeight="1" x14ac:dyDescent="0.3">
      <c r="A91" s="688" t="s">
        <v>973</v>
      </c>
      <c r="B91" s="684">
        <v>0.81</v>
      </c>
      <c r="C91" s="680">
        <v>2017</v>
      </c>
      <c r="D91" s="698">
        <v>2025</v>
      </c>
    </row>
    <row r="92" spans="1:4" ht="36" customHeight="1" x14ac:dyDescent="0.3">
      <c r="A92" s="679" t="s">
        <v>974</v>
      </c>
      <c r="B92" s="684">
        <v>0.77700000000000002</v>
      </c>
      <c r="C92" s="680">
        <v>2018</v>
      </c>
      <c r="D92" s="680">
        <v>2026</v>
      </c>
    </row>
    <row r="93" spans="1:4" ht="36" customHeight="1" x14ac:dyDescent="0.3">
      <c r="A93" s="679" t="s">
        <v>975</v>
      </c>
      <c r="B93" s="684">
        <v>0.63500000000000001</v>
      </c>
      <c r="C93" s="680">
        <v>2018</v>
      </c>
      <c r="D93" s="680">
        <v>2026</v>
      </c>
    </row>
    <row r="94" spans="1:4" ht="36" customHeight="1" x14ac:dyDescent="0.3">
      <c r="A94" s="679" t="s">
        <v>976</v>
      </c>
      <c r="B94" s="684">
        <v>0.43</v>
      </c>
      <c r="C94" s="680">
        <v>2018</v>
      </c>
      <c r="D94" s="680">
        <v>2026</v>
      </c>
    </row>
    <row r="95" spans="1:4" ht="36" customHeight="1" x14ac:dyDescent="0.3">
      <c r="A95" s="679" t="s">
        <v>977</v>
      </c>
      <c r="B95" s="684">
        <v>0.84</v>
      </c>
      <c r="C95" s="680">
        <v>2018</v>
      </c>
      <c r="D95" s="680">
        <v>2026</v>
      </c>
    </row>
    <row r="96" spans="1:4" ht="36" customHeight="1" x14ac:dyDescent="0.3">
      <c r="A96" s="679" t="s">
        <v>978</v>
      </c>
      <c r="B96" s="684">
        <v>0.84</v>
      </c>
      <c r="C96" s="680">
        <v>2019</v>
      </c>
      <c r="D96" s="680">
        <v>2027</v>
      </c>
    </row>
    <row r="97" spans="1:4" ht="36" customHeight="1" x14ac:dyDescent="0.3">
      <c r="A97" s="688" t="s">
        <v>979</v>
      </c>
      <c r="B97" s="684">
        <v>0.64500000000000002</v>
      </c>
      <c r="C97" s="680">
        <v>2019</v>
      </c>
      <c r="D97" s="698">
        <v>2027</v>
      </c>
    </row>
    <row r="98" spans="1:4" ht="36" customHeight="1" x14ac:dyDescent="0.3">
      <c r="A98" s="688" t="s">
        <v>980</v>
      </c>
      <c r="B98" s="684">
        <v>0.69499999999999995</v>
      </c>
      <c r="C98" s="680">
        <v>2019</v>
      </c>
      <c r="D98" s="698">
        <v>2027</v>
      </c>
    </row>
    <row r="99" spans="1:4" ht="36" customHeight="1" x14ac:dyDescent="0.3">
      <c r="A99" s="688" t="s">
        <v>981</v>
      </c>
      <c r="B99" s="684">
        <v>0.82499999999999996</v>
      </c>
      <c r="C99" s="680">
        <v>2019</v>
      </c>
      <c r="D99" s="698">
        <v>2027</v>
      </c>
    </row>
    <row r="100" spans="1:4" ht="36" customHeight="1" x14ac:dyDescent="0.3">
      <c r="A100" s="688" t="s">
        <v>982</v>
      </c>
      <c r="B100" s="684">
        <v>1</v>
      </c>
      <c r="C100" s="680">
        <v>2019</v>
      </c>
      <c r="D100" s="698">
        <v>2027</v>
      </c>
    </row>
    <row r="101" spans="1:4" ht="36" customHeight="1" x14ac:dyDescent="0.3">
      <c r="A101" s="688" t="s">
        <v>983</v>
      </c>
      <c r="B101" s="684">
        <v>0.66349999999999998</v>
      </c>
      <c r="C101" s="680">
        <v>2019</v>
      </c>
      <c r="D101" s="698">
        <v>2027</v>
      </c>
    </row>
    <row r="102" spans="1:4" ht="36" customHeight="1" x14ac:dyDescent="0.3">
      <c r="A102" s="679" t="s">
        <v>984</v>
      </c>
      <c r="B102" s="684">
        <v>0.86499999999999999</v>
      </c>
      <c r="C102" s="680">
        <v>2020</v>
      </c>
      <c r="D102" s="680">
        <v>2028</v>
      </c>
    </row>
    <row r="103" spans="1:4" ht="36" customHeight="1" x14ac:dyDescent="0.3">
      <c r="A103" s="679" t="s">
        <v>985</v>
      </c>
      <c r="B103" s="684">
        <v>0.46</v>
      </c>
      <c r="C103" s="680">
        <v>2020</v>
      </c>
      <c r="D103" s="680">
        <v>2028</v>
      </c>
    </row>
    <row r="104" spans="1:4" ht="36" customHeight="1" x14ac:dyDescent="0.3">
      <c r="A104" s="688" t="s">
        <v>986</v>
      </c>
      <c r="B104" s="684">
        <v>0.5</v>
      </c>
      <c r="C104" s="680">
        <v>2020</v>
      </c>
      <c r="D104" s="698">
        <v>2028</v>
      </c>
    </row>
    <row r="105" spans="1:4" ht="36" customHeight="1" x14ac:dyDescent="0.3">
      <c r="A105" s="688" t="s">
        <v>987</v>
      </c>
      <c r="B105" s="684">
        <v>0.62</v>
      </c>
      <c r="C105" s="680">
        <v>2020</v>
      </c>
      <c r="D105" s="698">
        <v>2028</v>
      </c>
    </row>
    <row r="106" spans="1:4" ht="36" customHeight="1" x14ac:dyDescent="0.3">
      <c r="A106" s="688" t="s">
        <v>988</v>
      </c>
      <c r="B106" s="684">
        <v>0.625</v>
      </c>
      <c r="C106" s="680">
        <v>2020</v>
      </c>
      <c r="D106" s="698">
        <v>2028</v>
      </c>
    </row>
    <row r="107" spans="1:4" ht="36" customHeight="1" x14ac:dyDescent="0.3">
      <c r="A107" s="679"/>
      <c r="B107" s="684"/>
      <c r="C107" s="680"/>
      <c r="D107" s="680"/>
    </row>
    <row r="108" spans="1:4" ht="36" customHeight="1" x14ac:dyDescent="0.3">
      <c r="A108" s="679"/>
      <c r="B108" s="684"/>
      <c r="C108" s="680"/>
      <c r="D108" s="680"/>
    </row>
    <row r="109" spans="1:4" ht="36" customHeight="1" x14ac:dyDescent="0.3">
      <c r="A109" s="679"/>
      <c r="B109" s="684"/>
      <c r="C109" s="680"/>
      <c r="D109" s="680"/>
    </row>
    <row r="110" spans="1:4" ht="36" customHeight="1" x14ac:dyDescent="0.3">
      <c r="A110" s="679"/>
      <c r="B110" s="684"/>
      <c r="C110" s="680"/>
      <c r="D110" s="680"/>
    </row>
    <row r="111" spans="1:4" ht="36" customHeight="1" x14ac:dyDescent="0.3">
      <c r="A111" s="679"/>
      <c r="B111" s="684"/>
      <c r="C111" s="680"/>
      <c r="D111" s="680"/>
    </row>
    <row r="112" spans="1:4" ht="36" customHeight="1" x14ac:dyDescent="0.3">
      <c r="A112" s="1226" t="s">
        <v>989</v>
      </c>
      <c r="B112" s="1226"/>
      <c r="C112" s="1226"/>
      <c r="D112" s="1226"/>
    </row>
    <row r="113" spans="1:4" ht="15.75" customHeight="1" x14ac:dyDescent="0.3">
      <c r="A113" s="1227" t="s">
        <v>990</v>
      </c>
      <c r="B113" s="1227"/>
      <c r="C113" s="1227"/>
      <c r="D113" s="1227"/>
    </row>
    <row r="114" spans="1:4" ht="15.75" customHeight="1" x14ac:dyDescent="0.3">
      <c r="A114" s="1223" t="s">
        <v>991</v>
      </c>
      <c r="B114" s="1223"/>
      <c r="C114" s="1223"/>
      <c r="D114" s="1223"/>
    </row>
    <row r="115" spans="1:4" ht="15.75" customHeight="1" x14ac:dyDescent="0.3">
      <c r="A115" s="1227" t="s">
        <v>992</v>
      </c>
      <c r="B115" s="1227"/>
      <c r="C115" s="1227"/>
      <c r="D115" s="1227"/>
    </row>
    <row r="116" spans="1:4" ht="21.9" customHeight="1" x14ac:dyDescent="0.3">
      <c r="A116" s="1228" t="s">
        <v>993</v>
      </c>
      <c r="B116" s="1228"/>
      <c r="C116" s="1228"/>
      <c r="D116" s="1228"/>
    </row>
    <row r="117" spans="1:4" ht="21" customHeight="1" x14ac:dyDescent="0.3">
      <c r="A117" s="1224" t="s">
        <v>994</v>
      </c>
      <c r="B117" s="1224"/>
      <c r="C117" s="1224"/>
      <c r="D117" s="1224"/>
    </row>
    <row r="118" spans="1:4" ht="15.75" customHeight="1" x14ac:dyDescent="0.3">
      <c r="A118" s="1224" t="s">
        <v>995</v>
      </c>
      <c r="B118" s="1224"/>
      <c r="C118" s="1224"/>
      <c r="D118" s="1224"/>
    </row>
    <row r="119" spans="1:4" ht="15.75" customHeight="1" x14ac:dyDescent="0.3">
      <c r="A119" s="1224" t="s">
        <v>996</v>
      </c>
      <c r="B119" s="1224"/>
      <c r="C119" s="1224"/>
      <c r="D119" s="1224"/>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8"/>
  <sheetViews>
    <sheetView workbookViewId="0">
      <selection activeCell="A9" sqref="A9:C9"/>
    </sheetView>
  </sheetViews>
  <sheetFormatPr defaultColWidth="9.109375" defaultRowHeight="14.4" x14ac:dyDescent="0.3"/>
  <cols>
    <col min="1" max="1" width="28.5546875" style="706" customWidth="1"/>
    <col min="2" max="12" width="9.109375" style="706"/>
    <col min="13" max="13" width="27.6640625" style="706" bestFit="1" customWidth="1"/>
    <col min="14" max="17" width="9.109375" style="706"/>
    <col min="18" max="18" width="27.6640625" style="706" bestFit="1" customWidth="1"/>
    <col min="19" max="16384" width="9.109375" style="706"/>
  </cols>
  <sheetData>
    <row r="1" spans="1:21" x14ac:dyDescent="0.3">
      <c r="A1" s="706" t="s">
        <v>1316</v>
      </c>
      <c r="M1" s="993" t="s">
        <v>1489</v>
      </c>
      <c r="N1" s="993"/>
      <c r="O1" s="993"/>
      <c r="P1" s="993"/>
      <c r="Q1" s="993"/>
      <c r="R1" s="993" t="s">
        <v>1490</v>
      </c>
    </row>
    <row r="2" spans="1:21" x14ac:dyDescent="0.3">
      <c r="A2" s="988" t="s">
        <v>1390</v>
      </c>
      <c r="B2" s="989">
        <v>601725</v>
      </c>
      <c r="C2" s="692"/>
      <c r="D2" s="56"/>
      <c r="E2" s="56"/>
      <c r="G2" s="706">
        <v>100</v>
      </c>
      <c r="I2" s="706" t="s">
        <v>379</v>
      </c>
      <c r="M2" s="1080" t="s">
        <v>1390</v>
      </c>
      <c r="N2" s="995">
        <v>601725</v>
      </c>
      <c r="O2" s="993" t="b">
        <f>EXACT(A2,M2)</f>
        <v>1</v>
      </c>
      <c r="P2" s="993" t="b">
        <f>EXACT(B2,N2)</f>
        <v>1</v>
      </c>
      <c r="R2" s="993" t="s">
        <v>1390</v>
      </c>
      <c r="S2" s="993">
        <v>601725</v>
      </c>
      <c r="T2" s="993" t="b">
        <f>EXACT(M2,R2)</f>
        <v>1</v>
      </c>
      <c r="U2" s="993" t="b">
        <f>EXACT(N2,S2)</f>
        <v>1</v>
      </c>
    </row>
    <row r="3" spans="1:21" ht="15" customHeight="1" x14ac:dyDescent="0.3">
      <c r="A3" s="987"/>
      <c r="B3" s="986"/>
      <c r="C3" s="692"/>
      <c r="D3" s="55"/>
      <c r="E3" s="56"/>
      <c r="G3" s="706">
        <v>200</v>
      </c>
      <c r="I3" s="706" t="s">
        <v>380</v>
      </c>
    </row>
    <row r="4" spans="1:21" ht="15" customHeight="1" x14ac:dyDescent="0.3">
      <c r="A4" s="987"/>
      <c r="B4" s="986"/>
      <c r="C4" s="692"/>
      <c r="D4" s="55"/>
      <c r="E4" s="56"/>
      <c r="G4" s="706">
        <v>300</v>
      </c>
      <c r="I4" s="706" t="s">
        <v>381</v>
      </c>
    </row>
    <row r="5" spans="1:21" x14ac:dyDescent="0.3">
      <c r="A5" s="987"/>
      <c r="B5" s="986"/>
      <c r="C5" s="692"/>
      <c r="D5" s="55"/>
      <c r="E5" s="56"/>
      <c r="G5" s="706">
        <v>400</v>
      </c>
    </row>
    <row r="6" spans="1:21" x14ac:dyDescent="0.3">
      <c r="A6" s="987"/>
      <c r="B6" s="986"/>
      <c r="C6" s="692"/>
      <c r="D6" s="55"/>
      <c r="E6" s="56"/>
      <c r="G6" s="706">
        <v>500</v>
      </c>
    </row>
    <row r="7" spans="1:21" x14ac:dyDescent="0.3">
      <c r="A7" s="987"/>
      <c r="B7" s="986"/>
      <c r="C7" s="692"/>
      <c r="D7" s="55"/>
      <c r="E7" s="56"/>
    </row>
    <row r="8" spans="1:21" x14ac:dyDescent="0.3">
      <c r="A8" s="987"/>
      <c r="B8" s="986"/>
      <c r="C8" s="692"/>
      <c r="D8" s="55"/>
      <c r="E8" s="56"/>
    </row>
    <row r="9" spans="1:21" x14ac:dyDescent="0.3">
      <c r="A9" s="987"/>
      <c r="B9" s="986"/>
      <c r="C9" s="692"/>
      <c r="D9" s="55"/>
      <c r="E9" s="56"/>
    </row>
    <row r="10" spans="1:21" x14ac:dyDescent="0.3">
      <c r="A10" s="987"/>
      <c r="B10" s="986"/>
      <c r="C10" s="692"/>
      <c r="D10" s="55"/>
      <c r="E10" s="56"/>
    </row>
    <row r="11" spans="1:21" x14ac:dyDescent="0.3">
      <c r="A11" s="987"/>
      <c r="B11" s="986"/>
      <c r="C11" s="692"/>
      <c r="D11" s="55"/>
      <c r="E11" s="56"/>
    </row>
    <row r="12" spans="1:21" x14ac:dyDescent="0.3">
      <c r="A12" s="987"/>
      <c r="B12" s="986"/>
      <c r="C12" s="692"/>
      <c r="D12" s="55"/>
      <c r="E12" s="56"/>
    </row>
    <row r="13" spans="1:21" x14ac:dyDescent="0.3">
      <c r="A13" s="987"/>
      <c r="B13" s="986"/>
      <c r="C13" s="692"/>
      <c r="D13" s="55"/>
      <c r="E13" s="56"/>
    </row>
    <row r="14" spans="1:21" x14ac:dyDescent="0.3">
      <c r="A14" s="987"/>
      <c r="B14" s="986"/>
      <c r="C14" s="692"/>
      <c r="D14" s="55"/>
      <c r="E14" s="56"/>
    </row>
    <row r="15" spans="1:21" x14ac:dyDescent="0.3">
      <c r="A15" s="987"/>
      <c r="B15" s="986"/>
      <c r="C15" s="692"/>
      <c r="D15" s="55"/>
      <c r="E15" s="56"/>
    </row>
    <row r="16" spans="1:21" x14ac:dyDescent="0.3">
      <c r="A16" s="987"/>
      <c r="B16" s="986"/>
      <c r="C16" s="692"/>
      <c r="D16" s="55"/>
      <c r="E16" s="56"/>
    </row>
    <row r="17" spans="1:5" x14ac:dyDescent="0.3">
      <c r="A17" s="987"/>
      <c r="B17" s="986"/>
      <c r="C17" s="692"/>
      <c r="D17" s="55"/>
      <c r="E17" s="56"/>
    </row>
    <row r="18" spans="1:5" x14ac:dyDescent="0.3">
      <c r="A18" s="987"/>
      <c r="B18" s="986"/>
      <c r="C18" s="692"/>
      <c r="D18" s="55"/>
      <c r="E18" s="56"/>
    </row>
    <row r="19" spans="1:5" x14ac:dyDescent="0.3">
      <c r="A19" s="987"/>
      <c r="B19" s="986"/>
      <c r="C19" s="692"/>
      <c r="D19" s="55"/>
      <c r="E19" s="56"/>
    </row>
    <row r="20" spans="1:5" x14ac:dyDescent="0.3">
      <c r="A20" s="987"/>
      <c r="B20" s="986"/>
      <c r="C20" s="692"/>
      <c r="D20" s="55"/>
      <c r="E20" s="56"/>
    </row>
    <row r="21" spans="1:5" x14ac:dyDescent="0.3">
      <c r="A21" s="987"/>
      <c r="B21" s="986"/>
      <c r="C21" s="692"/>
      <c r="D21" s="55"/>
      <c r="E21" s="56"/>
    </row>
    <row r="22" spans="1:5" x14ac:dyDescent="0.3">
      <c r="A22" s="987"/>
      <c r="B22" s="986"/>
      <c r="C22" s="692"/>
      <c r="D22" s="55"/>
      <c r="E22" s="56"/>
    </row>
    <row r="23" spans="1:5" x14ac:dyDescent="0.3">
      <c r="A23" s="987"/>
      <c r="B23" s="986"/>
      <c r="C23" s="692"/>
      <c r="D23" s="55"/>
      <c r="E23" s="56"/>
    </row>
    <row r="24" spans="1:5" x14ac:dyDescent="0.3">
      <c r="A24" s="987"/>
      <c r="B24" s="986"/>
      <c r="C24" s="692"/>
      <c r="D24" s="55"/>
      <c r="E24" s="56"/>
    </row>
    <row r="25" spans="1:5" x14ac:dyDescent="0.3">
      <c r="A25" s="987"/>
      <c r="B25" s="986"/>
      <c r="C25" s="692"/>
      <c r="D25" s="55"/>
      <c r="E25" s="56"/>
    </row>
    <row r="26" spans="1:5" x14ac:dyDescent="0.3">
      <c r="A26" s="987"/>
      <c r="B26" s="986"/>
      <c r="C26" s="692"/>
      <c r="D26" s="55"/>
      <c r="E26" s="56"/>
    </row>
    <row r="27" spans="1:5" x14ac:dyDescent="0.3">
      <c r="A27" s="987"/>
      <c r="B27" s="986"/>
      <c r="C27" s="692"/>
      <c r="D27" s="55"/>
      <c r="E27" s="56"/>
    </row>
    <row r="28" spans="1:5" x14ac:dyDescent="0.3">
      <c r="A28" s="987"/>
      <c r="B28" s="986"/>
      <c r="C28" s="692"/>
      <c r="D28" s="55"/>
      <c r="E28" s="56"/>
    </row>
    <row r="29" spans="1:5" x14ac:dyDescent="0.3">
      <c r="A29" s="987"/>
      <c r="B29" s="986"/>
      <c r="C29" s="692"/>
      <c r="D29" s="55"/>
      <c r="E29" s="56"/>
    </row>
    <row r="30" spans="1:5" x14ac:dyDescent="0.3">
      <c r="A30" s="987"/>
      <c r="B30" s="986"/>
      <c r="C30" s="692"/>
      <c r="D30" s="55"/>
      <c r="E30" s="56"/>
    </row>
    <row r="31" spans="1:5" x14ac:dyDescent="0.3">
      <c r="A31" s="987"/>
      <c r="B31" s="986"/>
      <c r="C31" s="692"/>
      <c r="D31" s="55"/>
      <c r="E31" s="56"/>
    </row>
    <row r="32" spans="1:5" x14ac:dyDescent="0.3">
      <c r="A32" s="987"/>
      <c r="B32" s="986"/>
      <c r="C32" s="692"/>
      <c r="D32" s="55"/>
      <c r="E32" s="56"/>
    </row>
    <row r="33" spans="1:5" x14ac:dyDescent="0.3">
      <c r="A33" s="987"/>
      <c r="B33" s="986"/>
      <c r="C33" s="692"/>
      <c r="D33" s="55"/>
      <c r="E33" s="56"/>
    </row>
    <row r="34" spans="1:5" x14ac:dyDescent="0.3">
      <c r="A34" s="987"/>
      <c r="B34" s="986"/>
      <c r="C34" s="692"/>
      <c r="D34" s="55"/>
      <c r="E34" s="56"/>
    </row>
    <row r="35" spans="1:5" x14ac:dyDescent="0.3">
      <c r="A35" s="987"/>
      <c r="B35" s="986"/>
      <c r="C35" s="692"/>
      <c r="D35" s="55"/>
      <c r="E35" s="56"/>
    </row>
    <row r="36" spans="1:5" x14ac:dyDescent="0.3">
      <c r="A36" s="987"/>
      <c r="B36" s="986"/>
      <c r="C36" s="692"/>
      <c r="D36" s="55"/>
      <c r="E36" s="56"/>
    </row>
    <row r="37" spans="1:5" x14ac:dyDescent="0.3">
      <c r="A37" s="987"/>
      <c r="B37" s="986"/>
      <c r="C37" s="692"/>
      <c r="D37" s="55"/>
      <c r="E37" s="56"/>
    </row>
    <row r="38" spans="1:5" x14ac:dyDescent="0.3">
      <c r="A38" s="987"/>
      <c r="B38" s="986"/>
      <c r="C38" s="692"/>
      <c r="D38" s="55"/>
      <c r="E38" s="56"/>
    </row>
    <row r="39" spans="1:5" x14ac:dyDescent="0.3">
      <c r="A39" s="987"/>
      <c r="B39" s="986"/>
      <c r="C39" s="692"/>
      <c r="D39" s="55"/>
      <c r="E39" s="56"/>
    </row>
    <row r="40" spans="1:5" x14ac:dyDescent="0.3">
      <c r="A40" s="987"/>
      <c r="B40" s="986"/>
      <c r="C40" s="692"/>
      <c r="D40" s="55"/>
      <c r="E40" s="56"/>
    </row>
    <row r="41" spans="1:5" x14ac:dyDescent="0.3">
      <c r="A41" s="987"/>
      <c r="B41" s="986"/>
      <c r="C41" s="692"/>
      <c r="D41" s="55"/>
      <c r="E41" s="56"/>
    </row>
    <row r="42" spans="1:5" x14ac:dyDescent="0.3">
      <c r="A42" s="987"/>
      <c r="B42" s="986"/>
      <c r="C42" s="692"/>
      <c r="D42" s="55"/>
      <c r="E42" s="56"/>
    </row>
    <row r="43" spans="1:5" x14ac:dyDescent="0.3">
      <c r="A43" s="987"/>
      <c r="B43" s="986"/>
      <c r="C43" s="692"/>
      <c r="D43" s="55"/>
      <c r="E43" s="56"/>
    </row>
    <row r="44" spans="1:5" x14ac:dyDescent="0.3">
      <c r="A44" s="987"/>
      <c r="B44" s="986"/>
      <c r="C44" s="692"/>
      <c r="D44" s="55"/>
      <c r="E44" s="56"/>
    </row>
    <row r="45" spans="1:5" x14ac:dyDescent="0.3">
      <c r="A45" s="987"/>
      <c r="B45" s="986"/>
      <c r="C45" s="692"/>
      <c r="D45" s="55"/>
      <c r="E45" s="56"/>
    </row>
    <row r="46" spans="1:5" x14ac:dyDescent="0.3">
      <c r="A46" s="987"/>
      <c r="B46" s="986"/>
      <c r="C46" s="692"/>
      <c r="D46" s="55"/>
      <c r="E46" s="56"/>
    </row>
    <row r="47" spans="1:5" x14ac:dyDescent="0.3">
      <c r="A47" s="987"/>
      <c r="B47" s="986"/>
      <c r="C47" s="692"/>
      <c r="D47" s="55"/>
      <c r="E47" s="56"/>
    </row>
    <row r="48" spans="1:5" x14ac:dyDescent="0.3">
      <c r="A48" s="987"/>
      <c r="B48" s="986"/>
      <c r="C48" s="692"/>
      <c r="D48" s="55"/>
      <c r="E48" s="56"/>
    </row>
    <row r="49" spans="1:5" x14ac:dyDescent="0.3">
      <c r="A49" s="987"/>
      <c r="B49" s="986"/>
      <c r="C49" s="692"/>
      <c r="D49" s="55"/>
      <c r="E49" s="56"/>
    </row>
    <row r="50" spans="1:5" x14ac:dyDescent="0.3">
      <c r="A50" s="987"/>
      <c r="B50" s="986"/>
      <c r="C50" s="692"/>
      <c r="D50" s="55"/>
      <c r="E50" s="56"/>
    </row>
    <row r="51" spans="1:5" x14ac:dyDescent="0.3">
      <c r="A51" s="987"/>
      <c r="B51" s="986"/>
      <c r="C51" s="692"/>
      <c r="D51" s="55"/>
      <c r="E51" s="56"/>
    </row>
    <row r="52" spans="1:5" x14ac:dyDescent="0.3">
      <c r="A52" s="987"/>
      <c r="B52" s="986"/>
      <c r="C52" s="692"/>
      <c r="D52" s="55"/>
      <c r="E52" s="56"/>
    </row>
    <row r="53" spans="1:5" x14ac:dyDescent="0.3">
      <c r="A53" s="987"/>
      <c r="B53" s="986"/>
      <c r="C53" s="692"/>
      <c r="D53" s="55"/>
      <c r="E53" s="56"/>
    </row>
    <row r="54" spans="1:5" x14ac:dyDescent="0.3">
      <c r="A54" s="987"/>
      <c r="B54" s="986"/>
      <c r="C54" s="692"/>
      <c r="D54" s="55"/>
      <c r="E54" s="56"/>
    </row>
    <row r="55" spans="1:5" x14ac:dyDescent="0.3">
      <c r="A55" s="987"/>
      <c r="B55" s="986"/>
      <c r="C55" s="692"/>
      <c r="D55" s="55"/>
      <c r="E55" s="56"/>
    </row>
    <row r="56" spans="1:5" x14ac:dyDescent="0.3">
      <c r="A56" s="987"/>
      <c r="B56" s="986"/>
      <c r="C56" s="692"/>
      <c r="D56" s="55"/>
      <c r="E56" s="56"/>
    </row>
    <row r="57" spans="1:5" x14ac:dyDescent="0.3">
      <c r="A57" s="987"/>
      <c r="B57" s="986"/>
      <c r="C57" s="692"/>
      <c r="D57" s="55"/>
      <c r="E57" s="56"/>
    </row>
    <row r="58" spans="1:5" x14ac:dyDescent="0.3">
      <c r="A58" s="987"/>
      <c r="B58" s="986"/>
      <c r="C58" s="692"/>
      <c r="D58" s="55"/>
      <c r="E58" s="56"/>
    </row>
    <row r="59" spans="1:5" x14ac:dyDescent="0.3">
      <c r="A59" s="987"/>
      <c r="B59" s="986"/>
      <c r="C59" s="692"/>
      <c r="D59" s="55"/>
      <c r="E59" s="56"/>
    </row>
    <row r="60" spans="1:5" x14ac:dyDescent="0.3">
      <c r="A60" s="987"/>
      <c r="B60" s="986"/>
      <c r="C60" s="692"/>
      <c r="D60" s="55"/>
      <c r="E60" s="56"/>
    </row>
    <row r="61" spans="1:5" x14ac:dyDescent="0.3">
      <c r="A61" s="987"/>
      <c r="B61" s="986"/>
      <c r="C61" s="692"/>
      <c r="D61" s="55"/>
      <c r="E61" s="56"/>
    </row>
    <row r="62" spans="1:5" x14ac:dyDescent="0.3">
      <c r="A62" s="987"/>
      <c r="B62" s="986"/>
      <c r="C62" s="692"/>
      <c r="D62" s="55"/>
      <c r="E62" s="56"/>
    </row>
    <row r="63" spans="1:5" x14ac:dyDescent="0.3">
      <c r="A63" s="987"/>
      <c r="B63" s="986"/>
      <c r="C63" s="692"/>
      <c r="D63" s="55"/>
      <c r="E63" s="56"/>
    </row>
    <row r="64" spans="1:5" x14ac:dyDescent="0.3">
      <c r="A64" s="987"/>
      <c r="B64" s="986"/>
      <c r="C64" s="692"/>
      <c r="D64" s="55"/>
      <c r="E64" s="56"/>
    </row>
    <row r="65" spans="1:5" x14ac:dyDescent="0.3">
      <c r="A65" s="987"/>
      <c r="B65" s="986"/>
      <c r="C65" s="692"/>
      <c r="D65" s="55"/>
      <c r="E65" s="56"/>
    </row>
    <row r="66" spans="1:5" x14ac:dyDescent="0.3">
      <c r="A66" s="987"/>
      <c r="B66" s="986"/>
      <c r="C66" s="692"/>
      <c r="D66" s="55"/>
      <c r="E66" s="56"/>
    </row>
    <row r="67" spans="1:5" x14ac:dyDescent="0.3">
      <c r="A67" s="987"/>
      <c r="B67" s="986"/>
      <c r="C67" s="692"/>
      <c r="D67" s="55"/>
      <c r="E67" s="56"/>
    </row>
    <row r="68" spans="1:5" x14ac:dyDescent="0.3">
      <c r="A68" s="987"/>
      <c r="B68" s="986"/>
      <c r="C68" s="692"/>
      <c r="D68" s="55"/>
      <c r="E68" s="56"/>
    </row>
    <row r="69" spans="1:5" x14ac:dyDescent="0.3">
      <c r="A69" s="987"/>
      <c r="B69" s="986"/>
    </row>
    <row r="70" spans="1:5" x14ac:dyDescent="0.3">
      <c r="A70" s="987"/>
      <c r="B70" s="986"/>
    </row>
    <row r="71" spans="1:5" x14ac:dyDescent="0.3">
      <c r="A71" s="987"/>
      <c r="B71" s="986"/>
    </row>
    <row r="72" spans="1:5" x14ac:dyDescent="0.3">
      <c r="A72" s="987"/>
      <c r="B72" s="986"/>
    </row>
    <row r="73" spans="1:5" x14ac:dyDescent="0.3">
      <c r="A73" s="987"/>
      <c r="B73" s="986"/>
    </row>
    <row r="74" spans="1:5" x14ac:dyDescent="0.3">
      <c r="A74" s="987"/>
      <c r="B74" s="986"/>
    </row>
    <row r="75" spans="1:5" x14ac:dyDescent="0.3">
      <c r="A75" s="987"/>
      <c r="B75" s="986"/>
    </row>
    <row r="76" spans="1:5" x14ac:dyDescent="0.3">
      <c r="A76" s="987"/>
      <c r="B76" s="986"/>
    </row>
    <row r="77" spans="1:5" x14ac:dyDescent="0.3">
      <c r="A77" s="987"/>
      <c r="B77" s="986"/>
    </row>
    <row r="78" spans="1:5" x14ac:dyDescent="0.3">
      <c r="A78" s="591"/>
      <c r="B78" s="591"/>
    </row>
  </sheetData>
  <sheetProtection algorithmName="SHA-512" hashValue="E7pgjI9YE13V6PrxJU2Wg+FEo4lfyP6YeYyL9rOxpgUVxwuYSD+JRHUCWW+GYg8W5ewVXgs/iWeGwep88cqNuQ==" saltValue="eldlNwP7QRaj5KDTWDSov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9" sqref="A9:C9"/>
    </sheetView>
  </sheetViews>
  <sheetFormatPr defaultColWidth="9.109375" defaultRowHeight="14.4" x14ac:dyDescent="0.3"/>
  <cols>
    <col min="1" max="1" width="45.109375" style="408" customWidth="1"/>
    <col min="2" max="2" width="36.44140625" style="408" customWidth="1"/>
    <col min="3" max="3" width="9.109375" style="408"/>
    <col min="4" max="4" width="1.33203125" style="408" customWidth="1"/>
    <col min="5" max="5" width="37.5546875" style="408" customWidth="1"/>
    <col min="6" max="6" width="18.109375" style="408" customWidth="1"/>
    <col min="7" max="7" width="16.109375" style="408" customWidth="1"/>
    <col min="8" max="8" width="3.109375" style="408" customWidth="1"/>
    <col min="9" max="16384" width="9.109375" style="408"/>
  </cols>
  <sheetData>
    <row r="1" spans="1:8" x14ac:dyDescent="0.3">
      <c r="A1" s="409"/>
      <c r="B1" s="410"/>
      <c r="C1" s="411"/>
      <c r="D1" s="411"/>
      <c r="E1" s="412"/>
      <c r="F1" s="411"/>
      <c r="G1" s="411"/>
      <c r="H1" s="411"/>
    </row>
    <row r="2" spans="1:8" x14ac:dyDescent="0.3">
      <c r="A2" s="413" t="s">
        <v>771</v>
      </c>
      <c r="B2" s="414" t="str">
        <f>+'Unit Data from Audit Worksheet'!D2</f>
        <v>Select Unit Name from Drop Down List</v>
      </c>
      <c r="C2" s="411"/>
      <c r="D2" s="411"/>
      <c r="E2" s="412"/>
      <c r="F2" s="411"/>
      <c r="G2" s="411"/>
      <c r="H2" s="411"/>
    </row>
    <row r="3" spans="1:8" x14ac:dyDescent="0.3">
      <c r="A3" s="413" t="s">
        <v>862</v>
      </c>
      <c r="B3" s="411" t="e">
        <f>+'Unit Data from Audit Worksheet'!D3</f>
        <v>#N/A</v>
      </c>
      <c r="C3" s="411"/>
      <c r="D3" s="411"/>
      <c r="E3" s="412"/>
      <c r="F3" s="411"/>
      <c r="G3" s="411"/>
      <c r="H3" s="411"/>
    </row>
    <row r="4" spans="1:8" x14ac:dyDescent="0.3">
      <c r="A4" s="411"/>
      <c r="B4" s="411"/>
      <c r="C4" s="411"/>
      <c r="D4" s="411"/>
      <c r="E4" s="412"/>
      <c r="F4" s="411"/>
      <c r="G4" s="411"/>
      <c r="H4" s="411"/>
    </row>
    <row r="5" spans="1:8" x14ac:dyDescent="0.3">
      <c r="A5" s="1238" t="s">
        <v>772</v>
      </c>
      <c r="B5" s="1238"/>
      <c r="C5" s="1238"/>
      <c r="D5" s="411"/>
      <c r="E5" s="1239" t="s">
        <v>773</v>
      </c>
      <c r="F5" s="1239"/>
      <c r="G5" s="411"/>
      <c r="H5" s="411"/>
    </row>
    <row r="6" spans="1:8" ht="15" thickBot="1" x14ac:dyDescent="0.35">
      <c r="A6" s="415"/>
      <c r="B6" s="416"/>
      <c r="C6" s="415"/>
      <c r="D6" s="409"/>
      <c r="E6" s="415"/>
      <c r="F6" s="416"/>
      <c r="G6" s="416"/>
      <c r="H6" s="411"/>
    </row>
    <row r="7" spans="1:8" ht="15" thickBot="1" x14ac:dyDescent="0.35">
      <c r="A7" s="417" t="s">
        <v>774</v>
      </c>
      <c r="B7" s="418">
        <v>0.03</v>
      </c>
      <c r="C7" s="418"/>
      <c r="D7" s="418"/>
      <c r="E7" s="418"/>
      <c r="F7" s="418"/>
      <c r="G7" s="418"/>
      <c r="H7" s="418"/>
    </row>
    <row r="8" spans="1:8" ht="15" thickBot="1" x14ac:dyDescent="0.35">
      <c r="A8" s="411" t="s">
        <v>1105</v>
      </c>
      <c r="B8" s="419" t="e">
        <f>HLOOKUP(B2,'2020 Data(H)'!F1:CC395,353,FALSE)</f>
        <v>#N/A</v>
      </c>
      <c r="C8" s="420"/>
      <c r="D8" s="420"/>
      <c r="E8" s="420"/>
      <c r="F8" s="411"/>
      <c r="G8" s="411"/>
      <c r="H8" s="411"/>
    </row>
    <row r="9" spans="1:8" ht="15" thickBot="1" x14ac:dyDescent="0.35">
      <c r="A9" s="411" t="s">
        <v>776</v>
      </c>
      <c r="B9" s="421" t="e">
        <f>B8*B7</f>
        <v>#N/A</v>
      </c>
      <c r="C9" s="422"/>
      <c r="D9" s="422"/>
      <c r="E9" s="422"/>
      <c r="F9" s="411"/>
      <c r="G9" s="411"/>
      <c r="H9" s="411"/>
    </row>
    <row r="10" spans="1:8" ht="15" thickBot="1" x14ac:dyDescent="0.35">
      <c r="A10" s="411"/>
      <c r="B10" s="411"/>
      <c r="C10" s="411"/>
      <c r="D10" s="411"/>
      <c r="E10" s="411"/>
      <c r="F10" s="411"/>
      <c r="G10" s="411"/>
      <c r="H10" s="411"/>
    </row>
    <row r="11" spans="1:8" ht="15" thickBot="1" x14ac:dyDescent="0.35">
      <c r="A11" s="417" t="s">
        <v>777</v>
      </c>
      <c r="B11" s="418">
        <v>0.05</v>
      </c>
      <c r="C11" s="418"/>
      <c r="D11" s="418"/>
      <c r="E11" s="418"/>
      <c r="F11" s="418"/>
      <c r="G11" s="418"/>
      <c r="H11" s="418"/>
    </row>
    <row r="12" spans="1:8" ht="15" thickBot="1" x14ac:dyDescent="0.35">
      <c r="A12" s="411" t="s">
        <v>1106</v>
      </c>
      <c r="B12" s="423" t="e">
        <f>HLOOKUP(B2,'2020 Data(H)'!F1:CC395,55,FALSE)</f>
        <v>#N/A</v>
      </c>
      <c r="C12" s="424"/>
      <c r="D12" s="424"/>
      <c r="E12" s="424"/>
      <c r="F12" s="411"/>
      <c r="G12" s="411"/>
      <c r="H12" s="411"/>
    </row>
    <row r="13" spans="1:8" ht="15" thickBot="1" x14ac:dyDescent="0.35">
      <c r="A13" s="411" t="s">
        <v>776</v>
      </c>
      <c r="B13" s="421" t="e">
        <f>B12*B11</f>
        <v>#N/A</v>
      </c>
      <c r="C13" s="422"/>
      <c r="D13" s="422"/>
      <c r="E13" s="422"/>
      <c r="F13" s="411"/>
      <c r="G13" s="411"/>
      <c r="H13" s="411"/>
    </row>
    <row r="14" spans="1:8" ht="15" thickBot="1" x14ac:dyDescent="0.35">
      <c r="A14" s="411"/>
      <c r="B14" s="411"/>
      <c r="C14" s="411"/>
      <c r="D14" s="411"/>
      <c r="E14" s="425" t="s">
        <v>778</v>
      </c>
      <c r="F14" s="426">
        <f>+Import!L177</f>
        <v>0</v>
      </c>
      <c r="G14" s="427"/>
      <c r="H14" s="411"/>
    </row>
    <row r="15" spans="1:8" x14ac:dyDescent="0.3">
      <c r="A15" s="411"/>
      <c r="B15" s="411"/>
      <c r="C15" s="411"/>
      <c r="D15" s="411"/>
      <c r="E15" s="411"/>
      <c r="F15" s="411"/>
      <c r="G15" s="411"/>
      <c r="H15" s="428"/>
    </row>
    <row r="16" spans="1:8" x14ac:dyDescent="0.3">
      <c r="A16" s="411"/>
      <c r="B16" s="425"/>
      <c r="C16" s="411"/>
      <c r="D16" s="411"/>
      <c r="E16" s="411"/>
      <c r="F16" s="411"/>
      <c r="G16" s="411"/>
      <c r="H16" s="411"/>
    </row>
    <row r="17" spans="1:8" x14ac:dyDescent="0.3">
      <c r="A17" s="415"/>
      <c r="B17" s="416"/>
      <c r="C17" s="415"/>
      <c r="D17" s="409"/>
      <c r="E17" s="415"/>
      <c r="F17" s="416"/>
      <c r="G17" s="416"/>
      <c r="H17" s="411"/>
    </row>
    <row r="18" spans="1:8" ht="15" thickBot="1" x14ac:dyDescent="0.35">
      <c r="A18" s="429" t="s">
        <v>779</v>
      </c>
      <c r="B18" s="411"/>
      <c r="C18" s="411"/>
      <c r="D18" s="411"/>
      <c r="E18" s="429" t="s">
        <v>779</v>
      </c>
      <c r="F18" s="413" t="s">
        <v>780</v>
      </c>
      <c r="G18" s="413" t="s">
        <v>781</v>
      </c>
      <c r="H18" s="411"/>
    </row>
    <row r="19" spans="1:8" ht="15" thickBot="1" x14ac:dyDescent="0.35">
      <c r="A19" s="411" t="s">
        <v>775</v>
      </c>
      <c r="B19" s="419" t="e">
        <f>+B8</f>
        <v>#N/A</v>
      </c>
      <c r="C19" s="420"/>
      <c r="D19" s="420"/>
      <c r="E19" s="411" t="s">
        <v>782</v>
      </c>
      <c r="F19" s="430">
        <f>+Import!L229</f>
        <v>0</v>
      </c>
      <c r="G19" s="431" t="e">
        <f>+B21</f>
        <v>#N/A</v>
      </c>
      <c r="H19" s="411"/>
    </row>
    <row r="20" spans="1:8" ht="15" thickBot="1" x14ac:dyDescent="0.35">
      <c r="A20" s="411" t="s">
        <v>783</v>
      </c>
      <c r="B20" s="432">
        <f>+Import!L243</f>
        <v>0</v>
      </c>
      <c r="C20" s="411"/>
      <c r="D20" s="411"/>
      <c r="E20" s="411"/>
      <c r="F20" s="433"/>
      <c r="G20" s="411"/>
      <c r="H20" s="411"/>
    </row>
    <row r="21" spans="1:8" ht="15" thickBot="1" x14ac:dyDescent="0.35">
      <c r="A21" s="411" t="s">
        <v>776</v>
      </c>
      <c r="B21" s="421" t="e">
        <f>ROUND((B19/100)*B20,0)</f>
        <v>#N/A</v>
      </c>
      <c r="C21" s="434"/>
      <c r="D21" s="422"/>
      <c r="E21" s="411"/>
      <c r="F21" s="411"/>
      <c r="G21" s="411"/>
      <c r="H21" s="411"/>
    </row>
    <row r="22" spans="1:8" ht="15" thickBot="1" x14ac:dyDescent="0.35">
      <c r="A22" s="411"/>
      <c r="B22" s="411"/>
      <c r="C22" s="435"/>
      <c r="D22" s="435"/>
      <c r="E22" s="411"/>
      <c r="F22" s="411"/>
      <c r="G22" s="411"/>
      <c r="H22" s="411"/>
    </row>
    <row r="23" spans="1:8" ht="15" thickBot="1" x14ac:dyDescent="0.35">
      <c r="A23" s="425"/>
      <c r="B23" s="436"/>
      <c r="C23" s="411"/>
      <c r="D23" s="411"/>
      <c r="E23" s="437" t="s">
        <v>784</v>
      </c>
      <c r="F23" s="421">
        <f>IF(F19=0,F14-F19,F14-MAX(F19,G19))</f>
        <v>0</v>
      </c>
      <c r="G23" s="438"/>
      <c r="H23" s="422"/>
    </row>
    <row r="24" spans="1:8" x14ac:dyDescent="0.3">
      <c r="A24" s="411"/>
      <c r="B24" s="411"/>
      <c r="C24" s="411"/>
      <c r="D24" s="411"/>
      <c r="E24" s="411"/>
      <c r="F24" s="434"/>
      <c r="G24" s="434"/>
      <c r="H24" s="422"/>
    </row>
    <row r="25" spans="1:8" x14ac:dyDescent="0.3">
      <c r="A25" s="415"/>
      <c r="B25" s="416"/>
      <c r="C25" s="415"/>
      <c r="D25" s="409"/>
      <c r="E25" s="415"/>
      <c r="F25" s="416"/>
      <c r="G25" s="416"/>
      <c r="H25" s="411"/>
    </row>
    <row r="26" spans="1:8" ht="15" thickBot="1" x14ac:dyDescent="0.35">
      <c r="A26" s="411"/>
      <c r="B26" s="411"/>
      <c r="C26" s="411"/>
      <c r="D26" s="429"/>
      <c r="E26" s="429" t="s">
        <v>785</v>
      </c>
      <c r="F26" s="429"/>
      <c r="G26" s="429"/>
      <c r="H26" s="429"/>
    </row>
    <row r="27" spans="1:8" ht="15" thickBot="1" x14ac:dyDescent="0.35">
      <c r="A27" s="411"/>
      <c r="B27" s="411"/>
      <c r="C27" s="411"/>
      <c r="D27" s="435"/>
      <c r="E27" s="411" t="s">
        <v>786</v>
      </c>
      <c r="F27" s="439" t="e">
        <f>MAX(B9,B13)</f>
        <v>#N/A</v>
      </c>
      <c r="G27" s="435"/>
      <c r="H27" s="411"/>
    </row>
    <row r="28" spans="1:8" ht="15" thickBot="1" x14ac:dyDescent="0.35">
      <c r="A28" s="411"/>
      <c r="B28" s="411"/>
      <c r="C28" s="411"/>
      <c r="D28" s="435"/>
      <c r="E28" s="411"/>
      <c r="F28" s="435"/>
      <c r="G28" s="435"/>
      <c r="H28" s="411"/>
    </row>
    <row r="29" spans="1:8" ht="33.75" customHeight="1" x14ac:dyDescent="0.3">
      <c r="A29" s="411"/>
      <c r="B29" s="411"/>
      <c r="C29" s="411"/>
      <c r="D29" s="440"/>
      <c r="E29" s="411" t="s">
        <v>787</v>
      </c>
      <c r="F29" s="441" t="e">
        <f>IF(F23&lt;=F27,"Yes", "No, unit exceeds limit by:")</f>
        <v>#N/A</v>
      </c>
      <c r="G29" s="411"/>
      <c r="H29" s="411"/>
    </row>
    <row r="30" spans="1:8" ht="15" thickBot="1" x14ac:dyDescent="0.35">
      <c r="A30" s="411"/>
      <c r="B30" s="411"/>
      <c r="C30" s="411"/>
      <c r="D30" s="440"/>
      <c r="E30" s="411"/>
      <c r="F30" s="442" t="e">
        <f>IF(F23-F27&lt;=0,0,F23-F27)</f>
        <v>#N/A</v>
      </c>
      <c r="G30" s="443"/>
      <c r="H30" s="411"/>
    </row>
    <row r="31" spans="1:8" ht="15" thickBot="1" x14ac:dyDescent="0.35">
      <c r="A31" s="411"/>
      <c r="B31" s="411"/>
      <c r="C31" s="411"/>
      <c r="D31" s="411"/>
      <c r="E31" s="411"/>
      <c r="F31" s="411"/>
      <c r="G31" s="411"/>
      <c r="H31" s="411"/>
    </row>
    <row r="32" spans="1:8" x14ac:dyDescent="0.3">
      <c r="A32" s="411"/>
      <c r="B32" s="411"/>
      <c r="C32" s="411"/>
      <c r="D32" s="411"/>
      <c r="E32" s="437" t="s">
        <v>788</v>
      </c>
      <c r="F32" s="444">
        <f>IF(F19=0,0,F19-G19)</f>
        <v>0</v>
      </c>
      <c r="G32" s="411"/>
      <c r="H32" s="411"/>
    </row>
    <row r="33" spans="1:7" ht="15" thickBot="1" x14ac:dyDescent="0.35">
      <c r="A33" s="411"/>
      <c r="B33" s="411"/>
      <c r="C33" s="411"/>
      <c r="D33" s="411"/>
      <c r="E33" s="411"/>
      <c r="F33" s="445" t="s">
        <v>442</v>
      </c>
      <c r="G33" s="411"/>
    </row>
    <row r="34" spans="1:7" x14ac:dyDescent="0.3">
      <c r="A34" s="409"/>
      <c r="B34" s="411"/>
      <c r="C34" s="411"/>
      <c r="D34" s="411"/>
      <c r="E34" s="409" t="s">
        <v>789</v>
      </c>
      <c r="F34" s="411"/>
      <c r="G34" s="411"/>
    </row>
    <row r="35" spans="1:7" x14ac:dyDescent="0.3">
      <c r="A35" s="446"/>
      <c r="B35" s="446"/>
      <c r="C35" s="446"/>
      <c r="D35" s="411"/>
      <c r="E35" s="1240" t="s">
        <v>1107</v>
      </c>
      <c r="F35" s="1241"/>
      <c r="G35" s="1242"/>
    </row>
    <row r="36" spans="1:7" x14ac:dyDescent="0.3">
      <c r="A36" s="446"/>
      <c r="B36" s="446"/>
      <c r="C36" s="446"/>
      <c r="D36" s="411"/>
      <c r="E36" s="1243"/>
      <c r="F36" s="1244"/>
      <c r="G36" s="1245"/>
    </row>
    <row r="37" spans="1:7" x14ac:dyDescent="0.3">
      <c r="A37" s="446"/>
      <c r="B37" s="446"/>
      <c r="C37" s="446"/>
      <c r="D37" s="411"/>
      <c r="E37" s="1243"/>
      <c r="F37" s="1244"/>
      <c r="G37" s="1245"/>
    </row>
    <row r="38" spans="1:7" x14ac:dyDescent="0.3">
      <c r="A38" s="446"/>
      <c r="B38" s="446"/>
      <c r="C38" s="446"/>
      <c r="D38" s="411"/>
      <c r="E38" s="1246"/>
      <c r="F38" s="1247"/>
      <c r="G38" s="1248"/>
    </row>
    <row r="39" spans="1:7" x14ac:dyDescent="0.3">
      <c r="A39" s="446"/>
      <c r="B39" s="446"/>
      <c r="C39" s="446"/>
      <c r="D39" s="411"/>
      <c r="E39" s="447"/>
      <c r="F39" s="447"/>
      <c r="G39" s="447"/>
    </row>
    <row r="40" spans="1:7" x14ac:dyDescent="0.3">
      <c r="A40" s="446"/>
      <c r="B40" s="446"/>
      <c r="C40" s="446"/>
      <c r="D40" s="411"/>
      <c r="E40" s="1240" t="s">
        <v>1108</v>
      </c>
      <c r="F40" s="1241"/>
      <c r="G40" s="1242"/>
    </row>
    <row r="41" spans="1:7" x14ac:dyDescent="0.3">
      <c r="A41" s="411"/>
      <c r="B41" s="411"/>
      <c r="C41" s="411"/>
      <c r="D41" s="411"/>
      <c r="E41" s="1243"/>
      <c r="F41" s="1244"/>
      <c r="G41" s="1245"/>
    </row>
    <row r="42" spans="1:7" x14ac:dyDescent="0.3">
      <c r="A42" s="411"/>
      <c r="B42" s="411"/>
      <c r="C42" s="411"/>
      <c r="D42" s="411"/>
      <c r="E42" s="1246"/>
      <c r="F42" s="1247"/>
      <c r="G42" s="1248"/>
    </row>
    <row r="43" spans="1:7" x14ac:dyDescent="0.3">
      <c r="A43" s="411"/>
      <c r="B43" s="411"/>
      <c r="C43" s="411"/>
      <c r="D43" s="411"/>
      <c r="E43" s="411"/>
      <c r="F43" s="411"/>
      <c r="G43" s="411"/>
    </row>
    <row r="44" spans="1:7" ht="15" thickBot="1" x14ac:dyDescent="0.35">
      <c r="A44" s="411"/>
      <c r="B44" s="411"/>
      <c r="C44" s="411"/>
      <c r="D44" s="411"/>
      <c r="E44" s="1249" t="s">
        <v>790</v>
      </c>
      <c r="F44" s="1249"/>
      <c r="G44" s="1249"/>
    </row>
    <row r="45" spans="1:7" x14ac:dyDescent="0.3">
      <c r="A45" s="411"/>
      <c r="B45" s="411"/>
      <c r="C45" s="411"/>
      <c r="D45" s="411"/>
      <c r="E45" s="1229"/>
      <c r="F45" s="1230"/>
      <c r="G45" s="1231"/>
    </row>
    <row r="46" spans="1:7" x14ac:dyDescent="0.3">
      <c r="A46" s="411"/>
      <c r="B46" s="411"/>
      <c r="C46" s="411"/>
      <c r="D46" s="411"/>
      <c r="E46" s="1232"/>
      <c r="F46" s="1233"/>
      <c r="G46" s="1234"/>
    </row>
    <row r="47" spans="1:7" x14ac:dyDescent="0.3">
      <c r="A47" s="411"/>
      <c r="B47" s="411"/>
      <c r="C47" s="411"/>
      <c r="D47" s="411"/>
      <c r="E47" s="1232"/>
      <c r="F47" s="1233"/>
      <c r="G47" s="1234"/>
    </row>
    <row r="48" spans="1:7" x14ac:dyDescent="0.3">
      <c r="A48" s="411"/>
      <c r="B48" s="411"/>
      <c r="C48" s="411"/>
      <c r="D48" s="411"/>
      <c r="E48" s="1232"/>
      <c r="F48" s="1233"/>
      <c r="G48" s="1234"/>
    </row>
    <row r="49" spans="5:7" x14ac:dyDescent="0.3">
      <c r="E49" s="1232"/>
      <c r="F49" s="1233"/>
      <c r="G49" s="1234"/>
    </row>
    <row r="50" spans="5:7" x14ac:dyDescent="0.3">
      <c r="E50" s="1232"/>
      <c r="F50" s="1233"/>
      <c r="G50" s="1234"/>
    </row>
    <row r="51" spans="5:7" x14ac:dyDescent="0.3">
      <c r="E51" s="1232"/>
      <c r="F51" s="1233"/>
      <c r="G51" s="1234"/>
    </row>
    <row r="52" spans="5:7" x14ac:dyDescent="0.3">
      <c r="E52" s="1232"/>
      <c r="F52" s="1233"/>
      <c r="G52" s="1234"/>
    </row>
    <row r="53" spans="5:7" x14ac:dyDescent="0.3">
      <c r="E53" s="1232"/>
      <c r="F53" s="1233"/>
      <c r="G53" s="1234"/>
    </row>
    <row r="54" spans="5:7" x14ac:dyDescent="0.3">
      <c r="E54" s="1232"/>
      <c r="F54" s="1233"/>
      <c r="G54" s="1234"/>
    </row>
    <row r="55" spans="5:7" x14ac:dyDescent="0.3">
      <c r="E55" s="1232"/>
      <c r="F55" s="1233"/>
      <c r="G55" s="1234"/>
    </row>
    <row r="56" spans="5:7" ht="15" thickBot="1" x14ac:dyDescent="0.35">
      <c r="E56" s="1235"/>
      <c r="F56" s="1236"/>
      <c r="G56" s="1237"/>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10" customWidth="1"/>
    <col min="5" max="5" width="17.109375" style="18" customWidth="1"/>
    <col min="6" max="6" width="21.5546875" style="710" customWidth="1"/>
    <col min="7" max="7" width="26.6640625" style="804" customWidth="1"/>
    <col min="8" max="8" width="25.109375" style="594" customWidth="1"/>
    <col min="9" max="9" width="24" style="71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5" hidden="1" customWidth="1"/>
    <col min="15" max="15" width="2.109375" style="18" hidden="1" customWidth="1"/>
    <col min="16" max="16" width="0" style="18" hidden="1" customWidth="1"/>
    <col min="17" max="17" width="15.109375" style="18" hidden="1" customWidth="1"/>
    <col min="18" max="25" width="9.109375" style="18"/>
    <col min="26" max="26" width="30.6640625" style="636" customWidth="1"/>
    <col min="27" max="1881" width="9.109375" style="18"/>
    <col min="1882" max="16384" width="9.109375" style="710"/>
  </cols>
  <sheetData>
    <row r="1" spans="1:44" ht="15" thickBot="1" x14ac:dyDescent="0.35">
      <c r="B1" s="806" t="s">
        <v>490</v>
      </c>
      <c r="C1" s="806"/>
      <c r="E1" s="713" t="s">
        <v>36</v>
      </c>
      <c r="F1" s="714">
        <v>2021</v>
      </c>
      <c r="G1" s="123" t="s">
        <v>126</v>
      </c>
      <c r="H1" s="715"/>
      <c r="I1" s="716"/>
      <c r="J1" s="717" t="s">
        <v>1041</v>
      </c>
      <c r="M1" s="18" t="s">
        <v>51</v>
      </c>
      <c r="O1" s="18">
        <v>1</v>
      </c>
    </row>
    <row r="2" spans="1:44" ht="44.25" customHeight="1" thickBot="1" x14ac:dyDescent="0.35">
      <c r="B2" s="1120" t="s">
        <v>319</v>
      </c>
      <c r="C2" s="1121"/>
      <c r="D2" s="718" t="s">
        <v>1316</v>
      </c>
      <c r="E2" s="1118" t="s">
        <v>333</v>
      </c>
      <c r="F2" s="1118"/>
      <c r="G2" s="1119"/>
      <c r="H2" s="1107" t="s">
        <v>1522</v>
      </c>
      <c r="M2" s="18" t="s">
        <v>52</v>
      </c>
      <c r="N2" s="295">
        <v>50</v>
      </c>
      <c r="O2" s="18">
        <v>2</v>
      </c>
    </row>
    <row r="3" spans="1:44" ht="15" thickBot="1" x14ac:dyDescent="0.35">
      <c r="B3" s="807" t="s">
        <v>0</v>
      </c>
      <c r="C3" s="808"/>
      <c r="D3" s="720" t="e">
        <f>VLOOKUP(D2,'Unit Names(H)'!A2:B151,2,FALSE)</f>
        <v>#N/A</v>
      </c>
      <c r="E3" s="917"/>
      <c r="F3" s="721"/>
      <c r="G3" s="722"/>
      <c r="H3" s="719"/>
      <c r="N3" s="295">
        <v>51</v>
      </c>
      <c r="O3" s="18">
        <v>3</v>
      </c>
    </row>
    <row r="4" spans="1:44" ht="15" thickBot="1" x14ac:dyDescent="0.35">
      <c r="B4" s="809" t="s">
        <v>1154</v>
      </c>
      <c r="C4" s="810"/>
      <c r="D4" s="723"/>
      <c r="E4" s="723"/>
      <c r="F4" s="724"/>
      <c r="G4" s="725"/>
      <c r="H4" s="719"/>
      <c r="I4" s="2"/>
      <c r="M4" s="18" t="s">
        <v>370</v>
      </c>
      <c r="N4" s="295">
        <v>52</v>
      </c>
      <c r="O4" s="18">
        <v>4</v>
      </c>
    </row>
    <row r="5" spans="1:44" ht="37.5" customHeight="1" x14ac:dyDescent="0.3">
      <c r="A5" s="672" t="s">
        <v>487</v>
      </c>
      <c r="B5" s="561" t="s">
        <v>111</v>
      </c>
      <c r="C5" s="561" t="s">
        <v>128</v>
      </c>
      <c r="D5" s="726" t="s">
        <v>1</v>
      </c>
      <c r="E5" s="726">
        <v>2020</v>
      </c>
      <c r="F5" s="727">
        <v>2021</v>
      </c>
      <c r="G5" s="728" t="s">
        <v>1276</v>
      </c>
      <c r="H5" s="729" t="s">
        <v>339</v>
      </c>
      <c r="I5" s="714" t="s">
        <v>13</v>
      </c>
      <c r="M5" s="18" t="s">
        <v>559</v>
      </c>
    </row>
    <row r="6" spans="1:44" ht="22.5" hidden="1" customHeight="1" x14ac:dyDescent="0.3">
      <c r="A6" s="560"/>
      <c r="B6" s="856" t="s">
        <v>127</v>
      </c>
      <c r="C6" s="857"/>
      <c r="D6" s="858"/>
      <c r="E6" s="859"/>
      <c r="F6" s="860"/>
      <c r="G6" s="852"/>
      <c r="H6" s="17"/>
      <c r="M6" s="18" t="s">
        <v>538</v>
      </c>
    </row>
    <row r="7" spans="1:44" s="18" customFormat="1" ht="63.75" hidden="1" customHeight="1" thickBot="1" x14ac:dyDescent="0.35">
      <c r="A7" s="108">
        <v>333</v>
      </c>
      <c r="B7" s="636" t="s">
        <v>67</v>
      </c>
      <c r="C7" s="636" t="s">
        <v>129</v>
      </c>
      <c r="D7" s="709" t="s">
        <v>1155</v>
      </c>
      <c r="E7" s="670" t="e">
        <f>HLOOKUP($D$2,'2020 Data(H)'!$C$1:$CZ$426,99,FALSE)</f>
        <v>#N/A</v>
      </c>
      <c r="F7" s="294">
        <v>0</v>
      </c>
      <c r="G7" s="731">
        <f>IF(F7&lt;0,"Note: Number is normally positive.",)</f>
        <v>0</v>
      </c>
      <c r="H7" s="732"/>
      <c r="I7" s="733"/>
      <c r="J7" s="576" t="s">
        <v>1020</v>
      </c>
      <c r="L7" s="696"/>
      <c r="M7" s="18" t="s">
        <v>560</v>
      </c>
      <c r="N7" s="295"/>
      <c r="Q7" s="294">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36" t="s">
        <v>55</v>
      </c>
      <c r="C8" s="636" t="s">
        <v>129</v>
      </c>
      <c r="D8" s="709" t="s">
        <v>1156</v>
      </c>
      <c r="E8" s="670" t="e">
        <f>HLOOKUP($D$2,'2020 Data(H)'!$C$1:$CZ$426,150,FALSE)</f>
        <v>#N/A</v>
      </c>
      <c r="F8" s="294">
        <v>0</v>
      </c>
      <c r="G8" s="731">
        <f>IF(F8&lt;0,"Note: Number is normally positive.",)</f>
        <v>0</v>
      </c>
      <c r="H8" s="732"/>
      <c r="I8" s="732"/>
      <c r="J8" s="576"/>
      <c r="L8" s="705"/>
      <c r="M8" s="18" t="s">
        <v>561</v>
      </c>
      <c r="N8" s="295"/>
      <c r="Q8" s="294">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594" t="s">
        <v>60</v>
      </c>
      <c r="C9" s="636" t="s">
        <v>129</v>
      </c>
      <c r="D9" s="107" t="s">
        <v>130</v>
      </c>
      <c r="E9" s="670" t="e">
        <f>HLOOKUP($D$2,'2020 Data(H)'!$C$1:$CZ$426,144,FALSE)</f>
        <v>#N/A</v>
      </c>
      <c r="F9" s="294">
        <v>0</v>
      </c>
      <c r="G9" s="731">
        <f>IF((F7+F8)&gt;F9,"Error: Please review Account numbers (333+500)&gt;385",)</f>
        <v>0</v>
      </c>
      <c r="H9" s="17"/>
      <c r="I9" s="732"/>
      <c r="J9" s="576"/>
      <c r="L9" s="705"/>
      <c r="Q9" s="294">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36" t="s">
        <v>70</v>
      </c>
      <c r="C10" s="636" t="s">
        <v>129</v>
      </c>
      <c r="D10" s="811" t="s">
        <v>1157</v>
      </c>
      <c r="E10" s="670" t="e">
        <f>HLOOKUP($D$2,'2020 Data(H)'!$C$1:$CZ$426,225,FALSE)</f>
        <v>#N/A</v>
      </c>
      <c r="F10" s="294">
        <v>0</v>
      </c>
      <c r="G10" s="731">
        <f>IF(F10&lt;0,"Note: Number is normally positive.",)</f>
        <v>0</v>
      </c>
      <c r="H10" s="734"/>
      <c r="I10" s="735"/>
      <c r="L10" s="705"/>
      <c r="N10" s="295"/>
      <c r="Q10" s="294">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36" t="s">
        <v>70</v>
      </c>
      <c r="C11" s="636" t="s">
        <v>129</v>
      </c>
      <c r="D11" s="811" t="s">
        <v>1158</v>
      </c>
      <c r="E11" s="670" t="e">
        <f>HLOOKUP($D$2,'2020 Data(H)'!$C$1:$CZ$426,226,FALSE)</f>
        <v>#N/A</v>
      </c>
      <c r="F11" s="294">
        <v>0</v>
      </c>
      <c r="G11" s="731">
        <f>IF(F11&lt;0,"Error: Enter as positive.",)</f>
        <v>0</v>
      </c>
      <c r="H11" s="734"/>
      <c r="I11" s="735"/>
      <c r="J11" s="576"/>
      <c r="L11" s="705"/>
      <c r="N11" s="295"/>
      <c r="Q11" s="294">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08">
        <v>626</v>
      </c>
      <c r="B12" s="812" t="s">
        <v>603</v>
      </c>
      <c r="C12" s="812" t="s">
        <v>129</v>
      </c>
      <c r="D12" s="338" t="s">
        <v>1159</v>
      </c>
      <c r="E12" s="670" t="e">
        <f>HLOOKUP($D$2,'2020 Data(H)'!$C$1:$CZ$426,285,FALSE)</f>
        <v>#N/A</v>
      </c>
      <c r="F12" s="294">
        <v>0</v>
      </c>
      <c r="G12" s="731">
        <f>IF(F12&lt;0,"Error: Enter as positive.",)</f>
        <v>0</v>
      </c>
      <c r="H12" s="736"/>
      <c r="I12" s="736"/>
      <c r="J12" s="576"/>
      <c r="L12" s="705"/>
      <c r="Q12" s="294">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hidden="1" customHeight="1" thickBot="1" x14ac:dyDescent="0.35">
      <c r="A13" s="307">
        <v>627</v>
      </c>
      <c r="B13" s="813" t="s">
        <v>455</v>
      </c>
      <c r="C13" s="812" t="s">
        <v>129</v>
      </c>
      <c r="D13" s="338" t="s">
        <v>1160</v>
      </c>
      <c r="E13" s="670" t="e">
        <f>HLOOKUP($D$2,'2020 Data(H)'!$C$1:$CZ$426,286,FALSE)</f>
        <v>#N/A</v>
      </c>
      <c r="F13" s="294">
        <v>0</v>
      </c>
      <c r="G13" s="731">
        <f>IF(F13&gt;F12,"Please review account numbers 627 &gt;626",)</f>
        <v>0</v>
      </c>
      <c r="H13" s="736"/>
      <c r="I13" s="736"/>
      <c r="J13" s="576"/>
      <c r="L13" s="705"/>
      <c r="Q13" s="294">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hidden="1" customHeight="1" thickBot="1" x14ac:dyDescent="0.35">
      <c r="A14" s="307">
        <v>628</v>
      </c>
      <c r="B14" s="813" t="s">
        <v>455</v>
      </c>
      <c r="C14" s="812" t="s">
        <v>129</v>
      </c>
      <c r="D14" s="338" t="s">
        <v>1161</v>
      </c>
      <c r="E14" s="670" t="e">
        <f>HLOOKUP($D$2,'2020 Data(H)'!$C$1:$CZ$426,287,FALSE)</f>
        <v>#N/A</v>
      </c>
      <c r="F14" s="294">
        <v>0</v>
      </c>
      <c r="G14" s="731">
        <f>IF(F14&gt;F12,"Please review account numbers 628 &gt; 626",)</f>
        <v>0</v>
      </c>
      <c r="H14" s="736"/>
      <c r="I14" s="736"/>
      <c r="J14" s="576"/>
      <c r="L14" s="705"/>
      <c r="Q14" s="294">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hidden="1" customHeight="1" thickBot="1" x14ac:dyDescent="0.35">
      <c r="A15" s="307">
        <v>629</v>
      </c>
      <c r="B15" s="813" t="s">
        <v>455</v>
      </c>
      <c r="C15" s="812" t="s">
        <v>129</v>
      </c>
      <c r="D15" s="338" t="s">
        <v>1162</v>
      </c>
      <c r="E15" s="670" t="e">
        <f>HLOOKUP($D$2,'2020 Data(H)'!$C$1:$CZ$426,288,FALSE)</f>
        <v>#N/A</v>
      </c>
      <c r="F15" s="294">
        <v>0</v>
      </c>
      <c r="G15" s="731">
        <f>IF(F15&gt;F12,"Please review account numbers 629 &gt; 626",)</f>
        <v>0</v>
      </c>
      <c r="H15" s="736"/>
      <c r="I15" s="736"/>
      <c r="J15" s="576"/>
      <c r="L15" s="705"/>
      <c r="Q15" s="294">
        <v>0</v>
      </c>
      <c r="Z15" s="307"/>
      <c r="AA15" s="307"/>
      <c r="AB15" s="307"/>
      <c r="AC15" s="307"/>
      <c r="AD15" s="307"/>
      <c r="AE15" s="307"/>
      <c r="AF15" s="307"/>
      <c r="AG15" s="307"/>
      <c r="AH15" s="307"/>
      <c r="AI15" s="307"/>
      <c r="AJ15" s="307"/>
      <c r="AK15" s="307"/>
      <c r="AL15" s="307"/>
      <c r="AM15" s="307"/>
      <c r="AN15" s="307"/>
      <c r="AO15" s="307"/>
      <c r="AP15" s="307"/>
      <c r="AQ15" s="307"/>
      <c r="AR15" s="307"/>
    </row>
    <row r="16" spans="1:44" ht="69" hidden="1" customHeight="1" thickBot="1" x14ac:dyDescent="0.35">
      <c r="A16" s="307">
        <v>630</v>
      </c>
      <c r="B16" s="813" t="s">
        <v>455</v>
      </c>
      <c r="C16" s="812" t="s">
        <v>129</v>
      </c>
      <c r="D16" s="338" t="s">
        <v>554</v>
      </c>
      <c r="E16" s="670" t="e">
        <f>HLOOKUP($D$2,'2020 Data(H)'!$C$1:$CZ$426,289,FALSE)</f>
        <v>#N/A</v>
      </c>
      <c r="F16" s="294">
        <v>0</v>
      </c>
      <c r="G16" s="731">
        <f>IF(F16&gt;F12,"Please review account numbers 630 &gt; 626",)</f>
        <v>0</v>
      </c>
      <c r="H16" s="736"/>
      <c r="I16" s="736"/>
      <c r="J16" s="576"/>
      <c r="L16" s="705"/>
      <c r="Q16" s="294">
        <v>0</v>
      </c>
      <c r="Z16" s="307"/>
      <c r="AA16" s="307"/>
      <c r="AB16" s="307"/>
      <c r="AC16" s="307"/>
      <c r="AD16" s="307"/>
      <c r="AE16" s="307"/>
      <c r="AF16" s="307"/>
      <c r="AG16" s="307"/>
      <c r="AH16" s="307"/>
      <c r="AI16" s="307"/>
      <c r="AJ16" s="307"/>
      <c r="AK16" s="307"/>
      <c r="AL16" s="307"/>
      <c r="AM16" s="307"/>
      <c r="AN16" s="307"/>
      <c r="AO16" s="307"/>
      <c r="AP16" s="307"/>
      <c r="AQ16" s="307"/>
      <c r="AR16" s="307"/>
    </row>
    <row r="17" spans="1:44" ht="95.25" hidden="1" customHeight="1" thickBot="1" x14ac:dyDescent="0.35">
      <c r="A17" s="307">
        <v>631</v>
      </c>
      <c r="B17" s="813" t="s">
        <v>455</v>
      </c>
      <c r="C17" s="812" t="s">
        <v>129</v>
      </c>
      <c r="D17" s="338" t="s">
        <v>1163</v>
      </c>
      <c r="E17" s="670" t="e">
        <f>HLOOKUP($D$2,'2020 Data(H)'!$C$1:$CZ$426,290,FALSE)</f>
        <v>#N/A</v>
      </c>
      <c r="F17" s="294">
        <v>0</v>
      </c>
      <c r="G17" s="731">
        <f>IF(F17&gt;F12,"Please review account numbers 631 &gt; 626",)</f>
        <v>0</v>
      </c>
      <c r="H17" s="736"/>
      <c r="I17" s="736"/>
      <c r="J17" s="576"/>
      <c r="L17" s="705"/>
      <c r="Q17" s="294">
        <v>0</v>
      </c>
      <c r="Z17" s="307"/>
      <c r="AA17" s="307"/>
      <c r="AB17" s="307"/>
      <c r="AC17" s="307"/>
      <c r="AD17" s="307"/>
      <c r="AE17" s="307"/>
      <c r="AF17" s="307"/>
      <c r="AG17" s="307"/>
      <c r="AH17" s="307"/>
      <c r="AI17" s="307"/>
      <c r="AJ17" s="307"/>
      <c r="AK17" s="307"/>
      <c r="AL17" s="307"/>
      <c r="AM17" s="307"/>
      <c r="AN17" s="307"/>
      <c r="AO17" s="307"/>
      <c r="AP17" s="307"/>
      <c r="AQ17" s="307"/>
      <c r="AR17" s="307"/>
    </row>
    <row r="18" spans="1:44" ht="111.75" hidden="1" customHeight="1" thickBot="1" x14ac:dyDescent="0.35">
      <c r="A18" s="307">
        <v>632</v>
      </c>
      <c r="B18" s="813" t="s">
        <v>455</v>
      </c>
      <c r="C18" s="812" t="s">
        <v>129</v>
      </c>
      <c r="D18" s="338" t="s">
        <v>1164</v>
      </c>
      <c r="E18" s="670" t="e">
        <f>HLOOKUP($D$2,'2020 Data(H)'!$C$1:$CZ$426,291,FALSE)</f>
        <v>#N/A</v>
      </c>
      <c r="F18" s="294">
        <v>0</v>
      </c>
      <c r="G18" s="731">
        <f>IF(F18&gt;F12,"Please review account numbers 632 &gt; 626",)</f>
        <v>0</v>
      </c>
      <c r="H18" s="736"/>
      <c r="I18" s="736"/>
      <c r="J18" s="576"/>
      <c r="L18" s="705"/>
      <c r="Q18" s="294">
        <v>0</v>
      </c>
      <c r="Z18" s="307"/>
      <c r="AA18" s="307"/>
      <c r="AB18" s="307"/>
      <c r="AC18" s="307"/>
      <c r="AD18" s="307"/>
      <c r="AE18" s="307"/>
      <c r="AF18" s="307"/>
      <c r="AG18" s="307"/>
      <c r="AH18" s="307"/>
      <c r="AI18" s="307"/>
      <c r="AJ18" s="307"/>
      <c r="AK18" s="307"/>
      <c r="AL18" s="307"/>
      <c r="AM18" s="307"/>
      <c r="AN18" s="307"/>
      <c r="AO18" s="307"/>
      <c r="AP18" s="307"/>
      <c r="AQ18" s="307"/>
      <c r="AR18" s="307"/>
    </row>
    <row r="19" spans="1:44" ht="55.5" hidden="1" customHeight="1" thickBot="1" x14ac:dyDescent="0.35">
      <c r="A19" s="108">
        <v>338</v>
      </c>
      <c r="B19" s="594" t="s">
        <v>56</v>
      </c>
      <c r="C19" s="636" t="s">
        <v>129</v>
      </c>
      <c r="D19" s="107" t="s">
        <v>131</v>
      </c>
      <c r="E19" s="670" t="e">
        <f>HLOOKUP($D$2,'2020 Data(H)'!$C$1:$CZ$426,104,FALSE)</f>
        <v>#N/A</v>
      </c>
      <c r="F19" s="294">
        <v>0</v>
      </c>
      <c r="G19" s="731" t="str">
        <f>IF(F12&gt;F19,"Error: Please review accts 626 &gt; 338","")</f>
        <v/>
      </c>
      <c r="H19" s="17"/>
      <c r="I19" s="732"/>
      <c r="J19" s="576"/>
      <c r="L19" s="705"/>
      <c r="Q19" s="294">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594" t="s">
        <v>56</v>
      </c>
      <c r="C20" s="636" t="s">
        <v>129</v>
      </c>
      <c r="D20" s="709" t="s">
        <v>1165</v>
      </c>
      <c r="E20" s="670" t="e">
        <f>HLOOKUP($D$2,'2020 Data(H)'!$C$1:$CZ$426,101,FALSE)</f>
        <v>#N/A</v>
      </c>
      <c r="F20" s="294">
        <v>0</v>
      </c>
      <c r="G20" s="731">
        <f>IF(F20&lt;0,"Error: Enter as positive.",)</f>
        <v>0</v>
      </c>
      <c r="H20" s="17"/>
      <c r="I20" s="373"/>
      <c r="J20" s="576"/>
      <c r="L20" s="705"/>
      <c r="Q20" s="294">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594" t="s">
        <v>56</v>
      </c>
      <c r="C21" s="636" t="s">
        <v>129</v>
      </c>
      <c r="D21" s="107" t="s">
        <v>132</v>
      </c>
      <c r="E21" s="670" t="e">
        <f>HLOOKUP($D$2,'2020 Data(H)'!$C$1:$CZ$426,78,FALSE)</f>
        <v>#N/A</v>
      </c>
      <c r="F21" s="294">
        <v>0</v>
      </c>
      <c r="G21" s="737"/>
      <c r="H21" s="17"/>
      <c r="I21" s="79"/>
      <c r="J21" s="576"/>
      <c r="L21" s="705"/>
      <c r="Q21" s="294">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594" t="s">
        <v>56</v>
      </c>
      <c r="C22" s="636" t="s">
        <v>129</v>
      </c>
      <c r="D22" s="107" t="s">
        <v>133</v>
      </c>
      <c r="E22" s="670" t="e">
        <f>HLOOKUP($D$2,'2020 Data(H)'!$C$1:$CZ$426,79,FALSE)</f>
        <v>#N/A</v>
      </c>
      <c r="F22" s="294">
        <v>0</v>
      </c>
      <c r="G22" s="731"/>
      <c r="H22" s="17"/>
      <c r="I22" s="79"/>
      <c r="J22" s="576"/>
      <c r="L22" s="705"/>
      <c r="Q22" s="294">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594" t="s">
        <v>56</v>
      </c>
      <c r="C23" s="636" t="s">
        <v>129</v>
      </c>
      <c r="D23" s="107" t="s">
        <v>1166</v>
      </c>
      <c r="E23" s="670" t="e">
        <f>HLOOKUP($D$2,'2020 Data(H)'!$C$1:$CZ$426,80,FALSE)</f>
        <v>#N/A</v>
      </c>
      <c r="F23" s="294">
        <v>0</v>
      </c>
      <c r="G23" s="731">
        <f>IF(H23=0,,"Error: Total assets and deferred outflows less total liabilities and deferred inflows do not equal total net position. Account numbers  385-338-252-253-254 = 0.  The amount the formula is off is located in the cell to the right")</f>
        <v>0</v>
      </c>
      <c r="H23" s="734">
        <f>F9-F19-F21-F22-F23</f>
        <v>0</v>
      </c>
      <c r="I23" s="79"/>
      <c r="J23" s="576"/>
      <c r="L23" s="705"/>
      <c r="Q23" s="294">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44" t="s">
        <v>134</v>
      </c>
      <c r="C24" s="845"/>
      <c r="D24" s="849"/>
      <c r="E24" s="850"/>
      <c r="F24" s="861"/>
      <c r="G24" s="862"/>
      <c r="H24" s="17"/>
      <c r="I24" s="79"/>
      <c r="L24" s="705"/>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594" t="s">
        <v>55</v>
      </c>
      <c r="C25" s="636" t="s">
        <v>136</v>
      </c>
      <c r="D25" s="709" t="s">
        <v>1167</v>
      </c>
      <c r="E25" s="670" t="e">
        <f>HLOOKUP($D$2,'2020 Data(H)'!$C$1:$CZ$426,152,FALSE)</f>
        <v>#N/A</v>
      </c>
      <c r="F25" s="294">
        <v>0</v>
      </c>
      <c r="G25" s="731">
        <f>IF(F25&lt;0,"Note: Number is normally positive.",)</f>
        <v>0</v>
      </c>
      <c r="H25" s="17"/>
      <c r="I25" s="79"/>
      <c r="L25" s="705"/>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594" t="s">
        <v>55</v>
      </c>
      <c r="C26" s="636" t="s">
        <v>136</v>
      </c>
      <c r="D26" s="107" t="s">
        <v>135</v>
      </c>
      <c r="E26" s="670" t="e">
        <f>HLOOKUP($D$2,'2020 Data(H)'!$C$1:$CZ$426,153,FALSE)</f>
        <v>#N/A</v>
      </c>
      <c r="F26" s="274">
        <v>0</v>
      </c>
      <c r="G26" s="731">
        <f>IF(F26&lt;0,"Note: Number is normally positive.",)</f>
        <v>0</v>
      </c>
      <c r="H26" s="17"/>
      <c r="I26" s="79"/>
      <c r="L26" s="70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44" t="s">
        <v>137</v>
      </c>
      <c r="C27" s="845"/>
      <c r="D27" s="849"/>
      <c r="E27" s="850"/>
      <c r="F27" s="851"/>
      <c r="G27" s="852"/>
      <c r="H27" s="17"/>
      <c r="I27" s="79"/>
      <c r="L27" s="70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594" t="s">
        <v>56</v>
      </c>
      <c r="C28" s="594" t="s">
        <v>144</v>
      </c>
      <c r="D28" s="107" t="s">
        <v>138</v>
      </c>
      <c r="E28" s="670" t="e">
        <f>HLOOKUP($D$2,'2020 Data(H)'!$C$1:$CZ$426,110,FALSE)</f>
        <v>#N/A</v>
      </c>
      <c r="F28" s="294">
        <v>0</v>
      </c>
      <c r="G28" s="731">
        <f t="shared" ref="G28:G35" si="0">IF(F28&lt;0,"Error: Enter as positive.",)</f>
        <v>0</v>
      </c>
      <c r="H28" s="17"/>
      <c r="I28" s="79"/>
      <c r="L28" s="70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594" t="s">
        <v>60</v>
      </c>
      <c r="C29" s="594" t="s">
        <v>144</v>
      </c>
      <c r="D29" s="107" t="s">
        <v>139</v>
      </c>
      <c r="E29" s="670" t="e">
        <f>HLOOKUP($D$2,'2020 Data(H)'!$C$1:$CZ$426,147,FALSE)</f>
        <v>#N/A</v>
      </c>
      <c r="F29" s="294">
        <v>0</v>
      </c>
      <c r="G29" s="731">
        <f t="shared" si="0"/>
        <v>0</v>
      </c>
      <c r="H29" s="17"/>
      <c r="I29" s="79"/>
      <c r="J29" s="576"/>
      <c r="L29" s="70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594" t="s">
        <v>56</v>
      </c>
      <c r="C30" s="594" t="s">
        <v>144</v>
      </c>
      <c r="D30" s="107" t="s">
        <v>140</v>
      </c>
      <c r="E30" s="670" t="e">
        <f>HLOOKUP($D$2,'2020 Data(H)'!$C$1:$CZ$426,105,FALSE)</f>
        <v>#N/A</v>
      </c>
      <c r="F30" s="294">
        <v>0</v>
      </c>
      <c r="G30" s="731">
        <f t="shared" si="0"/>
        <v>0</v>
      </c>
      <c r="H30" s="17"/>
      <c r="I30" s="79"/>
      <c r="J30" s="576"/>
      <c r="L30" s="70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594" t="s">
        <v>56</v>
      </c>
      <c r="C31" s="594" t="s">
        <v>144</v>
      </c>
      <c r="D31" s="107" t="s">
        <v>141</v>
      </c>
      <c r="E31" s="670" t="e">
        <f>HLOOKUP($D$2,'2020 Data(H)'!$C$1:$CZ$426,154,FALSE)</f>
        <v>#N/A</v>
      </c>
      <c r="F31" s="294">
        <v>0</v>
      </c>
      <c r="G31" s="731">
        <f t="shared" si="0"/>
        <v>0</v>
      </c>
      <c r="H31" s="17"/>
      <c r="I31" s="79"/>
      <c r="J31" s="576"/>
      <c r="L31" s="70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594" t="s">
        <v>56</v>
      </c>
      <c r="C32" s="594" t="s">
        <v>144</v>
      </c>
      <c r="D32" s="689" t="s">
        <v>142</v>
      </c>
      <c r="E32" s="670" t="e">
        <f>HLOOKUP($D$2,'2020 Data(H)'!$C$1:$CZ$426,155,FALSE)</f>
        <v>#N/A</v>
      </c>
      <c r="F32" s="294">
        <v>0</v>
      </c>
      <c r="G32" s="731">
        <f t="shared" si="0"/>
        <v>0</v>
      </c>
      <c r="H32" s="17"/>
      <c r="I32" s="79"/>
      <c r="J32" s="576"/>
      <c r="L32" s="70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594" t="s">
        <v>56</v>
      </c>
      <c r="C33" s="594" t="s">
        <v>144</v>
      </c>
      <c r="D33" s="709" t="s">
        <v>1168</v>
      </c>
      <c r="E33" s="670" t="e">
        <f>HLOOKUP($D$2,'2020 Data(H)'!$C$1:$CZ$426,107,FALSE)</f>
        <v>#N/A</v>
      </c>
      <c r="F33" s="294">
        <v>0</v>
      </c>
      <c r="G33" s="731">
        <f t="shared" si="0"/>
        <v>0</v>
      </c>
      <c r="H33" s="17"/>
      <c r="I33" s="79"/>
      <c r="J33" s="576"/>
      <c r="L33" s="70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594" t="s">
        <v>56</v>
      </c>
      <c r="C34" s="594" t="s">
        <v>144</v>
      </c>
      <c r="D34" s="107" t="s">
        <v>1169</v>
      </c>
      <c r="E34" s="670" t="e">
        <f>HLOOKUP($D$2,'2020 Data(H)'!$C$1:$CZ$426,145,FALSE)</f>
        <v>#N/A</v>
      </c>
      <c r="F34" s="294">
        <v>0</v>
      </c>
      <c r="G34" s="731">
        <f t="shared" si="0"/>
        <v>0</v>
      </c>
      <c r="H34" s="17"/>
      <c r="I34" s="79"/>
      <c r="L34" s="70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594" t="s">
        <v>60</v>
      </c>
      <c r="C35" s="594" t="s">
        <v>144</v>
      </c>
      <c r="D35" s="107" t="s">
        <v>1170</v>
      </c>
      <c r="E35" s="670" t="e">
        <f>HLOOKUP($D$2,'2020 Data(H)'!$C$1:$CZ$426,146,FALSE)</f>
        <v>#N/A</v>
      </c>
      <c r="F35" s="294">
        <v>0</v>
      </c>
      <c r="G35" s="731">
        <f t="shared" si="0"/>
        <v>0</v>
      </c>
      <c r="H35" s="17"/>
      <c r="I35" s="79"/>
      <c r="L35" s="70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594" t="s">
        <v>60</v>
      </c>
      <c r="C36" s="594" t="s">
        <v>144</v>
      </c>
      <c r="D36" s="709" t="s">
        <v>1171</v>
      </c>
      <c r="E36" s="670" t="e">
        <f>HLOOKUP($D$2,'2020 Data(H)'!$C$1:$CZ$426,148,FALSE)</f>
        <v>#N/A</v>
      </c>
      <c r="F36" s="294">
        <v>0</v>
      </c>
      <c r="G36" s="731"/>
      <c r="H36" s="17"/>
      <c r="I36" s="79"/>
      <c r="J36" s="576"/>
      <c r="L36" s="70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594" t="s">
        <v>56</v>
      </c>
      <c r="C37" s="594" t="s">
        <v>144</v>
      </c>
      <c r="D37" s="709" t="s">
        <v>1172</v>
      </c>
      <c r="E37" s="670" t="e">
        <f>HLOOKUP($D$2,'2020 Data(H)'!$C$1:$CZ$426,81,FALSE)</f>
        <v>#N/A</v>
      </c>
      <c r="F37" s="294">
        <v>0</v>
      </c>
      <c r="G37" s="731">
        <f>IF(H37=0,,"Error: Total revenues less total expenses do not equal total change in net position. Account numbers 339+504+505+341+386-387+389-388-255 = 0  The amount the formula is off is located in the cell to the right")</f>
        <v>0</v>
      </c>
      <c r="H37" s="734">
        <f>F30+F31+F32+F33+F34-F35+F36-F29-F37</f>
        <v>0</v>
      </c>
      <c r="I37" s="79"/>
      <c r="J37" s="576"/>
      <c r="L37" s="70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594" t="s">
        <v>56</v>
      </c>
      <c r="C38" s="594" t="s">
        <v>144</v>
      </c>
      <c r="D38" s="709" t="s">
        <v>1173</v>
      </c>
      <c r="E38" s="670" t="e">
        <f>HLOOKUP($D$2,'2020 Data(H)'!$C$1:$CZ$426,135,FALSE)</f>
        <v>#N/A</v>
      </c>
      <c r="F38" s="292">
        <v>0</v>
      </c>
      <c r="G38" s="914" t="e">
        <f>IF(H38=0,,"Error: Beginning Balance does not agree with our records.  Account numbers  252+253+254-255-376-(Prior Year 252+253+254)=0  The amount the formula is off is located in the cell to the right")</f>
        <v>#N/A</v>
      </c>
      <c r="H38" s="738" t="e">
        <f>F21+F22+F23-F37-F38-(E21+E22+E23)</f>
        <v>#N/A</v>
      </c>
      <c r="I38" s="840" t="e">
        <f>+E37+H38</f>
        <v>#N/A</v>
      </c>
      <c r="J38" s="576"/>
      <c r="L38" s="70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6" t="s">
        <v>372</v>
      </c>
      <c r="C39" s="636" t="s">
        <v>411</v>
      </c>
      <c r="D39" s="814" t="s">
        <v>1174</v>
      </c>
      <c r="E39" s="670" t="e">
        <f>HLOOKUP($D$2,'2020 Data(H)'!$C$1:$CZ$426,256,FALSE)</f>
        <v>#N/A</v>
      </c>
      <c r="F39" s="292">
        <v>0</v>
      </c>
      <c r="G39" s="731">
        <f>IF(F39&lt;0,"Note: Number is normally positive.",)</f>
        <v>0</v>
      </c>
      <c r="H39" s="732"/>
      <c r="I39" s="733"/>
      <c r="J39" s="576"/>
      <c r="L39" s="705"/>
      <c r="N39" s="295"/>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4" t="s">
        <v>371</v>
      </c>
      <c r="C40" s="845"/>
      <c r="D40" s="849"/>
      <c r="E40" s="850"/>
      <c r="F40" s="851"/>
      <c r="G40" s="852"/>
      <c r="H40" s="17"/>
      <c r="I40" s="79"/>
      <c r="L40" s="70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6" t="s">
        <v>59</v>
      </c>
      <c r="C41" s="636" t="s">
        <v>373</v>
      </c>
      <c r="D41" s="709" t="s">
        <v>1175</v>
      </c>
      <c r="E41" s="670" t="e">
        <f>HLOOKUP($D$2,'2020 Data(H)'!$C$1:$CZ$426,253,FALSE)</f>
        <v>#N/A</v>
      </c>
      <c r="F41" s="739">
        <v>0</v>
      </c>
      <c r="G41" s="731"/>
      <c r="H41" s="732"/>
      <c r="J41" s="576"/>
      <c r="L41" s="705"/>
      <c r="N41" s="295"/>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6" t="s">
        <v>59</v>
      </c>
      <c r="C42" s="636" t="s">
        <v>373</v>
      </c>
      <c r="D42" s="107" t="s">
        <v>374</v>
      </c>
      <c r="E42" s="670" t="e">
        <f>HLOOKUP($D$2,'2020 Data(H)'!$C$1:$CZ$426,252,FALSE)</f>
        <v>#N/A</v>
      </c>
      <c r="F42" s="739">
        <v>0</v>
      </c>
      <c r="G42" s="731">
        <f>IF(F42&lt;0,"Error: Enter as positive.",)</f>
        <v>0</v>
      </c>
      <c r="H42" s="732"/>
      <c r="J42" s="576"/>
      <c r="L42" s="705"/>
      <c r="N42" s="295"/>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6" t="s">
        <v>59</v>
      </c>
      <c r="C43" s="815" t="s">
        <v>373</v>
      </c>
      <c r="D43" s="107" t="s">
        <v>1118</v>
      </c>
      <c r="E43" s="670" t="s">
        <v>1277</v>
      </c>
      <c r="F43" s="739">
        <v>0</v>
      </c>
      <c r="G43" s="731"/>
      <c r="H43" s="732"/>
      <c r="J43" s="576"/>
      <c r="L43" s="705"/>
      <c r="N43" s="295"/>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6" t="s">
        <v>59</v>
      </c>
      <c r="C44" s="815" t="s">
        <v>373</v>
      </c>
      <c r="D44" s="107" t="s">
        <v>1119</v>
      </c>
      <c r="E44" s="670" t="s">
        <v>1277</v>
      </c>
      <c r="F44" s="739">
        <v>0</v>
      </c>
      <c r="G44" s="731"/>
      <c r="H44" s="732"/>
      <c r="J44" s="576"/>
      <c r="L44" s="705"/>
      <c r="N44" s="295"/>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4" t="s">
        <v>1281</v>
      </c>
      <c r="C45" s="900"/>
      <c r="D45" s="901"/>
      <c r="E45" s="877"/>
      <c r="F45" s="851"/>
      <c r="G45" s="862"/>
      <c r="H45" s="732"/>
      <c r="J45" s="576"/>
      <c r="L45" s="705"/>
      <c r="N45" s="295"/>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6" t="s">
        <v>59</v>
      </c>
      <c r="C46" s="815" t="s">
        <v>1120</v>
      </c>
      <c r="D46" s="107" t="s">
        <v>1125</v>
      </c>
      <c r="E46" s="670" t="e">
        <f>HLOOKUP($D$2,'2020 Data(H)'!$C$1:$CZ$426,208,FALSE)</f>
        <v>#N/A</v>
      </c>
      <c r="F46" s="739">
        <v>0</v>
      </c>
      <c r="G46" s="731"/>
      <c r="H46" s="732"/>
      <c r="J46" s="576"/>
      <c r="L46" s="705"/>
      <c r="N46" s="295"/>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6" t="s">
        <v>59</v>
      </c>
      <c r="C47" s="815" t="s">
        <v>1120</v>
      </c>
      <c r="D47" s="107" t="s">
        <v>146</v>
      </c>
      <c r="E47" s="670" t="e">
        <f>HLOOKUP($D$2,'2020 Data(H)'!$C$1:$CZ$426,209,FALSE)</f>
        <v>#N/A</v>
      </c>
      <c r="F47" s="739">
        <v>0</v>
      </c>
      <c r="G47" s="731"/>
      <c r="H47" s="732"/>
      <c r="J47" s="576"/>
      <c r="L47" s="705"/>
      <c r="N47" s="295"/>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6" t="s">
        <v>59</v>
      </c>
      <c r="C48" s="815" t="s">
        <v>1120</v>
      </c>
      <c r="D48" s="709" t="s">
        <v>1122</v>
      </c>
      <c r="E48" s="670" t="e">
        <f>HLOOKUP($D$2,'2020 Data(H)'!$C$1:$CZ$426,210,FALSE)</f>
        <v>#N/A</v>
      </c>
      <c r="F48" s="739">
        <v>0</v>
      </c>
      <c r="G48" s="731"/>
      <c r="H48" s="732"/>
      <c r="J48" s="576"/>
      <c r="L48" s="705"/>
      <c r="N48" s="295"/>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6" t="s">
        <v>59</v>
      </c>
      <c r="C49" s="815" t="s">
        <v>1120</v>
      </c>
      <c r="D49" s="709" t="s">
        <v>1123</v>
      </c>
      <c r="E49" s="670" t="e">
        <f>HLOOKUP($D$2,'2020 Data(H)'!$C$1:$CZ$426,211,FALSE)</f>
        <v>#N/A</v>
      </c>
      <c r="F49" s="739">
        <v>0</v>
      </c>
      <c r="G49" s="731"/>
      <c r="H49" s="732"/>
      <c r="J49" s="576"/>
      <c r="L49" s="705"/>
      <c r="N49" s="295"/>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6" t="s">
        <v>59</v>
      </c>
      <c r="C50" s="815" t="s">
        <v>1120</v>
      </c>
      <c r="D50" s="709" t="s">
        <v>1121</v>
      </c>
      <c r="E50" s="670" t="e">
        <f>HLOOKUP($D$2,'2020 Data(H)'!$C$1:$CZ$426,213,FALSE)</f>
        <v>#N/A</v>
      </c>
      <c r="F50" s="739">
        <v>0</v>
      </c>
      <c r="G50" s="731"/>
      <c r="H50" s="732"/>
      <c r="J50" s="576"/>
      <c r="L50" s="705"/>
      <c r="N50" s="295"/>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6" t="s">
        <v>59</v>
      </c>
      <c r="C51" s="815" t="s">
        <v>1127</v>
      </c>
      <c r="D51" s="709" t="s">
        <v>1124</v>
      </c>
      <c r="E51" s="670" t="e">
        <f>HLOOKUP($D$2,'2020 Data(H)'!$C$1:$CZ$426,214,FALSE)</f>
        <v>#N/A</v>
      </c>
      <c r="F51" s="739">
        <v>0</v>
      </c>
      <c r="G51" s="731"/>
      <c r="H51" s="732"/>
      <c r="J51" s="576"/>
      <c r="L51" s="705"/>
      <c r="N51" s="295"/>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6" t="s">
        <v>59</v>
      </c>
      <c r="C52" s="815" t="s">
        <v>1127</v>
      </c>
      <c r="D52" s="709" t="s">
        <v>1126</v>
      </c>
      <c r="E52" s="670" t="e">
        <f>HLOOKUP($D$2,'2020 Data(H)'!$C$1:$CZ$426,218,FALSE)</f>
        <v>#N/A</v>
      </c>
      <c r="F52" s="739">
        <v>0</v>
      </c>
      <c r="G52" s="731"/>
      <c r="H52" s="732"/>
      <c r="J52" s="576"/>
      <c r="L52" s="705"/>
      <c r="N52" s="295"/>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6" t="s">
        <v>59</v>
      </c>
      <c r="C53" s="815" t="s">
        <v>1127</v>
      </c>
      <c r="D53" s="709" t="s">
        <v>327</v>
      </c>
      <c r="E53" s="670" t="e">
        <f>HLOOKUP($D$2,'2020 Data(H)'!$C$1:$CZ$426,215,FALSE)</f>
        <v>#N/A</v>
      </c>
      <c r="F53" s="739">
        <v>0</v>
      </c>
      <c r="G53" s="731"/>
      <c r="H53" s="732"/>
      <c r="J53" s="576"/>
      <c r="L53" s="705"/>
      <c r="N53" s="295"/>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6" t="s">
        <v>59</v>
      </c>
      <c r="C54" s="815" t="s">
        <v>1127</v>
      </c>
      <c r="D54" s="709" t="s">
        <v>329</v>
      </c>
      <c r="E54" s="670" t="e">
        <f>HLOOKUP($D$2,'2020 Data(H)'!$C$1:$CZ$426,216,FALSE)</f>
        <v>#N/A</v>
      </c>
      <c r="F54" s="739">
        <v>0</v>
      </c>
      <c r="G54" s="731"/>
      <c r="H54" s="732"/>
      <c r="J54" s="576"/>
      <c r="L54" s="705"/>
      <c r="N54" s="295"/>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6" t="s">
        <v>59</v>
      </c>
      <c r="C55" s="815" t="s">
        <v>1127</v>
      </c>
      <c r="D55" s="709" t="s">
        <v>1119</v>
      </c>
      <c r="E55" s="670" t="e">
        <f>HLOOKUP($D$2,'2020 Data(H)'!$C$1:$CZ$426,217,FALSE)</f>
        <v>#N/A</v>
      </c>
      <c r="F55" s="739">
        <v>0</v>
      </c>
      <c r="G55" s="731"/>
      <c r="H55" s="732"/>
      <c r="J55" s="576"/>
      <c r="L55" s="705"/>
      <c r="N55" s="295"/>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6" t="s">
        <v>59</v>
      </c>
      <c r="C56" s="815" t="s">
        <v>13</v>
      </c>
      <c r="D56" s="124" t="s">
        <v>1128</v>
      </c>
      <c r="E56" s="670" t="e">
        <f>HLOOKUP($D$2,'2020 Data(H)'!$C$1:$CZ$426,212,FALSE)</f>
        <v>#N/A</v>
      </c>
      <c r="F56" s="739">
        <v>0</v>
      </c>
      <c r="G56" s="731"/>
      <c r="H56" s="732"/>
      <c r="J56" s="576"/>
      <c r="L56" s="705"/>
      <c r="N56" s="295"/>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6" t="s">
        <v>59</v>
      </c>
      <c r="C57" s="815" t="s">
        <v>13</v>
      </c>
      <c r="D57" s="709" t="s">
        <v>1129</v>
      </c>
      <c r="E57" s="670" t="e">
        <f>HLOOKUP($D$2,'2020 Data(H)'!$C$1:$CZ$426,219,FALSE)</f>
        <v>#N/A</v>
      </c>
      <c r="F57" s="739">
        <v>0</v>
      </c>
      <c r="G57" s="731"/>
      <c r="H57" s="732"/>
      <c r="J57" s="576"/>
      <c r="L57" s="705"/>
      <c r="N57" s="295"/>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44" t="s">
        <v>145</v>
      </c>
      <c r="C58" s="845"/>
      <c r="D58" s="853"/>
      <c r="E58" s="850"/>
      <c r="F58" s="854"/>
      <c r="G58" s="855"/>
      <c r="H58" s="17"/>
      <c r="I58" s="79"/>
      <c r="L58" s="70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16" t="s">
        <v>55</v>
      </c>
      <c r="C59" s="816" t="s">
        <v>149</v>
      </c>
      <c r="D59" s="107" t="s">
        <v>1176</v>
      </c>
      <c r="E59" s="930" t="e">
        <f>HLOOKUP($D$2,'2020 Data(H)'!$C$1:$CZ$426,156,FALSE)</f>
        <v>#N/A</v>
      </c>
      <c r="F59" s="294">
        <v>0</v>
      </c>
      <c r="G59" s="731">
        <f>IF(F59&lt;0,"Note: Number is normally positive.",)</f>
        <v>0</v>
      </c>
      <c r="H59" s="732"/>
      <c r="I59" s="79"/>
      <c r="J59" s="576"/>
      <c r="L59" s="705"/>
      <c r="N59" s="295"/>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16" t="s">
        <v>55</v>
      </c>
      <c r="C60" s="816" t="s">
        <v>149</v>
      </c>
      <c r="D60" s="107" t="s">
        <v>146</v>
      </c>
      <c r="E60" s="670" t="e">
        <f>HLOOKUP($D$2,'2020 Data(H)'!$C$1:$CZ$426,186,FALSE)</f>
        <v>#N/A</v>
      </c>
      <c r="F60" s="294">
        <v>0</v>
      </c>
      <c r="G60" s="731">
        <f>IF(F60&lt;0,"Note: Number is normally positive.",)</f>
        <v>0</v>
      </c>
      <c r="H60" s="732"/>
      <c r="I60" s="733"/>
      <c r="J60" s="576"/>
      <c r="L60" s="705"/>
      <c r="N60" s="295"/>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16" t="s">
        <v>59</v>
      </c>
      <c r="C61" s="816" t="s">
        <v>149</v>
      </c>
      <c r="D61" s="681" t="s">
        <v>355</v>
      </c>
      <c r="E61" s="670" t="e">
        <f>HLOOKUP($D$2,'2020 Data(H)'!$C$1:$CZ$426,236,FALSE)</f>
        <v>#N/A</v>
      </c>
      <c r="F61" s="294">
        <v>0</v>
      </c>
      <c r="G61" s="731">
        <f>IF(F61&lt;0,"Note: Number is normally positive.",)</f>
        <v>0</v>
      </c>
      <c r="H61" s="732"/>
      <c r="I61" s="733"/>
      <c r="L61" s="705"/>
      <c r="N61" s="295"/>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16" t="s">
        <v>60</v>
      </c>
      <c r="C62" s="816" t="s">
        <v>149</v>
      </c>
      <c r="D62" s="107" t="s">
        <v>130</v>
      </c>
      <c r="E62" s="670" t="e">
        <f>HLOOKUP($D$2,'2020 Data(H)'!$C$1:$CZ$426,138,FALSE)</f>
        <v>#N/A</v>
      </c>
      <c r="F62" s="294">
        <v>0</v>
      </c>
      <c r="G62" s="731">
        <f>IF((F59+F60)&gt;F62,"Error: Please review account numbers (506+536)&gt;379",)</f>
        <v>0</v>
      </c>
      <c r="H62" s="17"/>
      <c r="I62" s="79"/>
      <c r="J62" s="576"/>
      <c r="L62" s="70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6" t="s">
        <v>69</v>
      </c>
      <c r="C63" s="816" t="s">
        <v>149</v>
      </c>
      <c r="D63" s="709" t="s">
        <v>1177</v>
      </c>
      <c r="E63" s="670" t="e">
        <f>HLOOKUP($D$2,'2020 Data(H)'!$C$1:$CZ$426,129,FALSE)</f>
        <v>#N/A</v>
      </c>
      <c r="F63" s="294">
        <v>0</v>
      </c>
      <c r="G63" s="731">
        <f t="shared" ref="G63:G69" si="1">IF(F63&lt;0,"Error: Enter as positive.",)</f>
        <v>0</v>
      </c>
      <c r="H63" s="17"/>
      <c r="I63" s="732"/>
      <c r="J63" s="576"/>
      <c r="L63" s="70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16" t="s">
        <v>55</v>
      </c>
      <c r="C64" s="816" t="s">
        <v>149</v>
      </c>
      <c r="D64" s="306" t="s">
        <v>1178</v>
      </c>
      <c r="E64" s="670" t="e">
        <f>HLOOKUP($D$2,'2020 Data(H)'!$C$1:$CZ$426,3,FALSE)</f>
        <v>#N/A</v>
      </c>
      <c r="F64" s="294">
        <v>0</v>
      </c>
      <c r="G64" s="731">
        <f t="shared" si="1"/>
        <v>0</v>
      </c>
      <c r="H64" s="17"/>
      <c r="I64" s="79"/>
      <c r="J64" s="576"/>
      <c r="L64" s="70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16" t="s">
        <v>55</v>
      </c>
      <c r="C65" s="816" t="s">
        <v>149</v>
      </c>
      <c r="D65" s="335" t="s">
        <v>1179</v>
      </c>
      <c r="E65" s="670" t="e">
        <f>HLOOKUP($D$2,'2020 Data(H)'!$C$1:$CZ$426,4,FALSE)</f>
        <v>#N/A</v>
      </c>
      <c r="F65" s="294">
        <v>0</v>
      </c>
      <c r="G65" s="731">
        <f t="shared" si="1"/>
        <v>0</v>
      </c>
      <c r="H65" s="17"/>
      <c r="I65" s="79"/>
      <c r="J65" s="576"/>
      <c r="L65" s="70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16" t="s">
        <v>60</v>
      </c>
      <c r="C66" s="816" t="s">
        <v>149</v>
      </c>
      <c r="D66" s="335" t="s">
        <v>1180</v>
      </c>
      <c r="E66" s="670" t="e">
        <f>HLOOKUP($D$2,'2020 Data(H)'!$C$1:$CZ$426,139,FALSE)</f>
        <v>#N/A</v>
      </c>
      <c r="F66" s="294">
        <v>0</v>
      </c>
      <c r="G66" s="731">
        <f t="shared" si="1"/>
        <v>0</v>
      </c>
      <c r="H66" s="17"/>
      <c r="I66" s="79"/>
      <c r="J66" s="576"/>
      <c r="L66" s="70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16" t="s">
        <v>69</v>
      </c>
      <c r="C67" s="816" t="s">
        <v>149</v>
      </c>
      <c r="D67" s="107" t="s">
        <v>147</v>
      </c>
      <c r="E67" s="670" t="e">
        <f>HLOOKUP($D$2,'2020 Data(H)'!$C$1:$CZ$426,149,FALSE)</f>
        <v>#N/A</v>
      </c>
      <c r="F67" s="294">
        <v>0</v>
      </c>
      <c r="G67" s="731">
        <f t="shared" si="1"/>
        <v>0</v>
      </c>
      <c r="H67" s="17"/>
      <c r="I67" s="79"/>
      <c r="J67" s="576"/>
      <c r="L67" s="70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16" t="s">
        <v>69</v>
      </c>
      <c r="C68" s="816" t="s">
        <v>149</v>
      </c>
      <c r="D68" s="107" t="s">
        <v>148</v>
      </c>
      <c r="E68" s="670" t="e">
        <f>HLOOKUP($D$2,'2020 Data(H)'!$C$1:$CZ$426,6,FALSE)</f>
        <v>#N/A</v>
      </c>
      <c r="F68" s="294">
        <v>0</v>
      </c>
      <c r="G68" s="731">
        <f t="shared" si="1"/>
        <v>0</v>
      </c>
      <c r="H68" s="17"/>
      <c r="I68" s="79"/>
      <c r="J68" s="576"/>
      <c r="L68" s="70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6" t="s">
        <v>69</v>
      </c>
      <c r="C69" s="816" t="s">
        <v>149</v>
      </c>
      <c r="D69" s="709" t="s">
        <v>1181</v>
      </c>
      <c r="E69" s="670" t="e">
        <f>HLOOKUP($D$2,'2020 Data(H)'!$C$1:$CZ$426,8,FALSE)</f>
        <v>#N/A</v>
      </c>
      <c r="F69" s="294">
        <v>0</v>
      </c>
      <c r="G69" s="731">
        <f t="shared" si="1"/>
        <v>0</v>
      </c>
      <c r="H69" s="17"/>
      <c r="I69" s="79"/>
      <c r="J69" s="576"/>
      <c r="L69" s="70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07">
        <v>645</v>
      </c>
      <c r="B70" s="813" t="s">
        <v>455</v>
      </c>
      <c r="C70" s="813" t="s">
        <v>149</v>
      </c>
      <c r="D70" s="704" t="s">
        <v>488</v>
      </c>
      <c r="E70" s="670" t="e">
        <f>HLOOKUP($D$2,'2020 Data(H)'!$C$1:$CZ$426,304,FALSE)</f>
        <v>#N/A</v>
      </c>
      <c r="F70" s="294">
        <v>0</v>
      </c>
      <c r="G70" s="731">
        <f>IF(F70&lt;0,"Note: Number is normally positive.",)</f>
        <v>0</v>
      </c>
      <c r="H70" s="732"/>
      <c r="I70" s="733"/>
      <c r="J70" s="576"/>
      <c r="L70" s="705"/>
      <c r="Z70" s="307"/>
      <c r="AA70" s="307"/>
      <c r="AB70" s="307"/>
      <c r="AC70" s="307"/>
      <c r="AD70" s="307"/>
      <c r="AE70" s="307"/>
      <c r="AF70" s="307"/>
      <c r="AG70" s="307"/>
      <c r="AH70" s="307"/>
      <c r="AI70" s="307"/>
      <c r="AJ70" s="307"/>
      <c r="AK70" s="307"/>
      <c r="AL70" s="307"/>
      <c r="AM70" s="307"/>
      <c r="AN70" s="307"/>
      <c r="AO70" s="307"/>
      <c r="AP70" s="307"/>
      <c r="AQ70" s="307"/>
      <c r="AR70" s="307"/>
    </row>
    <row r="71" spans="1:44" ht="78.75" hidden="1" customHeight="1" thickBot="1" x14ac:dyDescent="0.35">
      <c r="A71" s="307">
        <v>646</v>
      </c>
      <c r="B71" s="813" t="s">
        <v>455</v>
      </c>
      <c r="C71" s="813" t="s">
        <v>149</v>
      </c>
      <c r="D71" s="306" t="s">
        <v>456</v>
      </c>
      <c r="E71" s="670" t="e">
        <f>HLOOKUP($D$2,'2020 Data(H)'!$C$1:$CZ$426,305,FALSE)</f>
        <v>#N/A</v>
      </c>
      <c r="F71" s="294">
        <v>0</v>
      </c>
      <c r="G71" s="731">
        <f>IF(F71&lt;0,"Note: Number is normally positive.",)</f>
        <v>0</v>
      </c>
      <c r="H71" s="732"/>
      <c r="I71" s="733"/>
      <c r="J71" s="576"/>
      <c r="L71" s="705"/>
      <c r="Z71" s="307"/>
      <c r="AA71" s="307"/>
      <c r="AB71" s="307"/>
      <c r="AC71" s="307"/>
      <c r="AD71" s="307"/>
      <c r="AE71" s="307"/>
      <c r="AF71" s="307"/>
      <c r="AG71" s="307"/>
      <c r="AH71" s="307"/>
      <c r="AI71" s="307"/>
      <c r="AJ71" s="307"/>
      <c r="AK71" s="307"/>
      <c r="AL71" s="307"/>
      <c r="AM71" s="307"/>
      <c r="AN71" s="307"/>
      <c r="AO71" s="307"/>
      <c r="AP71" s="307"/>
      <c r="AQ71" s="307"/>
      <c r="AR71" s="307"/>
    </row>
    <row r="72" spans="1:44" ht="57.75" hidden="1" customHeight="1" thickBot="1" x14ac:dyDescent="0.35">
      <c r="A72" s="108">
        <v>9</v>
      </c>
      <c r="B72" s="816" t="s">
        <v>60</v>
      </c>
      <c r="C72" s="816" t="s">
        <v>149</v>
      </c>
      <c r="D72" s="709" t="s">
        <v>1182</v>
      </c>
      <c r="E72" s="670" t="e">
        <f>HLOOKUP($D$2,'2020 Data(H)'!$C$1:$CZ$426,7,FALSE)</f>
        <v>#N/A</v>
      </c>
      <c r="F72" s="294">
        <v>0</v>
      </c>
      <c r="G72" s="731">
        <f>IF(F62-F64-F65-F66-F72=0,,"Error: Total assets less total liabilities do not equal total fund balance. Account numbers 379-4-5-380-9= 0  The amount of the formula is in the cell to the right")</f>
        <v>0</v>
      </c>
      <c r="H72" s="734">
        <f>F62-F64-F65-F66-F72</f>
        <v>0</v>
      </c>
      <c r="I72" s="79"/>
      <c r="J72" s="576"/>
      <c r="L72" s="70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6" t="s">
        <v>59</v>
      </c>
      <c r="C73" s="636" t="s">
        <v>1183</v>
      </c>
      <c r="D73" s="107" t="s">
        <v>489</v>
      </c>
      <c r="E73" s="670" t="e">
        <f>HLOOKUP($D$2,'2020 Data(H)'!$C$1:$CZ$426,190,FALSE)</f>
        <v>#N/A</v>
      </c>
      <c r="F73" s="294">
        <v>0</v>
      </c>
      <c r="G73" s="731"/>
      <c r="H73" s="732"/>
      <c r="I73" s="733"/>
      <c r="J73" s="576"/>
      <c r="L73" s="705"/>
      <c r="N73" s="295"/>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44" t="s">
        <v>151</v>
      </c>
      <c r="C74" s="845"/>
      <c r="D74" s="849"/>
      <c r="E74" s="850"/>
      <c r="F74" s="851"/>
      <c r="G74" s="852"/>
      <c r="H74" s="17"/>
      <c r="I74" s="79"/>
      <c r="L74" s="70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5" t="s">
        <v>798</v>
      </c>
      <c r="C75" s="715" t="s">
        <v>1183</v>
      </c>
      <c r="D75" s="740" t="s">
        <v>1278</v>
      </c>
      <c r="E75" s="670" t="s">
        <v>799</v>
      </c>
      <c r="F75" s="294">
        <v>0</v>
      </c>
      <c r="G75" s="731"/>
      <c r="H75" s="17"/>
      <c r="I75" s="79"/>
      <c r="J75" s="576"/>
      <c r="L75" s="70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5" t="s">
        <v>798</v>
      </c>
      <c r="C76" s="715" t="s">
        <v>1183</v>
      </c>
      <c r="D76" s="740" t="s">
        <v>1279</v>
      </c>
      <c r="E76" s="670" t="s">
        <v>799</v>
      </c>
      <c r="F76" s="294">
        <v>0</v>
      </c>
      <c r="G76" s="731"/>
      <c r="H76" s="17"/>
      <c r="I76" s="79"/>
      <c r="J76" s="576"/>
      <c r="L76" s="70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4" t="s">
        <v>56</v>
      </c>
      <c r="C77" s="594" t="s">
        <v>152</v>
      </c>
      <c r="D77" s="709" t="s">
        <v>1184</v>
      </c>
      <c r="E77" s="670" t="e">
        <f>HLOOKUP($D$2,'2020 Data(H)'!$C$1:$CZ$426,130,FALSE)</f>
        <v>#N/A</v>
      </c>
      <c r="F77" s="294">
        <v>0</v>
      </c>
      <c r="G77" s="731"/>
      <c r="H77" s="17"/>
      <c r="I77" s="79"/>
      <c r="J77" s="576"/>
      <c r="L77" s="70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594" t="s">
        <v>66</v>
      </c>
      <c r="C78" s="594" t="s">
        <v>152</v>
      </c>
      <c r="D78" s="107" t="s">
        <v>150</v>
      </c>
      <c r="E78" s="670" t="e">
        <f>HLOOKUP($D$2,'2020 Data(H)'!$C$1:$CZ$426,12,FALSE)</f>
        <v>#N/A</v>
      </c>
      <c r="F78" s="294">
        <v>0</v>
      </c>
      <c r="G78" s="731"/>
      <c r="H78" s="17"/>
      <c r="I78" s="79"/>
      <c r="J78" s="576"/>
      <c r="L78" s="70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4" t="s">
        <v>56</v>
      </c>
      <c r="C79" s="594" t="s">
        <v>152</v>
      </c>
      <c r="D79" s="709" t="s">
        <v>1185</v>
      </c>
      <c r="E79" s="670" t="e">
        <f>HLOOKUP($D$2,'2020 Data(H)'!$C$1:$CZ$426,131,FALSE)</f>
        <v>#N/A</v>
      </c>
      <c r="F79" s="294">
        <v>0</v>
      </c>
      <c r="G79" s="731">
        <f>IF(F79&lt;0,"Error: Enter as positive.",)</f>
        <v>0</v>
      </c>
      <c r="H79" s="17"/>
      <c r="I79" s="79"/>
      <c r="J79" s="576"/>
      <c r="L79" s="70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594" t="s">
        <v>55</v>
      </c>
      <c r="C80" s="594" t="s">
        <v>152</v>
      </c>
      <c r="D80" s="694" t="s">
        <v>1186</v>
      </c>
      <c r="E80" s="670" t="e">
        <f>HLOOKUP($D$2,'2020 Data(H)'!$C$1:$CZ$426,182,FALSE)</f>
        <v>#N/A</v>
      </c>
      <c r="F80" s="294">
        <v>0</v>
      </c>
      <c r="G80" s="731">
        <f>IF(F80&lt;0,"Error: Enter as positive.",)</f>
        <v>0</v>
      </c>
      <c r="H80" s="17"/>
      <c r="I80" s="79"/>
      <c r="J80" s="576"/>
      <c r="L80" s="70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594" t="s">
        <v>60</v>
      </c>
      <c r="C81" s="594" t="s">
        <v>152</v>
      </c>
      <c r="D81" s="107" t="s">
        <v>1187</v>
      </c>
      <c r="E81" s="670" t="e">
        <f>HLOOKUP($D$2,'2020 Data(H)'!$C$1:$CZ$426,13,FALSE)</f>
        <v>#N/A</v>
      </c>
      <c r="F81" s="294">
        <v>0</v>
      </c>
      <c r="G81" s="731"/>
      <c r="H81" s="17"/>
      <c r="I81" s="79"/>
      <c r="L81" s="70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594" t="s">
        <v>55</v>
      </c>
      <c r="C82" s="594" t="s">
        <v>152</v>
      </c>
      <c r="D82" s="107" t="s">
        <v>1188</v>
      </c>
      <c r="E82" s="670" t="e">
        <f>HLOOKUP($D$2,'2020 Data(H)'!$C$1:$CZ$426,15,FALSE)</f>
        <v>#N/A</v>
      </c>
      <c r="F82" s="294">
        <v>0</v>
      </c>
      <c r="G82" s="731">
        <f>IF(F82&lt;0,"Error: Enter as positive.",)</f>
        <v>0</v>
      </c>
      <c r="H82" s="17"/>
      <c r="I82" s="79"/>
      <c r="L82" s="70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594" t="s">
        <v>55</v>
      </c>
      <c r="C83" s="594" t="s">
        <v>152</v>
      </c>
      <c r="D83" s="694" t="s">
        <v>1189</v>
      </c>
      <c r="E83" s="670" t="e">
        <f>HLOOKUP($D$2,'2020 Data(H)'!$C$1:$CZ$426,183,FALSE)</f>
        <v>#N/A</v>
      </c>
      <c r="F83" s="294">
        <v>0</v>
      </c>
      <c r="G83" s="741"/>
      <c r="H83" s="17"/>
      <c r="I83" s="79"/>
      <c r="L83" s="70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4" t="s">
        <v>55</v>
      </c>
      <c r="C84" s="594" t="s">
        <v>152</v>
      </c>
      <c r="D84" s="107" t="s">
        <v>329</v>
      </c>
      <c r="E84" s="670" t="e">
        <f>HLOOKUP($D$2,'2020 Data(H)'!$C$1:$CZ$426,158,FALSE)</f>
        <v>#N/A</v>
      </c>
      <c r="F84" s="294">
        <v>0</v>
      </c>
      <c r="G84" s="731"/>
      <c r="H84" s="732"/>
      <c r="I84" s="733"/>
      <c r="L84" s="705"/>
      <c r="N84" s="295"/>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4" t="s">
        <v>55</v>
      </c>
      <c r="C85" s="594" t="s">
        <v>152</v>
      </c>
      <c r="D85" s="107" t="s">
        <v>327</v>
      </c>
      <c r="E85" s="670" t="e">
        <f>HLOOKUP($D$2,'2020 Data(H)'!$C$1:$CZ$426,159,FALSE)</f>
        <v>#N/A</v>
      </c>
      <c r="F85" s="294">
        <v>0</v>
      </c>
      <c r="G85" s="731">
        <f>IF(F85&lt;0,"Error: Enter as positive.",)</f>
        <v>0</v>
      </c>
      <c r="H85" s="732"/>
      <c r="I85" s="733"/>
      <c r="L85" s="705"/>
      <c r="N85" s="295"/>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4" t="s">
        <v>60</v>
      </c>
      <c r="C86" s="594" t="s">
        <v>152</v>
      </c>
      <c r="D86" s="107" t="s">
        <v>328</v>
      </c>
      <c r="E86" s="670" t="e">
        <f>HLOOKUP($D$2,'2020 Data(H)'!$C$1:$CZ$426,17,FALSE)</f>
        <v>#N/A</v>
      </c>
      <c r="F86" s="294">
        <v>0</v>
      </c>
      <c r="G86" s="741"/>
      <c r="H86" s="17"/>
      <c r="I86" s="79"/>
      <c r="J86" s="576"/>
      <c r="L86" s="70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594" t="s">
        <v>60</v>
      </c>
      <c r="C87" s="594" t="s">
        <v>152</v>
      </c>
      <c r="D87" s="709" t="s">
        <v>1190</v>
      </c>
      <c r="E87" s="670" t="e">
        <f>HLOOKUP($D$2,'2020 Data(H)'!$C$1:$CZ$426,18,FALSE)</f>
        <v>#N/A</v>
      </c>
      <c r="F87" s="294">
        <v>0</v>
      </c>
      <c r="G87" s="731">
        <f>IF(H87=0,,"Error: Total revenues less total expenditures do not equal total change in fund balance.  Account numbers 16-532+17-20+533+22+508-509-23=0  The amount of the formula is located in the cell to the right")</f>
        <v>0</v>
      </c>
      <c r="H87" s="734">
        <f>+F78-F80+F81-F82+F83+F86+F84-F85-F87</f>
        <v>0</v>
      </c>
      <c r="I87" s="79"/>
      <c r="J87" s="576"/>
      <c r="L87" s="70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4" t="s">
        <v>369</v>
      </c>
      <c r="C88" s="594"/>
      <c r="D88" s="709" t="s">
        <v>1300</v>
      </c>
      <c r="E88" s="910"/>
      <c r="F88" s="294"/>
      <c r="G88" s="742"/>
      <c r="H88" s="734"/>
      <c r="I88" s="79"/>
      <c r="K88" s="743"/>
      <c r="L88" s="70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594" t="s">
        <v>60</v>
      </c>
      <c r="C89" s="594" t="s">
        <v>152</v>
      </c>
      <c r="D89" s="709" t="s">
        <v>1191</v>
      </c>
      <c r="E89" s="670" t="e">
        <f>HLOOKUP($D$2,'2020 Data(H)'!$C$1:$CZ$426,157,FALSE)</f>
        <v>#N/A</v>
      </c>
      <c r="F89" s="294">
        <v>0</v>
      </c>
      <c r="G89" s="731" t="e">
        <f>IF(F72-F87-F89=E72,,"Error: Beginning Balance does not agree with our records.  (Acct# 9-23-507)= Prior Years Acct # 9 The amount of the formula is in the cell to the right")</f>
        <v>#N/A</v>
      </c>
      <c r="H89" s="734" t="e">
        <f>+F72-F87-F89-E72</f>
        <v>#N/A</v>
      </c>
      <c r="I89" s="79"/>
      <c r="L89" s="70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7" t="s">
        <v>1007</v>
      </c>
      <c r="C90" s="817" t="s">
        <v>1008</v>
      </c>
      <c r="D90" s="709" t="s">
        <v>1009</v>
      </c>
      <c r="E90" s="670" t="e">
        <f>HLOOKUP($D$2,'2020 Data(H)'!$C$1:$CZ$426,67,FALSE)</f>
        <v>#N/A</v>
      </c>
      <c r="F90" s="294">
        <v>0</v>
      </c>
      <c r="G90" s="731"/>
      <c r="H90" s="734"/>
      <c r="I90" s="79"/>
      <c r="L90" s="70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7" t="s">
        <v>1007</v>
      </c>
      <c r="C91" s="817" t="s">
        <v>1008</v>
      </c>
      <c r="D91" s="709" t="s">
        <v>1010</v>
      </c>
      <c r="E91" s="670" t="e">
        <f>HLOOKUP($D$2,'2020 Data(H)'!$C$1:$CZ$426,235,FALSE)</f>
        <v>#N/A</v>
      </c>
      <c r="F91" s="294">
        <v>0</v>
      </c>
      <c r="G91" s="731"/>
      <c r="H91" s="734"/>
      <c r="I91" s="79"/>
      <c r="L91" s="70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7" t="s">
        <v>1007</v>
      </c>
      <c r="C92" s="817" t="s">
        <v>1008</v>
      </c>
      <c r="D92" s="709" t="s">
        <v>1011</v>
      </c>
      <c r="E92" s="670" t="e">
        <f>HLOOKUP($D$2,'2020 Data(H)'!$C$1:$CZ$426,196,FALSE)</f>
        <v>#N/A</v>
      </c>
      <c r="F92" s="294">
        <v>0</v>
      </c>
      <c r="G92" s="731"/>
      <c r="H92" s="734"/>
      <c r="I92" s="79"/>
      <c r="L92" s="70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7" t="s">
        <v>1007</v>
      </c>
      <c r="C93" s="817" t="s">
        <v>1008</v>
      </c>
      <c r="D93" s="709" t="s">
        <v>1012</v>
      </c>
      <c r="E93" s="670" t="e">
        <f>HLOOKUP($D$2,'2020 Data(H)'!$C$1:$CZ$426,239,FALSE)</f>
        <v>#N/A</v>
      </c>
      <c r="F93" s="294">
        <v>0</v>
      </c>
      <c r="G93" s="731"/>
      <c r="H93" s="734"/>
      <c r="I93" s="79"/>
      <c r="L93" s="70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60">
        <v>149</v>
      </c>
      <c r="B94" s="594" t="s">
        <v>1007</v>
      </c>
      <c r="C94" s="594" t="s">
        <v>1008</v>
      </c>
      <c r="D94" s="709" t="s">
        <v>1084</v>
      </c>
      <c r="E94" s="670" t="e">
        <f>HLOOKUP($D$2,'2020 Data(H)'!$C$1:$CZ$426,69,FALSE)</f>
        <v>#N/A</v>
      </c>
      <c r="F94" s="294">
        <v>0</v>
      </c>
      <c r="G94" s="731"/>
      <c r="H94" s="734"/>
      <c r="I94" s="79"/>
      <c r="L94" s="705"/>
      <c r="Z94" s="560"/>
      <c r="AA94" s="560"/>
      <c r="AB94" s="560"/>
      <c r="AC94" s="560"/>
      <c r="AD94" s="560"/>
      <c r="AE94" s="560"/>
      <c r="AF94" s="560"/>
      <c r="AG94" s="560"/>
      <c r="AH94" s="560"/>
      <c r="AI94" s="560"/>
      <c r="AJ94" s="560"/>
      <c r="AK94" s="560"/>
      <c r="AL94" s="560"/>
      <c r="AM94" s="560"/>
      <c r="AN94" s="560"/>
      <c r="AO94" s="560"/>
      <c r="AP94" s="560"/>
      <c r="AQ94" s="560"/>
      <c r="AR94" s="560"/>
    </row>
    <row r="95" spans="1:44" ht="115.5" hidden="1" customHeight="1" thickBot="1" x14ac:dyDescent="0.35">
      <c r="A95" s="108">
        <v>150</v>
      </c>
      <c r="B95" s="594" t="s">
        <v>1007</v>
      </c>
      <c r="C95" s="594" t="s">
        <v>1008</v>
      </c>
      <c r="D95" s="709" t="s">
        <v>1085</v>
      </c>
      <c r="E95" s="670" t="e">
        <f>HLOOKUP($D$2,'2020 Data(H)'!$C$1:$CZ$426,70,FALSE)</f>
        <v>#N/A</v>
      </c>
      <c r="F95" s="294">
        <v>0</v>
      </c>
      <c r="G95" s="731"/>
      <c r="H95" s="734"/>
      <c r="I95" s="79"/>
      <c r="L95" s="70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6" t="s">
        <v>1086</v>
      </c>
      <c r="C96" s="636" t="s">
        <v>1087</v>
      </c>
      <c r="D96" s="709" t="s">
        <v>1192</v>
      </c>
      <c r="E96" s="670" t="e">
        <f>HLOOKUP($D$2,'2020 Data(H)'!$C$1:$CZ$426,237,FALSE)</f>
        <v>#N/A</v>
      </c>
      <c r="F96" s="294">
        <v>0</v>
      </c>
      <c r="G96" s="731"/>
      <c r="H96" s="734"/>
      <c r="I96" s="79"/>
      <c r="L96" s="70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6" t="s">
        <v>1086</v>
      </c>
      <c r="C97" s="636" t="s">
        <v>1087</v>
      </c>
      <c r="D97" s="709" t="s">
        <v>1193</v>
      </c>
      <c r="E97" s="670" t="e">
        <f>HLOOKUP($D$2,'2020 Data(H)'!$C$1:$CZ$426,238,FALSE)</f>
        <v>#N/A</v>
      </c>
      <c r="F97" s="294">
        <v>0</v>
      </c>
      <c r="G97" s="731"/>
      <c r="H97" s="734"/>
      <c r="I97" s="79"/>
      <c r="L97" s="70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7">
        <v>647</v>
      </c>
      <c r="B98" s="813" t="s">
        <v>455</v>
      </c>
      <c r="C98" s="812" t="s">
        <v>457</v>
      </c>
      <c r="D98" s="306" t="s">
        <v>458</v>
      </c>
      <c r="E98" s="670" t="e">
        <f>HLOOKUP($D$2,'2020 Data(H)'!$C$1:$CZ$426,306,FALSE)</f>
        <v>#N/A</v>
      </c>
      <c r="F98" s="294">
        <v>0</v>
      </c>
      <c r="G98" s="731">
        <f>IF(F98&lt;0,"Error: Enter as positive.",)</f>
        <v>0</v>
      </c>
      <c r="H98" s="744"/>
      <c r="I98" s="79"/>
      <c r="L98" s="705"/>
      <c r="Z98" s="307"/>
      <c r="AA98" s="307"/>
      <c r="AB98" s="307"/>
      <c r="AC98" s="307"/>
      <c r="AD98" s="307"/>
      <c r="AE98" s="307"/>
      <c r="AF98" s="307"/>
      <c r="AG98" s="307"/>
      <c r="AH98" s="307"/>
      <c r="AI98" s="307"/>
      <c r="AJ98" s="307"/>
      <c r="AK98" s="307"/>
      <c r="AL98" s="307"/>
      <c r="AM98" s="307"/>
      <c r="AN98" s="307"/>
      <c r="AO98" s="307"/>
      <c r="AP98" s="307"/>
      <c r="AQ98" s="307"/>
      <c r="AR98" s="307"/>
    </row>
    <row r="99" spans="1:44" ht="25.5" hidden="1" customHeight="1" thickBot="1" x14ac:dyDescent="0.35">
      <c r="A99" s="108"/>
      <c r="B99" s="844" t="s">
        <v>11</v>
      </c>
      <c r="C99" s="845"/>
      <c r="D99" s="846"/>
      <c r="E99" s="842"/>
      <c r="F99" s="847"/>
      <c r="G99" s="848"/>
      <c r="H99" s="17"/>
      <c r="I99" s="79"/>
      <c r="L99" s="70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4" t="s">
        <v>1015</v>
      </c>
      <c r="C100" s="636" t="s">
        <v>1013</v>
      </c>
      <c r="D100" s="636" t="s">
        <v>1014</v>
      </c>
      <c r="E100" s="670" t="e">
        <f>HLOOKUP($D$2,'2020 Data(H)'!$C$1:$CZ$426,68,FALSE)</f>
        <v>#N/A</v>
      </c>
      <c r="F100" s="294">
        <v>0</v>
      </c>
      <c r="G100" s="745"/>
      <c r="H100" s="17"/>
      <c r="I100" s="79"/>
      <c r="L100" s="70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4" t="s">
        <v>332</v>
      </c>
      <c r="C101" s="594" t="s">
        <v>331</v>
      </c>
      <c r="D101" s="671" t="s">
        <v>1194</v>
      </c>
      <c r="E101" s="670" t="e">
        <f>HLOOKUP($D$2,'2020 Data(H)'!$C$1:$CZ$426,71,FALSE)</f>
        <v>#N/A</v>
      </c>
      <c r="F101" s="274">
        <v>0</v>
      </c>
      <c r="G101" s="731">
        <f>IF(F101&lt;0,"Error: Enter as positive.",)</f>
        <v>0</v>
      </c>
      <c r="H101" s="17"/>
      <c r="I101" s="79"/>
      <c r="J101" s="576"/>
      <c r="L101" s="70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43" t="s">
        <v>1076</v>
      </c>
      <c r="C102" s="842"/>
      <c r="D102" s="842"/>
      <c r="E102" s="842"/>
      <c r="F102" s="842"/>
      <c r="G102" s="842"/>
      <c r="H102" s="17"/>
      <c r="I102" s="79"/>
      <c r="J102" s="576"/>
      <c r="L102" s="70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8" t="s">
        <v>455</v>
      </c>
      <c r="C103" s="335" t="s">
        <v>1090</v>
      </c>
      <c r="D103" s="669" t="s">
        <v>1113</v>
      </c>
      <c r="E103" s="670" t="e">
        <f>HLOOKUP($D$2,'2020 Data(H)'!$C$1:$CZ$426,24,FALSE)</f>
        <v>#N/A</v>
      </c>
      <c r="F103" s="294">
        <v>0</v>
      </c>
      <c r="G103" s="819"/>
      <c r="H103" s="17"/>
      <c r="I103" s="79"/>
      <c r="J103" s="576"/>
      <c r="L103" s="70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18" t="s">
        <v>455</v>
      </c>
      <c r="C104" s="335" t="s">
        <v>1090</v>
      </c>
      <c r="D104" s="709" t="s">
        <v>1114</v>
      </c>
      <c r="E104" s="670" t="e">
        <f>HLOOKUP($D$2,'2020 Data(H)'!$C$1:$CZ$426,184,FALSE)</f>
        <v>#N/A</v>
      </c>
      <c r="F104" s="294">
        <v>0</v>
      </c>
      <c r="G104" s="819"/>
      <c r="H104" s="17"/>
      <c r="I104" s="79"/>
      <c r="J104" s="576"/>
      <c r="L104" s="70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01">
        <v>13</v>
      </c>
      <c r="B105" s="818" t="s">
        <v>369</v>
      </c>
      <c r="C105" s="821" t="s">
        <v>1077</v>
      </c>
      <c r="D105" s="821" t="s">
        <v>1280</v>
      </c>
      <c r="E105" s="670" t="e">
        <f>HLOOKUP($D$2,'2020 Data(H)'!$C$1:$CZ$426,10,FALSE)</f>
        <v>#N/A</v>
      </c>
      <c r="F105" s="294">
        <v>0</v>
      </c>
      <c r="G105" s="731"/>
      <c r="H105" s="17"/>
      <c r="I105" s="79"/>
      <c r="J105" s="576"/>
      <c r="L105" s="705"/>
      <c r="Z105" s="820"/>
      <c r="AA105" s="820"/>
      <c r="AB105" s="820"/>
      <c r="AC105" s="820"/>
      <c r="AD105" s="820"/>
      <c r="AE105" s="820"/>
      <c r="AF105" s="820"/>
      <c r="AG105" s="820"/>
      <c r="AH105" s="820"/>
      <c r="AI105" s="820"/>
      <c r="AJ105" s="820"/>
      <c r="AK105" s="820"/>
      <c r="AL105" s="820"/>
      <c r="AM105" s="820"/>
      <c r="AN105" s="820"/>
      <c r="AO105" s="820"/>
      <c r="AP105" s="820"/>
      <c r="AQ105" s="820"/>
      <c r="AR105" s="820"/>
    </row>
    <row r="106" spans="1:44" ht="191.25" customHeight="1" thickBot="1" x14ac:dyDescent="0.35">
      <c r="A106" s="601">
        <v>14</v>
      </c>
      <c r="B106" s="818" t="s">
        <v>369</v>
      </c>
      <c r="C106" s="821" t="s">
        <v>1077</v>
      </c>
      <c r="D106" s="821" t="s">
        <v>1079</v>
      </c>
      <c r="E106" s="670" t="e">
        <f>HLOOKUP($D$2,'2020 Data(H)'!$C$1:$CZ$426,11,FALSE)</f>
        <v>#N/A</v>
      </c>
      <c r="F106" s="294">
        <v>0</v>
      </c>
      <c r="G106" s="731"/>
      <c r="H106" s="17"/>
      <c r="I106" s="79"/>
      <c r="J106" s="576"/>
      <c r="L106" s="705"/>
      <c r="Z106" s="820"/>
      <c r="AA106" s="820"/>
      <c r="AB106" s="820"/>
      <c r="AC106" s="820"/>
      <c r="AD106" s="820"/>
      <c r="AE106" s="820"/>
      <c r="AF106" s="820"/>
      <c r="AG106" s="820"/>
      <c r="AH106" s="820"/>
      <c r="AI106" s="820"/>
      <c r="AJ106" s="820"/>
      <c r="AK106" s="820"/>
      <c r="AL106" s="820"/>
      <c r="AM106" s="820"/>
      <c r="AN106" s="820"/>
      <c r="AO106" s="820"/>
      <c r="AP106" s="820"/>
      <c r="AQ106" s="820"/>
      <c r="AR106" s="820"/>
    </row>
    <row r="107" spans="1:44" ht="129.75" hidden="1" customHeight="1" thickBot="1" x14ac:dyDescent="0.35">
      <c r="A107" s="601">
        <v>571</v>
      </c>
      <c r="B107" s="818" t="s">
        <v>369</v>
      </c>
      <c r="C107" s="822" t="s">
        <v>1115</v>
      </c>
      <c r="D107" s="822" t="s">
        <v>1116</v>
      </c>
      <c r="E107" s="670" t="e">
        <f>HLOOKUP($D$2,'2020 Data(H)'!$C$1:$CZ$426,221,FALSE)</f>
        <v>#N/A</v>
      </c>
      <c r="F107" s="294">
        <v>0</v>
      </c>
      <c r="G107" s="731"/>
      <c r="H107" s="17"/>
      <c r="I107" s="79"/>
      <c r="J107" s="576"/>
      <c r="L107" s="705"/>
      <c r="Z107" s="820"/>
      <c r="AA107" s="820"/>
      <c r="AB107" s="820"/>
      <c r="AC107" s="820"/>
      <c r="AD107" s="820"/>
      <c r="AE107" s="820"/>
      <c r="AF107" s="820"/>
      <c r="AG107" s="820"/>
      <c r="AH107" s="820"/>
      <c r="AI107" s="820"/>
      <c r="AJ107" s="820"/>
      <c r="AK107" s="820"/>
      <c r="AL107" s="820"/>
      <c r="AM107" s="820"/>
      <c r="AN107" s="820"/>
      <c r="AO107" s="820"/>
      <c r="AP107" s="820"/>
      <c r="AQ107" s="820"/>
      <c r="AR107" s="820"/>
    </row>
    <row r="108" spans="1:44" ht="128.25" hidden="1" customHeight="1" thickBot="1" x14ac:dyDescent="0.35">
      <c r="A108" s="601">
        <v>572</v>
      </c>
      <c r="B108" s="818" t="s">
        <v>59</v>
      </c>
      <c r="C108" s="822" t="s">
        <v>1115</v>
      </c>
      <c r="D108" s="822" t="s">
        <v>1117</v>
      </c>
      <c r="E108" s="670" t="e">
        <f>HLOOKUP($D$2,'2020 Data(H)'!$C$1:$CZ$426,222,FALSE)</f>
        <v>#N/A</v>
      </c>
      <c r="F108" s="294">
        <v>0</v>
      </c>
      <c r="G108" s="731"/>
      <c r="H108" s="17"/>
      <c r="I108" s="79"/>
      <c r="J108" s="576"/>
      <c r="L108" s="705"/>
      <c r="Z108" s="820"/>
      <c r="AA108" s="820"/>
      <c r="AB108" s="820"/>
      <c r="AC108" s="820"/>
      <c r="AD108" s="820"/>
      <c r="AE108" s="820"/>
      <c r="AF108" s="820"/>
      <c r="AG108" s="820"/>
      <c r="AH108" s="820"/>
      <c r="AI108" s="820"/>
      <c r="AJ108" s="820"/>
      <c r="AK108" s="820"/>
      <c r="AL108" s="820"/>
      <c r="AM108" s="820"/>
      <c r="AN108" s="820"/>
      <c r="AO108" s="820"/>
      <c r="AP108" s="820"/>
      <c r="AQ108" s="820"/>
      <c r="AR108" s="820"/>
    </row>
    <row r="109" spans="1:44" ht="120.75" hidden="1" customHeight="1" thickBot="1" x14ac:dyDescent="0.35">
      <c r="A109" s="601">
        <v>573</v>
      </c>
      <c r="B109" s="818" t="s">
        <v>369</v>
      </c>
      <c r="C109" s="822" t="s">
        <v>1115</v>
      </c>
      <c r="D109" s="822" t="s">
        <v>1275</v>
      </c>
      <c r="E109" s="670" t="e">
        <f>HLOOKUP($D$2,'2020 Data(H)'!$C$1:$CZ$426,223,FALSE)</f>
        <v>#N/A</v>
      </c>
      <c r="F109" s="294">
        <v>0</v>
      </c>
      <c r="G109" s="731"/>
      <c r="H109" s="17"/>
      <c r="I109" s="79"/>
      <c r="J109" s="576"/>
      <c r="L109" s="705"/>
      <c r="Z109" s="820"/>
      <c r="AA109" s="820"/>
      <c r="AB109" s="820"/>
      <c r="AC109" s="820"/>
      <c r="AD109" s="820"/>
      <c r="AE109" s="820"/>
      <c r="AF109" s="820"/>
      <c r="AG109" s="820"/>
      <c r="AH109" s="820"/>
      <c r="AI109" s="820"/>
      <c r="AJ109" s="820"/>
      <c r="AK109" s="820"/>
      <c r="AL109" s="820"/>
      <c r="AM109" s="820"/>
      <c r="AN109" s="820"/>
      <c r="AO109" s="820"/>
      <c r="AP109" s="820"/>
      <c r="AQ109" s="820"/>
      <c r="AR109" s="820"/>
    </row>
    <row r="110" spans="1:44" ht="99.75" hidden="1" customHeight="1" thickBot="1" x14ac:dyDescent="0.35">
      <c r="A110" s="601">
        <v>34</v>
      </c>
      <c r="B110" s="818" t="s">
        <v>369</v>
      </c>
      <c r="C110" s="4" t="s">
        <v>1090</v>
      </c>
      <c r="D110" s="660" t="s">
        <v>1270</v>
      </c>
      <c r="E110" s="670" t="e">
        <f>HLOOKUP($D$2,'2020 Data(H)'!$C$1:$CZ$426,22,FALSE)</f>
        <v>#N/A</v>
      </c>
      <c r="F110" s="294">
        <v>0</v>
      </c>
      <c r="G110" s="731"/>
      <c r="H110" s="17"/>
      <c r="I110" s="79"/>
      <c r="J110" s="576"/>
      <c r="L110" s="705"/>
      <c r="Z110" s="820"/>
      <c r="AA110" s="820"/>
      <c r="AB110" s="820"/>
      <c r="AC110" s="820"/>
      <c r="AD110" s="820"/>
      <c r="AE110" s="820"/>
      <c r="AF110" s="820"/>
      <c r="AG110" s="820"/>
      <c r="AH110" s="820"/>
      <c r="AI110" s="820"/>
      <c r="AJ110" s="820"/>
      <c r="AK110" s="820"/>
      <c r="AL110" s="820"/>
      <c r="AM110" s="820"/>
      <c r="AN110" s="820"/>
      <c r="AO110" s="820"/>
      <c r="AP110" s="820"/>
      <c r="AQ110" s="820"/>
      <c r="AR110" s="820"/>
    </row>
    <row r="111" spans="1:44" ht="117" hidden="1" customHeight="1" thickBot="1" x14ac:dyDescent="0.35">
      <c r="A111" s="601">
        <v>35</v>
      </c>
      <c r="B111" s="818" t="s">
        <v>369</v>
      </c>
      <c r="C111" s="4" t="s">
        <v>1090</v>
      </c>
      <c r="D111" s="660" t="s">
        <v>1282</v>
      </c>
      <c r="E111" s="670" t="e">
        <f>HLOOKUP($D$2,'2020 Data(H)'!$C$1:$CZ$426,23,FALSE)</f>
        <v>#N/A</v>
      </c>
      <c r="F111" s="294">
        <v>0</v>
      </c>
      <c r="G111" s="731"/>
      <c r="H111" s="17"/>
      <c r="I111" s="79"/>
      <c r="J111" s="576"/>
      <c r="L111" s="705"/>
      <c r="Z111" s="820"/>
      <c r="AA111" s="820"/>
      <c r="AB111" s="820"/>
      <c r="AC111" s="820"/>
      <c r="AD111" s="820"/>
      <c r="AE111" s="820"/>
      <c r="AF111" s="820"/>
      <c r="AG111" s="820"/>
      <c r="AH111" s="820"/>
      <c r="AI111" s="820"/>
      <c r="AJ111" s="820"/>
      <c r="AK111" s="820"/>
      <c r="AL111" s="820"/>
      <c r="AM111" s="820"/>
      <c r="AN111" s="820"/>
      <c r="AO111" s="820"/>
      <c r="AP111" s="820"/>
      <c r="AQ111" s="820"/>
      <c r="AR111" s="820"/>
    </row>
    <row r="112" spans="1:44" ht="108.75" hidden="1" customHeight="1" thickBot="1" x14ac:dyDescent="0.35">
      <c r="A112" s="601">
        <v>37</v>
      </c>
      <c r="B112" s="818" t="s">
        <v>369</v>
      </c>
      <c r="C112" s="4" t="s">
        <v>1090</v>
      </c>
      <c r="D112" s="660" t="s">
        <v>1195</v>
      </c>
      <c r="E112" s="670" t="e">
        <f>HLOOKUP($D$2,'2020 Data(H)'!$C$1:$CZ$426,25,FALSE)</f>
        <v>#N/A</v>
      </c>
      <c r="F112" s="294">
        <v>0</v>
      </c>
      <c r="G112" s="731"/>
      <c r="H112" s="17"/>
      <c r="I112" s="79"/>
      <c r="J112" s="576"/>
      <c r="L112" s="705"/>
      <c r="Z112" s="820"/>
      <c r="AA112" s="820"/>
      <c r="AB112" s="820"/>
      <c r="AC112" s="820"/>
      <c r="AD112" s="820"/>
      <c r="AE112" s="820"/>
      <c r="AF112" s="820"/>
      <c r="AG112" s="820"/>
      <c r="AH112" s="820"/>
      <c r="AI112" s="820"/>
      <c r="AJ112" s="820"/>
      <c r="AK112" s="820"/>
      <c r="AL112" s="820"/>
      <c r="AM112" s="820"/>
      <c r="AN112" s="820"/>
      <c r="AO112" s="820"/>
      <c r="AP112" s="820"/>
      <c r="AQ112" s="820"/>
      <c r="AR112" s="820"/>
    </row>
    <row r="113" spans="1:44" ht="102.75" hidden="1" customHeight="1" thickBot="1" x14ac:dyDescent="0.35">
      <c r="A113" s="601">
        <v>38</v>
      </c>
      <c r="B113" s="818" t="s">
        <v>369</v>
      </c>
      <c r="C113" s="4" t="s">
        <v>1090</v>
      </c>
      <c r="D113" s="660" t="s">
        <v>1093</v>
      </c>
      <c r="E113" s="670" t="e">
        <f>HLOOKUP($D$2,'2020 Data(H)'!$C$1:$CZ$426,26,FALSE)</f>
        <v>#N/A</v>
      </c>
      <c r="F113" s="294">
        <v>0</v>
      </c>
      <c r="G113" s="731"/>
      <c r="H113" s="17"/>
      <c r="I113" s="79"/>
      <c r="J113" s="576"/>
      <c r="L113" s="705"/>
      <c r="Z113" s="820"/>
      <c r="AA113" s="820"/>
      <c r="AB113" s="820"/>
      <c r="AC113" s="820"/>
      <c r="AD113" s="820"/>
      <c r="AE113" s="820"/>
      <c r="AF113" s="820"/>
      <c r="AG113" s="820"/>
      <c r="AH113" s="820"/>
      <c r="AI113" s="820"/>
      <c r="AJ113" s="820"/>
      <c r="AK113" s="820"/>
      <c r="AL113" s="820"/>
      <c r="AM113" s="820"/>
      <c r="AN113" s="820"/>
      <c r="AO113" s="820"/>
      <c r="AP113" s="820"/>
      <c r="AQ113" s="820"/>
      <c r="AR113" s="820"/>
    </row>
    <row r="114" spans="1:44" ht="117.75" customHeight="1" thickBot="1" x14ac:dyDescent="0.35">
      <c r="A114" s="601">
        <v>32</v>
      </c>
      <c r="B114" s="818" t="s">
        <v>455</v>
      </c>
      <c r="C114" s="821" t="s">
        <v>1080</v>
      </c>
      <c r="D114" s="821" t="s">
        <v>1081</v>
      </c>
      <c r="E114" s="670" t="e">
        <f>HLOOKUP($D$2,'2020 Data(H)'!$C$1:$CZ$426,20,FALSE)</f>
        <v>#N/A</v>
      </c>
      <c r="F114" s="294">
        <v>0</v>
      </c>
      <c r="G114" s="731"/>
      <c r="H114" s="17"/>
      <c r="I114" s="79"/>
      <c r="J114" s="576"/>
      <c r="L114" s="705"/>
      <c r="Z114" s="820"/>
      <c r="AA114" s="820"/>
      <c r="AB114" s="820"/>
      <c r="AC114" s="820"/>
      <c r="AD114" s="820"/>
      <c r="AE114" s="820"/>
      <c r="AF114" s="820"/>
      <c r="AG114" s="820"/>
      <c r="AH114" s="820"/>
      <c r="AI114" s="820"/>
      <c r="AJ114" s="820"/>
      <c r="AK114" s="820"/>
      <c r="AL114" s="820"/>
      <c r="AM114" s="820"/>
      <c r="AN114" s="820"/>
      <c r="AO114" s="820"/>
      <c r="AP114" s="820"/>
      <c r="AQ114" s="820"/>
      <c r="AR114" s="820"/>
    </row>
    <row r="115" spans="1:44" ht="116.25" hidden="1" customHeight="1" thickBot="1" x14ac:dyDescent="0.35">
      <c r="A115" s="601">
        <v>40</v>
      </c>
      <c r="B115" s="818" t="s">
        <v>369</v>
      </c>
      <c r="C115" s="821" t="s">
        <v>1094</v>
      </c>
      <c r="D115" s="660" t="s">
        <v>1095</v>
      </c>
      <c r="E115" s="670" t="e">
        <f>HLOOKUP($D$2,'2020 Data(H)'!$C$1:$CZ$426,28,FALSE)</f>
        <v>#N/A</v>
      </c>
      <c r="F115" s="294">
        <v>0</v>
      </c>
      <c r="G115" s="731"/>
      <c r="H115" s="17"/>
      <c r="I115" s="79"/>
      <c r="J115" s="576"/>
      <c r="L115" s="705"/>
      <c r="Z115" s="820"/>
      <c r="AA115" s="820"/>
      <c r="AB115" s="820"/>
      <c r="AC115" s="820"/>
      <c r="AD115" s="820"/>
      <c r="AE115" s="820"/>
      <c r="AF115" s="820"/>
      <c r="AG115" s="820"/>
      <c r="AH115" s="820"/>
      <c r="AI115" s="820"/>
      <c r="AJ115" s="820"/>
      <c r="AK115" s="820"/>
      <c r="AL115" s="820"/>
      <c r="AM115" s="820"/>
      <c r="AN115" s="820"/>
      <c r="AO115" s="820"/>
      <c r="AP115" s="820"/>
      <c r="AQ115" s="820"/>
      <c r="AR115" s="820"/>
    </row>
    <row r="116" spans="1:44" ht="104.25" hidden="1" customHeight="1" thickBot="1" x14ac:dyDescent="0.35">
      <c r="A116" s="601">
        <v>107</v>
      </c>
      <c r="B116" s="818" t="s">
        <v>369</v>
      </c>
      <c r="C116" s="821" t="s">
        <v>1094</v>
      </c>
      <c r="D116" s="660" t="s">
        <v>1096</v>
      </c>
      <c r="E116" s="670" t="e">
        <f>HLOOKUP($D$2,'2020 Data(H)'!$C$1:$CZ$426,65,FALSE)</f>
        <v>#N/A</v>
      </c>
      <c r="F116" s="294">
        <v>0</v>
      </c>
      <c r="G116" s="731"/>
      <c r="H116" s="17"/>
      <c r="I116" s="79"/>
      <c r="J116" s="576"/>
      <c r="L116" s="705"/>
      <c r="Z116" s="820"/>
      <c r="AA116" s="820"/>
      <c r="AB116" s="820"/>
      <c r="AC116" s="820"/>
      <c r="AD116" s="820"/>
      <c r="AE116" s="820"/>
      <c r="AF116" s="820"/>
      <c r="AG116" s="820"/>
      <c r="AH116" s="820"/>
      <c r="AI116" s="820"/>
      <c r="AJ116" s="820"/>
      <c r="AK116" s="820"/>
      <c r="AL116" s="820"/>
      <c r="AM116" s="820"/>
      <c r="AN116" s="820"/>
      <c r="AO116" s="820"/>
      <c r="AP116" s="820"/>
      <c r="AQ116" s="820"/>
      <c r="AR116" s="820"/>
    </row>
    <row r="117" spans="1:44" ht="107.25" hidden="1" customHeight="1" thickBot="1" x14ac:dyDescent="0.35">
      <c r="A117" s="601">
        <v>108</v>
      </c>
      <c r="B117" s="818" t="s">
        <v>369</v>
      </c>
      <c r="C117" s="821" t="s">
        <v>1094</v>
      </c>
      <c r="D117" s="660" t="s">
        <v>1196</v>
      </c>
      <c r="E117" s="670" t="e">
        <f>HLOOKUP($D$2,'2020 Data(H)'!$C$1:$CZ$426,66,FALSE)</f>
        <v>#N/A</v>
      </c>
      <c r="F117" s="294">
        <v>0</v>
      </c>
      <c r="G117" s="731"/>
      <c r="H117" s="17"/>
      <c r="I117" s="79"/>
      <c r="J117" s="576"/>
      <c r="L117" s="705"/>
      <c r="Z117" s="820"/>
      <c r="AA117" s="820"/>
      <c r="AB117" s="820"/>
      <c r="AC117" s="820"/>
      <c r="AD117" s="820"/>
      <c r="AE117" s="820"/>
      <c r="AF117" s="820"/>
      <c r="AG117" s="820"/>
      <c r="AH117" s="820"/>
      <c r="AI117" s="820"/>
      <c r="AJ117" s="820"/>
      <c r="AK117" s="820"/>
      <c r="AL117" s="820"/>
      <c r="AM117" s="820"/>
      <c r="AN117" s="820"/>
      <c r="AO117" s="820"/>
      <c r="AP117" s="820"/>
      <c r="AQ117" s="820"/>
      <c r="AR117" s="820"/>
    </row>
    <row r="118" spans="1:44" ht="93" hidden="1" customHeight="1" thickBot="1" x14ac:dyDescent="0.35">
      <c r="A118" s="601">
        <v>41</v>
      </c>
      <c r="B118" s="818" t="s">
        <v>369</v>
      </c>
      <c r="C118" s="821" t="s">
        <v>1094</v>
      </c>
      <c r="D118" s="660" t="s">
        <v>1197</v>
      </c>
      <c r="E118" s="670" t="e">
        <f>HLOOKUP($D$2,'2020 Data(H)'!$C$1:$CZ$426,29,FALSE)</f>
        <v>#N/A</v>
      </c>
      <c r="F118" s="294">
        <v>0</v>
      </c>
      <c r="G118" s="731"/>
      <c r="H118" s="17"/>
      <c r="I118" s="79"/>
      <c r="J118" s="576"/>
      <c r="L118" s="705"/>
      <c r="Z118" s="820"/>
      <c r="AA118" s="820"/>
      <c r="AB118" s="820"/>
      <c r="AC118" s="820"/>
      <c r="AD118" s="820"/>
      <c r="AE118" s="820"/>
      <c r="AF118" s="820"/>
      <c r="AG118" s="820"/>
      <c r="AH118" s="820"/>
      <c r="AI118" s="820"/>
      <c r="AJ118" s="820"/>
      <c r="AK118" s="820"/>
      <c r="AL118" s="820"/>
      <c r="AM118" s="820"/>
      <c r="AN118" s="820"/>
      <c r="AO118" s="820"/>
      <c r="AP118" s="820"/>
      <c r="AQ118" s="820"/>
      <c r="AR118" s="820"/>
    </row>
    <row r="119" spans="1:44" ht="120.75" hidden="1" customHeight="1" thickBot="1" x14ac:dyDescent="0.35">
      <c r="A119" s="601">
        <v>194</v>
      </c>
      <c r="B119" s="818" t="s">
        <v>369</v>
      </c>
      <c r="C119" s="821" t="s">
        <v>1094</v>
      </c>
      <c r="D119" s="660" t="s">
        <v>1097</v>
      </c>
      <c r="E119" s="670" t="e">
        <f>HLOOKUP($D$2,'2020 Data(H)'!$C$1:$CZ$426,75,FALSE)</f>
        <v>#N/A</v>
      </c>
      <c r="F119" s="294">
        <v>0</v>
      </c>
      <c r="G119" s="731"/>
      <c r="H119" s="17"/>
      <c r="I119" s="79"/>
      <c r="J119" s="576"/>
      <c r="L119" s="705"/>
      <c r="Z119" s="820"/>
      <c r="AA119" s="820"/>
      <c r="AB119" s="820"/>
      <c r="AC119" s="820"/>
      <c r="AD119" s="820"/>
      <c r="AE119" s="820"/>
      <c r="AF119" s="820"/>
      <c r="AG119" s="820"/>
      <c r="AH119" s="820"/>
      <c r="AI119" s="820"/>
      <c r="AJ119" s="820"/>
      <c r="AK119" s="820"/>
      <c r="AL119" s="820"/>
      <c r="AM119" s="820"/>
      <c r="AN119" s="820"/>
      <c r="AO119" s="820"/>
      <c r="AP119" s="820"/>
      <c r="AQ119" s="820"/>
      <c r="AR119" s="820"/>
    </row>
    <row r="120" spans="1:44" ht="123.75" hidden="1" customHeight="1" thickBot="1" x14ac:dyDescent="0.35">
      <c r="A120" s="601">
        <v>294</v>
      </c>
      <c r="B120" s="818" t="s">
        <v>369</v>
      </c>
      <c r="C120" s="821" t="s">
        <v>1094</v>
      </c>
      <c r="D120" s="660" t="s">
        <v>1098</v>
      </c>
      <c r="E120" s="670" t="e">
        <f>HLOOKUP($D$2,'2020 Data(H)'!$C$1:$CZ$426,83,FALSE)</f>
        <v>#N/A</v>
      </c>
      <c r="F120" s="294">
        <v>0</v>
      </c>
      <c r="G120" s="731"/>
      <c r="H120" s="17"/>
      <c r="I120" s="79"/>
      <c r="J120" s="576"/>
      <c r="L120" s="705"/>
      <c r="Z120" s="820"/>
      <c r="AA120" s="820"/>
      <c r="AB120" s="820"/>
      <c r="AC120" s="820"/>
      <c r="AD120" s="820"/>
      <c r="AE120" s="820"/>
      <c r="AF120" s="820"/>
      <c r="AG120" s="820"/>
      <c r="AH120" s="820"/>
      <c r="AI120" s="820"/>
      <c r="AJ120" s="820"/>
      <c r="AK120" s="820"/>
      <c r="AL120" s="820"/>
      <c r="AM120" s="820"/>
      <c r="AN120" s="820"/>
      <c r="AO120" s="820"/>
      <c r="AP120" s="820"/>
      <c r="AQ120" s="820"/>
      <c r="AR120" s="820"/>
    </row>
    <row r="121" spans="1:44" hidden="1" x14ac:dyDescent="0.3">
      <c r="A121" s="801"/>
      <c r="E121" s="670"/>
      <c r="Z121" s="18"/>
    </row>
    <row r="122" spans="1:44" hidden="1" x14ac:dyDescent="0.3">
      <c r="A122" s="801"/>
      <c r="E122" s="670"/>
      <c r="Z122" s="18"/>
    </row>
    <row r="123" spans="1:44" ht="129.75" customHeight="1" thickBot="1" x14ac:dyDescent="0.35">
      <c r="A123" s="601">
        <v>31</v>
      </c>
      <c r="B123" s="818" t="s">
        <v>455</v>
      </c>
      <c r="C123" s="821" t="s">
        <v>1080</v>
      </c>
      <c r="D123" s="821" t="s">
        <v>1082</v>
      </c>
      <c r="E123" s="670" t="e">
        <f>HLOOKUP($D$2,'2020 Data(H)'!$C$1:$CZ$426,19,FALSE)</f>
        <v>#N/A</v>
      </c>
      <c r="F123" s="294">
        <v>0</v>
      </c>
      <c r="G123" s="731"/>
      <c r="H123" s="17"/>
      <c r="I123" s="79"/>
      <c r="J123" s="576"/>
      <c r="L123" s="705"/>
      <c r="Z123" s="820"/>
      <c r="AA123" s="820"/>
      <c r="AB123" s="820"/>
      <c r="AC123" s="820"/>
      <c r="AD123" s="820"/>
      <c r="AE123" s="820"/>
      <c r="AF123" s="820"/>
      <c r="AG123" s="820"/>
      <c r="AH123" s="820"/>
      <c r="AI123" s="820"/>
      <c r="AJ123" s="820"/>
      <c r="AK123" s="820"/>
      <c r="AL123" s="820"/>
      <c r="AM123" s="820"/>
      <c r="AN123" s="820"/>
      <c r="AO123" s="820"/>
      <c r="AP123" s="820"/>
      <c r="AQ123" s="820"/>
      <c r="AR123" s="820"/>
    </row>
    <row r="124" spans="1:44" ht="94.5" customHeight="1" thickBot="1" x14ac:dyDescent="0.35">
      <c r="A124" s="992">
        <v>193</v>
      </c>
      <c r="B124" s="818" t="s">
        <v>455</v>
      </c>
      <c r="C124" s="821" t="s">
        <v>1083</v>
      </c>
      <c r="D124" s="821" t="s">
        <v>311</v>
      </c>
      <c r="E124" s="670" t="e">
        <f>HLOOKUP($D$2,'2020 Data(H)'!$C$1:$CZ$426,74,FALSE)</f>
        <v>#N/A</v>
      </c>
      <c r="F124" s="294">
        <v>0</v>
      </c>
      <c r="G124" s="731"/>
      <c r="H124" s="17"/>
      <c r="I124" s="79"/>
      <c r="J124" s="576"/>
      <c r="L124" s="705"/>
      <c r="Z124" s="820"/>
      <c r="AA124" s="820"/>
      <c r="AB124" s="820"/>
      <c r="AC124" s="820"/>
      <c r="AD124" s="820"/>
      <c r="AE124" s="820"/>
      <c r="AF124" s="820"/>
      <c r="AG124" s="820"/>
      <c r="AH124" s="820"/>
      <c r="AI124" s="820"/>
      <c r="AJ124" s="820"/>
      <c r="AK124" s="820"/>
      <c r="AL124" s="820"/>
      <c r="AM124" s="820"/>
      <c r="AN124" s="820"/>
      <c r="AO124" s="820"/>
      <c r="AP124" s="820"/>
      <c r="AQ124" s="820"/>
      <c r="AR124" s="820"/>
    </row>
    <row r="125" spans="1:44" ht="78" customHeight="1" thickBot="1" x14ac:dyDescent="0.35">
      <c r="A125" s="984">
        <v>33</v>
      </c>
      <c r="B125" s="818" t="s">
        <v>455</v>
      </c>
      <c r="C125" s="821" t="s">
        <v>1083</v>
      </c>
      <c r="D125" s="821" t="s">
        <v>299</v>
      </c>
      <c r="E125" s="670" t="e">
        <f>HLOOKUP($D$2,'2020 Data(H)'!$C$1:$CZ$426,21,FALSE)</f>
        <v>#N/A</v>
      </c>
      <c r="F125" s="294">
        <v>0</v>
      </c>
      <c r="G125" s="731"/>
      <c r="H125" s="17"/>
      <c r="I125" s="79"/>
      <c r="J125" s="576"/>
      <c r="L125" s="705"/>
      <c r="Z125" s="820"/>
      <c r="AA125" s="820"/>
      <c r="AB125" s="820"/>
      <c r="AC125" s="820"/>
      <c r="AD125" s="820"/>
      <c r="AE125" s="820"/>
      <c r="AF125" s="820"/>
      <c r="AG125" s="820"/>
      <c r="AH125" s="820"/>
      <c r="AI125" s="820"/>
      <c r="AJ125" s="820"/>
      <c r="AK125" s="820"/>
      <c r="AL125" s="820"/>
      <c r="AM125" s="820"/>
      <c r="AN125" s="820"/>
      <c r="AO125" s="820"/>
      <c r="AP125" s="820"/>
      <c r="AQ125" s="820"/>
      <c r="AR125" s="820"/>
    </row>
    <row r="126" spans="1:44" ht="55.5" hidden="1" customHeight="1" thickBot="1" x14ac:dyDescent="0.35">
      <c r="A126" s="601">
        <v>104</v>
      </c>
      <c r="B126" s="818" t="s">
        <v>455</v>
      </c>
      <c r="C126" s="4" t="s">
        <v>1099</v>
      </c>
      <c r="D126" s="660" t="s">
        <v>1100</v>
      </c>
      <c r="E126" s="670" t="e">
        <f>HLOOKUP($D$2,'2020 Data(H)'!$C$1:$CZ$426,64,FALSE)</f>
        <v>#N/A</v>
      </c>
      <c r="F126" s="294">
        <v>0</v>
      </c>
      <c r="G126" s="731"/>
      <c r="H126" s="17"/>
      <c r="I126" s="79"/>
      <c r="J126" s="576"/>
      <c r="L126" s="705"/>
      <c r="Z126" s="820"/>
      <c r="AA126" s="820"/>
      <c r="AB126" s="820"/>
      <c r="AC126" s="820"/>
      <c r="AD126" s="820"/>
      <c r="AE126" s="820"/>
      <c r="AF126" s="820"/>
      <c r="AG126" s="820"/>
      <c r="AH126" s="820"/>
      <c r="AI126" s="820"/>
      <c r="AJ126" s="820"/>
      <c r="AK126" s="820"/>
      <c r="AL126" s="820"/>
      <c r="AM126" s="820"/>
      <c r="AN126" s="820"/>
      <c r="AO126" s="820"/>
      <c r="AP126" s="820"/>
      <c r="AQ126" s="820"/>
      <c r="AR126" s="820"/>
    </row>
    <row r="127" spans="1:44" ht="70.5" hidden="1" customHeight="1" thickBot="1" x14ac:dyDescent="0.35">
      <c r="A127" s="601">
        <v>39</v>
      </c>
      <c r="B127" s="818" t="s">
        <v>455</v>
      </c>
      <c r="C127" s="4" t="s">
        <v>1099</v>
      </c>
      <c r="D127" s="24" t="s">
        <v>1101</v>
      </c>
      <c r="E127" s="670" t="e">
        <f>HLOOKUP($D$2,'2020 Data(H)'!$C$1:$CZ$426,27,FALSE)</f>
        <v>#N/A</v>
      </c>
      <c r="F127" s="294">
        <v>0</v>
      </c>
      <c r="G127" s="731"/>
      <c r="H127" s="17"/>
      <c r="I127" s="79"/>
      <c r="J127" s="576"/>
      <c r="L127" s="705"/>
      <c r="Z127" s="820"/>
      <c r="AA127" s="820"/>
      <c r="AB127" s="820"/>
      <c r="AC127" s="820"/>
      <c r="AD127" s="820"/>
      <c r="AE127" s="820"/>
      <c r="AF127" s="820"/>
      <c r="AG127" s="820"/>
      <c r="AH127" s="820"/>
      <c r="AI127" s="820"/>
      <c r="AJ127" s="820"/>
      <c r="AK127" s="820"/>
      <c r="AL127" s="820"/>
      <c r="AM127" s="820"/>
      <c r="AN127" s="820"/>
      <c r="AO127" s="820"/>
      <c r="AP127" s="820"/>
      <c r="AQ127" s="820"/>
      <c r="AR127" s="820"/>
    </row>
    <row r="128" spans="1:44" ht="15" hidden="1" thickBot="1" x14ac:dyDescent="0.35">
      <c r="A128" s="108"/>
      <c r="B128" s="859" t="s">
        <v>1198</v>
      </c>
      <c r="C128" s="859"/>
      <c r="D128" s="843"/>
      <c r="E128" s="843"/>
      <c r="F128" s="863"/>
      <c r="G128" s="864"/>
      <c r="H128" s="17"/>
      <c r="I128" s="79"/>
      <c r="L128" s="70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9" t="s">
        <v>24</v>
      </c>
      <c r="C129" s="859"/>
      <c r="D129" s="859"/>
      <c r="E129" s="841"/>
      <c r="F129" s="865"/>
      <c r="G129" s="866"/>
      <c r="H129" s="17"/>
      <c r="I129" s="79"/>
      <c r="L129" s="70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9" t="s">
        <v>22</v>
      </c>
      <c r="C130" s="859"/>
      <c r="D130" s="859"/>
      <c r="E130" s="841"/>
      <c r="F130" s="865"/>
      <c r="G130" s="866"/>
      <c r="H130" s="746"/>
      <c r="I130" s="79"/>
      <c r="L130" s="70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2" t="s">
        <v>57</v>
      </c>
      <c r="C131" s="823"/>
      <c r="D131" s="669" t="s">
        <v>378</v>
      </c>
      <c r="E131" s="670" t="e">
        <f>HLOOKUP($D$2,'2020 Data(H)'!$C$1:$CZ$426,255,FALSE)</f>
        <v>#N/A</v>
      </c>
      <c r="F131" s="294"/>
      <c r="G131" s="747"/>
      <c r="H131" s="746"/>
      <c r="I131" s="79"/>
      <c r="L131" s="70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1199</v>
      </c>
      <c r="D132" s="24" t="s">
        <v>1200</v>
      </c>
      <c r="E132" s="670" t="e">
        <f>HLOOKUP($D$2,'2020 Data(H)'!$C$1:$CZ$426,44,FALSE)</f>
        <v>#N/A</v>
      </c>
      <c r="F132" s="274">
        <v>0</v>
      </c>
      <c r="G132" s="670" t="e">
        <f>HLOOKUP($D$2,'2020 Data(H)'!C1:BS295,249,FALSE)</f>
        <v>#N/A</v>
      </c>
      <c r="H132" s="748"/>
      <c r="I132" s="79"/>
      <c r="L132" s="70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1199</v>
      </c>
      <c r="D133" s="24" t="s">
        <v>1201</v>
      </c>
      <c r="E133" s="670" t="e">
        <f>HLOOKUP($D$2,'2020 Data(H)'!$C$1:$CZ$426,45,FALSE)</f>
        <v>#N/A</v>
      </c>
      <c r="F133" s="294">
        <v>0</v>
      </c>
      <c r="G133" s="741"/>
      <c r="H133" s="17"/>
      <c r="I133" s="79"/>
      <c r="L133" s="70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4" t="s">
        <v>353</v>
      </c>
      <c r="C134" s="672" t="s">
        <v>1199</v>
      </c>
      <c r="D134" s="825" t="s">
        <v>1202</v>
      </c>
      <c r="E134" s="670" t="e">
        <f>HLOOKUP($D$2,'2020 Data(H)'!$C$1:$CZ$426,229,FALSE)</f>
        <v>#N/A</v>
      </c>
      <c r="F134" s="294">
        <v>0</v>
      </c>
      <c r="G134" s="731"/>
      <c r="H134" s="17"/>
      <c r="I134" s="732"/>
      <c r="L134" s="70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1199</v>
      </c>
      <c r="D135" s="29" t="s">
        <v>325</v>
      </c>
      <c r="E135" s="670" t="e">
        <f>HLOOKUP($D$2,'2020 Data(H)'!$C$1:$CZ$426,160,FALSE)</f>
        <v>#N/A</v>
      </c>
      <c r="F135" s="294">
        <v>0</v>
      </c>
      <c r="G135" s="74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7">
        <v>654</v>
      </c>
      <c r="B136" s="826" t="s">
        <v>37</v>
      </c>
      <c r="C136" s="826" t="s">
        <v>1199</v>
      </c>
      <c r="D136" s="338" t="s">
        <v>1203</v>
      </c>
      <c r="E136" s="670" t="e">
        <f>HLOOKUP($D$2,'2020 Data(H)'!$C$1:$CZ$426,307,FALSE)</f>
        <v>#N/A</v>
      </c>
      <c r="F136" s="294">
        <v>0</v>
      </c>
      <c r="G136" s="731">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hidden="1" customHeight="1" x14ac:dyDescent="0.3">
      <c r="A137" s="307">
        <v>655</v>
      </c>
      <c r="B137" s="826" t="s">
        <v>37</v>
      </c>
      <c r="C137" s="826" t="s">
        <v>1199</v>
      </c>
      <c r="D137" s="309" t="s">
        <v>604</v>
      </c>
      <c r="E137" s="670" t="e">
        <f>HLOOKUP($D$2,'2020 Data(H)'!$C$1:$CZ$426,308,FALSE)</f>
        <v>#N/A</v>
      </c>
      <c r="F137" s="294">
        <v>0</v>
      </c>
      <c r="G137" s="731"/>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hidden="1" customHeight="1" x14ac:dyDescent="0.3">
      <c r="A138" s="108">
        <v>381</v>
      </c>
      <c r="B138" s="4" t="s">
        <v>37</v>
      </c>
      <c r="C138" s="4" t="s">
        <v>1199</v>
      </c>
      <c r="D138" s="106" t="s">
        <v>130</v>
      </c>
      <c r="E138" s="670" t="e">
        <f>HLOOKUP($D$2,'2020 Data(H)'!$C$1:$CZ$426,140,FALSE)</f>
        <v>#N/A</v>
      </c>
      <c r="F138" s="294">
        <v>0</v>
      </c>
      <c r="G138" s="73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2" t="s">
        <v>59</v>
      </c>
      <c r="C139" s="672" t="s">
        <v>1199</v>
      </c>
      <c r="D139" s="825" t="s">
        <v>1204</v>
      </c>
      <c r="E139" s="670" t="e">
        <f>HLOOKUP($D$2,'2020 Data(H)'!$C$1:$CZ$426,228,FALSE)</f>
        <v>#N/A</v>
      </c>
      <c r="F139" s="294">
        <v>0</v>
      </c>
      <c r="G139" s="731"/>
      <c r="H139" s="732"/>
      <c r="I139" s="73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8">
        <v>633</v>
      </c>
      <c r="B140" s="826" t="s">
        <v>603</v>
      </c>
      <c r="C140" s="826" t="s">
        <v>459</v>
      </c>
      <c r="D140" s="338" t="s">
        <v>1283</v>
      </c>
      <c r="E140" s="670" t="e">
        <f>HLOOKUP($D$2,'2020 Data(H)'!$C$1:$CZ$426,292,FALSE)</f>
        <v>#N/A</v>
      </c>
      <c r="F140" s="294">
        <v>0</v>
      </c>
      <c r="G140" s="749" t="str">
        <f>IF(F140&gt;=(F141+F142+F143+F144+F145+F146),"","Account 633 is less than the total sum of accounts 634 through 638 + 383")</f>
        <v/>
      </c>
      <c r="H140" s="755">
        <f>F140-(F141+F142+F143+F144+F145+F146)</f>
        <v>0</v>
      </c>
      <c r="I140" s="736"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hidden="1" customHeight="1" x14ac:dyDescent="0.3">
      <c r="A141" s="307">
        <v>634</v>
      </c>
      <c r="B141" s="827" t="s">
        <v>455</v>
      </c>
      <c r="C141" s="826" t="s">
        <v>459</v>
      </c>
      <c r="D141" s="338" t="s">
        <v>1285</v>
      </c>
      <c r="E141" s="670" t="e">
        <f>HLOOKUP($D$2,'2020 Data(H)'!$C$1:$CZ$426,293,FALSE)</f>
        <v>#N/A</v>
      </c>
      <c r="F141" s="294">
        <v>0</v>
      </c>
      <c r="G141" s="750">
        <f>IF(F141&gt;F140,"Please review account numbers 634&gt;633",)</f>
        <v>0</v>
      </c>
      <c r="H141" s="736"/>
      <c r="I141" s="736"/>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hidden="1" customHeight="1" x14ac:dyDescent="0.3">
      <c r="A142" s="307">
        <v>635</v>
      </c>
      <c r="B142" s="827" t="s">
        <v>455</v>
      </c>
      <c r="C142" s="826" t="s">
        <v>459</v>
      </c>
      <c r="D142" s="338" t="s">
        <v>1284</v>
      </c>
      <c r="E142" s="670" t="e">
        <f>HLOOKUP($D$2,'2020 Data(H)'!$C$1:$CZ$426,294,FALSE)</f>
        <v>#N/A</v>
      </c>
      <c r="F142" s="294">
        <v>0</v>
      </c>
      <c r="G142" s="750">
        <f>IF(F142&gt;F140,"Please review account numbers 635&gt;633",)</f>
        <v>0</v>
      </c>
      <c r="H142" s="736"/>
      <c r="I142" s="736"/>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hidden="1" customHeight="1" x14ac:dyDescent="0.3">
      <c r="A143" s="307">
        <v>636</v>
      </c>
      <c r="B143" s="827" t="s">
        <v>455</v>
      </c>
      <c r="C143" s="826" t="s">
        <v>459</v>
      </c>
      <c r="D143" s="338" t="s">
        <v>1289</v>
      </c>
      <c r="E143" s="670" t="e">
        <f>HLOOKUP($D$2,'2020 Data(H)'!$C$1:$CZ$426,295,FALSE)</f>
        <v>#N/A</v>
      </c>
      <c r="F143" s="294">
        <v>0</v>
      </c>
      <c r="G143" s="750">
        <f>IF(F143&gt;F140,"Please review account numbers 636&gt;633",)</f>
        <v>0</v>
      </c>
      <c r="H143" s="736"/>
      <c r="I143" s="736"/>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hidden="1" customHeight="1" x14ac:dyDescent="0.3">
      <c r="A144" s="307">
        <v>637</v>
      </c>
      <c r="B144" s="827" t="s">
        <v>455</v>
      </c>
      <c r="C144" s="826" t="s">
        <v>459</v>
      </c>
      <c r="D144" s="338" t="s">
        <v>1288</v>
      </c>
      <c r="E144" s="670" t="e">
        <f>HLOOKUP($D$2,'2020 Data(H)'!$C$1:$CZ$426,296,FALSE)</f>
        <v>#N/A</v>
      </c>
      <c r="F144" s="294">
        <v>0</v>
      </c>
      <c r="G144" s="750">
        <f>IF(F144&gt;F140,"Please review account numbers 637&gt;633",)</f>
        <v>0</v>
      </c>
      <c r="H144" s="736"/>
      <c r="I144" s="736"/>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hidden="1" customHeight="1" x14ac:dyDescent="0.3">
      <c r="A145" s="307">
        <v>638</v>
      </c>
      <c r="B145" s="827" t="s">
        <v>455</v>
      </c>
      <c r="C145" s="826" t="s">
        <v>459</v>
      </c>
      <c r="D145" s="338" t="s">
        <v>1287</v>
      </c>
      <c r="E145" s="670" t="e">
        <f>HLOOKUP($D$2,'2020 Data(H)'!$C$1:$CZ$426,297,FALSE)</f>
        <v>#N/A</v>
      </c>
      <c r="F145" s="294">
        <v>0</v>
      </c>
      <c r="G145" s="750">
        <f>IF(F145&gt;F140,"Please review account numbers 638&gt;633",)</f>
        <v>0</v>
      </c>
      <c r="H145" s="736"/>
      <c r="I145" s="736"/>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hidden="1" customHeight="1" x14ac:dyDescent="0.3">
      <c r="A146" s="108">
        <v>383</v>
      </c>
      <c r="B146" s="4" t="s">
        <v>62</v>
      </c>
      <c r="C146" s="4" t="s">
        <v>1199</v>
      </c>
      <c r="D146" s="29" t="s">
        <v>1286</v>
      </c>
      <c r="E146" s="670" t="e">
        <f>HLOOKUP($D$2,'2020 Data(H)'!$C$1:$CZ$426,142,FALSE)</f>
        <v>#N/A</v>
      </c>
      <c r="F146" s="294">
        <v>0</v>
      </c>
      <c r="G146" s="751">
        <f>IF(F146&gt;F140,"Error: Please review components of current liabilities above. Account number 383&gt;633",)</f>
        <v>0</v>
      </c>
      <c r="H146" s="75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1199</v>
      </c>
      <c r="D147" s="107" t="s">
        <v>153</v>
      </c>
      <c r="E147" s="670" t="e">
        <f>HLOOKUP($D$2,'2020 Data(H)'!$C$1:$CZ$426,113,FALSE)</f>
        <v>#N/A</v>
      </c>
      <c r="F147" s="294">
        <v>0</v>
      </c>
      <c r="G147" s="73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1199</v>
      </c>
      <c r="D148" s="709" t="s">
        <v>1205</v>
      </c>
      <c r="E148" s="670" t="e">
        <f>HLOOKUP($D$2,'2020 Data(H)'!$C$1:$CZ$426,134,FALSE)</f>
        <v>#N/A</v>
      </c>
      <c r="F148" s="294">
        <v>0</v>
      </c>
      <c r="G148" s="74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1199</v>
      </c>
      <c r="D149" s="107" t="s">
        <v>154</v>
      </c>
      <c r="E149" s="670" t="e">
        <f>HLOOKUP($D$2,'2020 Data(H)'!$C$1:$CZ$426,47,FALSE)</f>
        <v>#N/A</v>
      </c>
      <c r="F149" s="294">
        <v>0</v>
      </c>
      <c r="G149" s="731">
        <f>IF(F138-F147-F149=0,,"Error: Total assets less total liabilities do not equal total net assets.  Account numbers 381-349-83=0  The amount of the formula is in the cell to the right")</f>
        <v>0</v>
      </c>
      <c r="H149" s="73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7" t="s">
        <v>155</v>
      </c>
      <c r="C150" s="868"/>
      <c r="D150" s="843"/>
      <c r="E150" s="843"/>
      <c r="F150" s="863"/>
      <c r="G150" s="864"/>
      <c r="H150" s="74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1206</v>
      </c>
      <c r="D151" s="24" t="s">
        <v>1207</v>
      </c>
      <c r="E151" s="670" t="e">
        <f>HLOOKUP($D$2,'2020 Data(H)'!$C$1:$CZ$426,52,FALSE)</f>
        <v>#N/A</v>
      </c>
      <c r="F151" s="294">
        <v>0</v>
      </c>
      <c r="G151" s="731">
        <f>IF(F151&lt;0,"Note: Number is normally positive.",)</f>
        <v>0</v>
      </c>
      <c r="H151" s="75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1206</v>
      </c>
      <c r="D152" s="24" t="s">
        <v>1208</v>
      </c>
      <c r="E152" s="670" t="e">
        <f>HLOOKUP($D$2,'2020 Data(H)'!$C$1:$CZ$426,53,FALSE)</f>
        <v>#N/A</v>
      </c>
      <c r="F152" s="294">
        <v>0</v>
      </c>
      <c r="G152" s="73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2" t="s">
        <v>354</v>
      </c>
      <c r="C153" s="672" t="s">
        <v>1206</v>
      </c>
      <c r="D153" s="825" t="s">
        <v>1209</v>
      </c>
      <c r="E153" s="670" t="e">
        <f>HLOOKUP($D$2,'2020 Data(H)'!$C$1:$CZ$426,231,FALSE)</f>
        <v>#N/A</v>
      </c>
      <c r="F153" s="294">
        <v>0</v>
      </c>
      <c r="G153" s="73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1206</v>
      </c>
      <c r="D154" s="25" t="s">
        <v>156</v>
      </c>
      <c r="E154" s="670" t="e">
        <f>HLOOKUP($D$2,'2020 Data(H)'!$C$1:$CZ$426,161,FALSE)</f>
        <v>#N/A</v>
      </c>
      <c r="F154" s="294">
        <v>0</v>
      </c>
      <c r="G154" s="73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7">
        <v>657</v>
      </c>
      <c r="B155" s="826" t="s">
        <v>58</v>
      </c>
      <c r="C155" s="826" t="s">
        <v>1206</v>
      </c>
      <c r="D155" s="338" t="s">
        <v>1210</v>
      </c>
      <c r="E155" s="670" t="e">
        <f>HLOOKUP($D$2,'2020 Data(H)'!$C$1:$CZ$426,310,FALSE)</f>
        <v>#N/A</v>
      </c>
      <c r="F155" s="294">
        <v>0</v>
      </c>
      <c r="G155" s="754">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hidden="1" customHeight="1" x14ac:dyDescent="0.3">
      <c r="A156" s="307">
        <v>658</v>
      </c>
      <c r="B156" s="826" t="s">
        <v>58</v>
      </c>
      <c r="C156" s="826" t="s">
        <v>1206</v>
      </c>
      <c r="D156" s="309" t="s">
        <v>605</v>
      </c>
      <c r="E156" s="670" t="e">
        <f>HLOOKUP($D$2,'2020 Data(H)'!$C$1:$CZ$426,311,FALSE)</f>
        <v>#N/A</v>
      </c>
      <c r="F156" s="294">
        <v>0</v>
      </c>
      <c r="G156" s="731"/>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hidden="1" customHeight="1" x14ac:dyDescent="0.3">
      <c r="A157" s="108">
        <v>382</v>
      </c>
      <c r="B157" s="4" t="s">
        <v>60</v>
      </c>
      <c r="C157" s="4" t="s">
        <v>1206</v>
      </c>
      <c r="D157" s="106" t="s">
        <v>130</v>
      </c>
      <c r="E157" s="670" t="e">
        <f>HLOOKUP($D$2,'2020 Data(H)'!$C$1:$CZ$426,141,FALSE)</f>
        <v>#N/A</v>
      </c>
      <c r="F157" s="294">
        <v>0</v>
      </c>
      <c r="G157" s="75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1206</v>
      </c>
      <c r="D158" s="107" t="s">
        <v>157</v>
      </c>
      <c r="E158" s="670" t="e">
        <f>HLOOKUP($D$2,'2020 Data(H)'!$C$1:$CZ$426,121,FALSE)</f>
        <v>#N/A</v>
      </c>
      <c r="F158" s="294">
        <v>0</v>
      </c>
      <c r="G158" s="73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2" t="s">
        <v>354</v>
      </c>
      <c r="C159" s="672" t="s">
        <v>1206</v>
      </c>
      <c r="D159" s="825" t="s">
        <v>1211</v>
      </c>
      <c r="E159" s="670" t="e">
        <f>HLOOKUP($D$2,'2020 Data(H)'!$C$1:$CZ$426,230,FALSE)</f>
        <v>#N/A</v>
      </c>
      <c r="F159" s="294">
        <v>0</v>
      </c>
      <c r="G159" s="73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8">
        <v>639</v>
      </c>
      <c r="B160" s="826" t="s">
        <v>603</v>
      </c>
      <c r="C160" s="826" t="s">
        <v>1206</v>
      </c>
      <c r="D160" s="338" t="s">
        <v>1290</v>
      </c>
      <c r="E160" s="670" t="e">
        <f>HLOOKUP($D$2,'2020 Data(H)'!$C$1:$CZ$426,298,FALSE)</f>
        <v>#N/A</v>
      </c>
      <c r="F160" s="294">
        <v>0</v>
      </c>
      <c r="G160" s="749" t="str">
        <f>IF(F160&gt;=(F161+F162+F163+F164+F165+F166),"","Account 639 is less than the total sum of accounts 640 through 644 + 384")</f>
        <v/>
      </c>
      <c r="H160" s="755">
        <f>F160-(F161+F162+F163+F164+F165+F166)</f>
        <v>0</v>
      </c>
      <c r="I160" s="736"/>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hidden="1" customHeight="1" x14ac:dyDescent="0.3">
      <c r="A161" s="307">
        <v>640</v>
      </c>
      <c r="B161" s="827" t="s">
        <v>455</v>
      </c>
      <c r="C161" s="826" t="s">
        <v>1206</v>
      </c>
      <c r="D161" s="338" t="s">
        <v>1291</v>
      </c>
      <c r="E161" s="670" t="e">
        <f>HLOOKUP($D$2,'2020 Data(H)'!$C$1:$CZ$426,299,FALSE)</f>
        <v>#N/A</v>
      </c>
      <c r="F161" s="294">
        <v>0</v>
      </c>
      <c r="G161" s="754">
        <f>IF(F161&gt;F160,"Error: Please review components of current liabilities above. Account numbers 640&gt;639",)</f>
        <v>0</v>
      </c>
      <c r="H161" s="736"/>
      <c r="I161" s="755"/>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hidden="1" customHeight="1" x14ac:dyDescent="0.3">
      <c r="A162" s="307">
        <v>641</v>
      </c>
      <c r="B162" s="827" t="s">
        <v>455</v>
      </c>
      <c r="C162" s="826" t="s">
        <v>1206</v>
      </c>
      <c r="D162" s="338" t="s">
        <v>1292</v>
      </c>
      <c r="E162" s="670" t="e">
        <f>HLOOKUP($D$2,'2020 Data(H)'!$C$1:$CZ$426,300,FALSE)</f>
        <v>#N/A</v>
      </c>
      <c r="F162" s="294">
        <v>0</v>
      </c>
      <c r="G162" s="754">
        <f>IF(F162&gt;F160,"Error: Please review components of current liabilities above. Account numbers 641&gt;639",)</f>
        <v>0</v>
      </c>
      <c r="H162" s="736"/>
      <c r="I162" s="736"/>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hidden="1" customHeight="1" x14ac:dyDescent="0.3">
      <c r="A163" s="307">
        <v>642</v>
      </c>
      <c r="B163" s="827" t="s">
        <v>455</v>
      </c>
      <c r="C163" s="826" t="s">
        <v>1206</v>
      </c>
      <c r="D163" s="338" t="s">
        <v>1293</v>
      </c>
      <c r="E163" s="670" t="e">
        <f>HLOOKUP($D$2,'2020 Data(H)'!$C$1:$CZ$426,301,FALSE)</f>
        <v>#N/A</v>
      </c>
      <c r="F163" s="294">
        <v>0</v>
      </c>
      <c r="G163" s="754">
        <f>IF(F163&gt;F160,"Error: Please review components of current liabilities above. Account numbers  642&gt;639",)</f>
        <v>0</v>
      </c>
      <c r="H163" s="736"/>
      <c r="I163" s="736"/>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hidden="1" customHeight="1" x14ac:dyDescent="0.3">
      <c r="A164" s="307">
        <v>643</v>
      </c>
      <c r="B164" s="827" t="s">
        <v>455</v>
      </c>
      <c r="C164" s="826" t="s">
        <v>1206</v>
      </c>
      <c r="D164" s="338" t="s">
        <v>1294</v>
      </c>
      <c r="E164" s="670" t="e">
        <f>HLOOKUP($D$2,'2020 Data(H)'!$C$1:$CZ$426,302,FALSE)</f>
        <v>#N/A</v>
      </c>
      <c r="F164" s="294">
        <v>0</v>
      </c>
      <c r="G164" s="754">
        <f>IF(F164&gt;F160,"Error: Please review components of current liabilities above. Account numbers 643&gt;639",)</f>
        <v>0</v>
      </c>
      <c r="H164" s="736"/>
      <c r="I164" s="736"/>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hidden="1" customHeight="1" x14ac:dyDescent="0.3">
      <c r="A165" s="307">
        <v>644</v>
      </c>
      <c r="B165" s="827" t="s">
        <v>455</v>
      </c>
      <c r="C165" s="826" t="s">
        <v>1206</v>
      </c>
      <c r="D165" s="338" t="s">
        <v>1295</v>
      </c>
      <c r="E165" s="670" t="e">
        <f>HLOOKUP($D$2,'2020 Data(H)'!$C$1:$CZ$426,303,FALSE)</f>
        <v>#N/A</v>
      </c>
      <c r="F165" s="294">
        <v>0</v>
      </c>
      <c r="G165" s="754">
        <f>IF(F165&gt;F160,"Error: Please review components of current liabilities above. Account number 644&gt;639",)</f>
        <v>0</v>
      </c>
      <c r="H165" s="736"/>
      <c r="I165" s="736"/>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hidden="1" customHeight="1" x14ac:dyDescent="0.3">
      <c r="A166" s="108">
        <v>384</v>
      </c>
      <c r="B166" s="4" t="s">
        <v>63</v>
      </c>
      <c r="C166" s="4" t="s">
        <v>1206</v>
      </c>
      <c r="D166" s="29" t="s">
        <v>1296</v>
      </c>
      <c r="E166" s="670" t="e">
        <f>HLOOKUP($D$2,'2020 Data(H)'!$C$1:$CZ$426,143,FALSE)</f>
        <v>#N/A</v>
      </c>
      <c r="F166" s="739">
        <v>0</v>
      </c>
      <c r="G166" s="75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1206</v>
      </c>
      <c r="D167" s="709" t="s">
        <v>1212</v>
      </c>
      <c r="E167" s="670" t="e">
        <f>HLOOKUP($D$2,'2020 Data(H)'!$C$1:$CZ$426,122,FALSE)</f>
        <v>#N/A</v>
      </c>
      <c r="F167" s="294">
        <v>0</v>
      </c>
      <c r="G167" s="74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1206</v>
      </c>
      <c r="D168" s="107" t="s">
        <v>158</v>
      </c>
      <c r="E168" s="670" t="e">
        <f>HLOOKUP($D$2,'2020 Data(H)'!$C$1:$CZ$426,123,FALSE)</f>
        <v>#N/A</v>
      </c>
      <c r="F168" s="294">
        <v>0</v>
      </c>
      <c r="G168" s="731">
        <f>IF(H168=0,,"Error: Total assets less total liabilities do not equal total net position. Account numbers 382-360-362=0  The amount of the formula is in the cell to the right")</f>
        <v>0</v>
      </c>
      <c r="H168" s="73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6" t="s">
        <v>182</v>
      </c>
      <c r="C169" s="857"/>
      <c r="D169" s="869"/>
      <c r="E169" s="850"/>
      <c r="F169" s="855"/>
      <c r="G169" s="85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122" t="s">
        <v>1312</v>
      </c>
      <c r="C170" s="1122"/>
      <c r="D170" s="1122"/>
      <c r="E170" s="843"/>
      <c r="F170" s="864"/>
      <c r="G170" s="864"/>
      <c r="H170" s="17"/>
      <c r="I170" s="79"/>
      <c r="N170" s="295"/>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1213</v>
      </c>
      <c r="D171" s="24" t="s">
        <v>1214</v>
      </c>
      <c r="E171" s="670" t="e">
        <f>HLOOKUP($D$2,'2020 Data(H)'!$C$1:$CZ$426,50,FALSE)</f>
        <v>#N/A</v>
      </c>
      <c r="F171" s="294">
        <v>0</v>
      </c>
      <c r="G171" s="74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1213</v>
      </c>
      <c r="D172" s="29" t="s">
        <v>159</v>
      </c>
      <c r="E172" s="670" t="e">
        <f>HLOOKUP($D$2,'2020 Data(H)'!$C$1:$CZ$426,48,FALSE)</f>
        <v>#N/A</v>
      </c>
      <c r="F172" s="294">
        <v>0</v>
      </c>
      <c r="G172" s="73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1213</v>
      </c>
      <c r="D173" s="29" t="s">
        <v>160</v>
      </c>
      <c r="E173" s="670" t="e">
        <f>HLOOKUP($D$2,'2020 Data(H)'!$C$1:$CZ$426,36,FALSE)</f>
        <v>#N/A</v>
      </c>
      <c r="F173" s="294">
        <v>0</v>
      </c>
      <c r="G173" s="73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1213</v>
      </c>
      <c r="D174" s="29" t="s">
        <v>161</v>
      </c>
      <c r="E174" s="670" t="e">
        <f>HLOOKUP($D$2,'2020 Data(H)'!$C$1:$CZ$426,49,FALSE)</f>
        <v>#N/A</v>
      </c>
      <c r="F174" s="294">
        <v>0</v>
      </c>
      <c r="G174" s="73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1213</v>
      </c>
      <c r="D175" s="29" t="s">
        <v>162</v>
      </c>
      <c r="E175" s="670" t="e">
        <f>HLOOKUP($D$2,'2020 Data(H)'!$C$1:$CZ$426,51,FALSE)</f>
        <v>#N/A</v>
      </c>
      <c r="F175" s="294">
        <v>0</v>
      </c>
      <c r="G175" s="73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1213</v>
      </c>
      <c r="D176" s="24" t="s">
        <v>1215</v>
      </c>
      <c r="E176" s="670" t="e">
        <f>HLOOKUP($D$2,'2020 Data(H)'!$C$1:$CZ$426,114,FALSE)</f>
        <v>#N/A</v>
      </c>
      <c r="F176" s="294">
        <v>0</v>
      </c>
      <c r="G176" s="74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1213</v>
      </c>
      <c r="D177" s="24" t="s">
        <v>1216</v>
      </c>
      <c r="E177" s="670" t="e">
        <f>HLOOKUP($D$2,'2020 Data(H)'!$C$1:$CZ$426,115,FALSE)</f>
        <v>#N/A</v>
      </c>
      <c r="F177" s="294">
        <v>0</v>
      </c>
      <c r="G177" s="73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1213</v>
      </c>
      <c r="D178" s="24" t="s">
        <v>1217</v>
      </c>
      <c r="E178" s="670" t="e">
        <f>HLOOKUP($D$2,'2020 Data(H)'!$C$1:$CZ$426,72,FALSE)</f>
        <v>#N/A</v>
      </c>
      <c r="F178" s="294">
        <v>0</v>
      </c>
      <c r="G178" s="73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1213</v>
      </c>
      <c r="D179" s="29" t="s">
        <v>1061</v>
      </c>
      <c r="E179" s="670" t="e">
        <f>HLOOKUP($D$2,'2020 Data(H)'!$C$1:$CZ$426,116,FALSE)</f>
        <v>#N/A</v>
      </c>
      <c r="F179" s="294">
        <v>0</v>
      </c>
      <c r="G179" s="731">
        <f>IF(F179&lt;0,"Error: Enter as positive.",)</f>
        <v>0</v>
      </c>
      <c r="H179" s="71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30" t="s">
        <v>798</v>
      </c>
      <c r="C180" s="830" t="s">
        <v>1213</v>
      </c>
      <c r="D180" s="312" t="s">
        <v>826</v>
      </c>
      <c r="E180" s="670" t="s">
        <v>799</v>
      </c>
      <c r="F180" s="294">
        <v>0</v>
      </c>
      <c r="G180" s="73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1213</v>
      </c>
      <c r="D181" s="29" t="s">
        <v>143</v>
      </c>
      <c r="E181" s="670" t="e">
        <f>HLOOKUP($D$2,'2020 Data(H)'!$C$1:$CZ$426,117,FALSE)</f>
        <v>#N/A</v>
      </c>
      <c r="F181" s="294">
        <v>0</v>
      </c>
      <c r="G181" s="73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1213</v>
      </c>
      <c r="D182" s="709" t="s">
        <v>1218</v>
      </c>
      <c r="E182" s="670" t="e">
        <f>HLOOKUP($D$2,'2020 Data(H)'!$C$1:$CZ$426,37,FALSE)</f>
        <v>#N/A</v>
      </c>
      <c r="F182" s="292">
        <v>0</v>
      </c>
      <c r="G182" s="731">
        <f>IF(H182=0,,"Error: Total revenues less total expenses do not equal total change in net position. Account number 84-85+350-351+191+352-353-50=0  The amount of the formula is in the cell to the right")</f>
        <v>0</v>
      </c>
      <c r="H182" s="73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1213</v>
      </c>
      <c r="D183" s="709" t="s">
        <v>1219</v>
      </c>
      <c r="E183" s="670" t="e">
        <f>HLOOKUP($D$2,'2020 Data(H)'!$C$1:$CZ$426,136,FALSE)</f>
        <v>#N/A</v>
      </c>
      <c r="F183" s="292">
        <v>0</v>
      </c>
      <c r="G183" s="731" t="e">
        <f>IF(F149-F182-F183=E149,,"Error: Beginning Balance does not agree with our records.  Acct #s (83-50-377)=prior year 83 The amount of the formula is in the cell to the right")</f>
        <v>#N/A</v>
      </c>
      <c r="H183" s="73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2" t="s">
        <v>59</v>
      </c>
      <c r="C184" s="672" t="s">
        <v>1213</v>
      </c>
      <c r="D184" s="669" t="s">
        <v>1220</v>
      </c>
      <c r="E184" s="59" t="e">
        <f>HLOOKUP($D$2,'2020 Data(H)'!$C$1:$CZ$426,250,FALSE)</f>
        <v>#N/A</v>
      </c>
      <c r="F184" s="294"/>
      <c r="G184" s="731"/>
      <c r="H184" s="732"/>
      <c r="I184" s="73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2" t="s">
        <v>59</v>
      </c>
      <c r="C185" s="672" t="s">
        <v>1213</v>
      </c>
      <c r="D185" s="669" t="s">
        <v>1221</v>
      </c>
      <c r="E185" s="670" t="e">
        <f>HLOOKUP($D$2,'2020 Data(H)'!$C$1:$CZ$426,251,FALSE)</f>
        <v>#N/A</v>
      </c>
      <c r="F185" s="294"/>
      <c r="G185" s="731"/>
      <c r="H185" s="732"/>
      <c r="I185" s="73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7" t="s">
        <v>6</v>
      </c>
      <c r="C186" s="868"/>
      <c r="D186" s="843"/>
      <c r="E186" s="843"/>
      <c r="F186" s="863"/>
      <c r="G186" s="86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1222</v>
      </c>
      <c r="D187" s="29" t="s">
        <v>163</v>
      </c>
      <c r="E187" s="670" t="e">
        <f>HLOOKUP($D$2,'2020 Data(H)'!$C$1:$CZ$426,57,FALSE)</f>
        <v>#N/A</v>
      </c>
      <c r="F187" s="292">
        <v>0</v>
      </c>
      <c r="G187" s="74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1222</v>
      </c>
      <c r="D188" s="29" t="s">
        <v>159</v>
      </c>
      <c r="E188" s="670" t="e">
        <f>HLOOKUP($D$2,'2020 Data(H)'!$C$1:$CZ$426,55,FALSE)</f>
        <v>#N/A</v>
      </c>
      <c r="F188" s="293">
        <v>0</v>
      </c>
      <c r="G188" s="73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1222</v>
      </c>
      <c r="D189" s="29" t="s">
        <v>164</v>
      </c>
      <c r="E189" s="670" t="e">
        <f>HLOOKUP($D$2,'2020 Data(H)'!$C$1:$CZ$426,59,FALSE)</f>
        <v>#N/A</v>
      </c>
      <c r="F189" s="293">
        <v>0</v>
      </c>
      <c r="G189" s="73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1222</v>
      </c>
      <c r="D190" s="29" t="s">
        <v>160</v>
      </c>
      <c r="E190" s="670" t="e">
        <f>HLOOKUP($D$2,'2020 Data(H)'!$C$1:$CZ$426,39,FALSE)</f>
        <v>#N/A</v>
      </c>
      <c r="F190" s="293">
        <v>0</v>
      </c>
      <c r="G190" s="73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1222</v>
      </c>
      <c r="D191" s="29" t="s">
        <v>161</v>
      </c>
      <c r="E191" s="670" t="e">
        <f>HLOOKUP($D$2,'2020 Data(H)'!$C$1:$CZ$426,56,FALSE)</f>
        <v>#N/A</v>
      </c>
      <c r="F191" s="293">
        <v>0</v>
      </c>
      <c r="G191" s="73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1222</v>
      </c>
      <c r="D192" s="29" t="s">
        <v>162</v>
      </c>
      <c r="E192" s="670" t="e">
        <f>HLOOKUP($D$2,'2020 Data(H)'!$C$1:$CZ$426,58,FALSE)</f>
        <v>#N/A</v>
      </c>
      <c r="F192" s="293">
        <v>0</v>
      </c>
      <c r="G192" s="73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1222</v>
      </c>
      <c r="D193" s="24" t="s">
        <v>1223</v>
      </c>
      <c r="E193" s="670" t="e">
        <f>HLOOKUP($D$2,'2020 Data(H)'!$C$1:$CZ$426,124,FALSE)</f>
        <v>#N/A</v>
      </c>
      <c r="F193" s="293">
        <v>0</v>
      </c>
      <c r="G193" s="73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1222</v>
      </c>
      <c r="D194" s="24" t="s">
        <v>1224</v>
      </c>
      <c r="E194" s="670" t="e">
        <f>HLOOKUP($D$2,'2020 Data(H)'!$C$1:$CZ$426,125,FALSE)</f>
        <v>#N/A</v>
      </c>
      <c r="F194" s="293">
        <v>0</v>
      </c>
      <c r="G194" s="73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1222</v>
      </c>
      <c r="D195" s="24" t="s">
        <v>1225</v>
      </c>
      <c r="E195" s="670" t="e">
        <f>HLOOKUP($D$2,'2020 Data(H)'!$C$1:$CZ$426,73,FALSE)</f>
        <v>#N/A</v>
      </c>
      <c r="F195" s="293">
        <v>0</v>
      </c>
      <c r="G195" s="73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1222</v>
      </c>
      <c r="D196" s="24" t="s">
        <v>1226</v>
      </c>
      <c r="E196" s="670" t="e">
        <f>HLOOKUP($D$2,'2020 Data(H)'!$C$1:$CZ$426,126,FALSE)</f>
        <v>#N/A</v>
      </c>
      <c r="F196" s="293">
        <v>0</v>
      </c>
      <c r="G196" s="73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1222</v>
      </c>
      <c r="D197" s="24" t="s">
        <v>1227</v>
      </c>
      <c r="E197" s="670" t="e">
        <f>HLOOKUP($D$2,'2020 Data(H)'!$C$1:$CZ$426,127,FALSE)</f>
        <v>#N/A</v>
      </c>
      <c r="F197" s="293">
        <v>0</v>
      </c>
      <c r="G197" s="73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2" t="s">
        <v>66</v>
      </c>
      <c r="C198" s="672" t="s">
        <v>1222</v>
      </c>
      <c r="D198" s="709" t="s">
        <v>1228</v>
      </c>
      <c r="E198" s="670" t="e">
        <f>HLOOKUP($D$2,'2020 Data(H)'!$C$1:$CZ$426,40,FALSE)</f>
        <v>#N/A</v>
      </c>
      <c r="F198" s="293">
        <v>0</v>
      </c>
      <c r="G198" s="731">
        <f>IF(H198=0,,"Error: Total revenues less total expenses do not equal total change in net position. Account number 93-94+363-364+192+365-366-53=0  The amount of the formula is in the cell to the right")</f>
        <v>0</v>
      </c>
      <c r="H198" s="734">
        <f>+F188-F191+F193-F194+F195+F196-F197-F198</f>
        <v>0</v>
      </c>
      <c r="I198" s="79"/>
      <c r="N198" s="295"/>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1222</v>
      </c>
      <c r="D199" s="709" t="s">
        <v>1229</v>
      </c>
      <c r="E199" s="670" t="e">
        <f>HLOOKUP($D$2,'2020 Data(H)'!$C$1:$CZ$426,137,FALSE)</f>
        <v>#N/A</v>
      </c>
      <c r="F199" s="292">
        <v>0</v>
      </c>
      <c r="G199" s="731" t="e">
        <f>IF(F168-F198-F199=E168,,"Error: Beginning Balance does not agree with our records.  Acct #s (362-53-378)=prior year 362  The amount of the formula is in the cell to the right")</f>
        <v>#N/A</v>
      </c>
      <c r="H199" s="734" t="e">
        <f>+F168-F198-F199-E168</f>
        <v>#N/A</v>
      </c>
      <c r="I199" s="79"/>
      <c r="N199" s="295"/>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7" t="s">
        <v>556</v>
      </c>
      <c r="C200" s="867"/>
      <c r="D200" s="870"/>
      <c r="E200" s="850"/>
      <c r="F200" s="871"/>
      <c r="G200" s="85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72" t="s">
        <v>1230</v>
      </c>
      <c r="C201" s="868"/>
      <c r="D201" s="843"/>
      <c r="E201" s="843"/>
      <c r="F201" s="873"/>
      <c r="G201" s="86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8" t="s">
        <v>1231</v>
      </c>
      <c r="C202" s="868"/>
      <c r="D202" s="859"/>
      <c r="E202" s="841"/>
      <c r="F202" s="874"/>
      <c r="G202" s="86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8" t="s">
        <v>23</v>
      </c>
      <c r="C203" s="868"/>
      <c r="D203" s="859"/>
      <c r="E203" s="841"/>
      <c r="F203" s="874"/>
      <c r="G203" s="86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321</v>
      </c>
      <c r="C204" s="831" t="s">
        <v>1232</v>
      </c>
      <c r="D204" s="24" t="s">
        <v>1233</v>
      </c>
      <c r="E204" s="670" t="e">
        <f>HLOOKUP($D$2,'2020 Data(H)'!$C$1:$CZ$426,38,FALSE)</f>
        <v>#N/A</v>
      </c>
      <c r="F204" s="293">
        <v>0</v>
      </c>
      <c r="G204" s="74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31" t="s">
        <v>1232</v>
      </c>
      <c r="D205" s="24" t="s">
        <v>1234</v>
      </c>
      <c r="E205" s="670" t="e">
        <f>HLOOKUP($D$2,'2020 Data(H)'!$C$1:$CZ$426,98,FALSE)</f>
        <v>#N/A</v>
      </c>
      <c r="F205" s="293">
        <v>0</v>
      </c>
      <c r="G205" s="73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321</v>
      </c>
      <c r="C206" s="831" t="s">
        <v>1232</v>
      </c>
      <c r="D206" s="24" t="s">
        <v>1235</v>
      </c>
      <c r="E206" s="670" t="e">
        <f>HLOOKUP($D$2,'2020 Data(H)'!$C$1:$CZ$426,97,FALSE)</f>
        <v>#N/A</v>
      </c>
      <c r="F206" s="293">
        <v>0</v>
      </c>
      <c r="G206" s="73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7" t="s">
        <v>6</v>
      </c>
      <c r="C207" s="868"/>
      <c r="D207" s="868"/>
      <c r="E207" s="843"/>
      <c r="F207" s="873"/>
      <c r="G207" s="87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31" t="s">
        <v>1236</v>
      </c>
      <c r="D208" s="24" t="s">
        <v>1237</v>
      </c>
      <c r="E208" s="670" t="e">
        <f>HLOOKUP($D$2,'2020 Data(H)'!$C$1:$CZ$426,42,FALSE)</f>
        <v>#N/A</v>
      </c>
      <c r="F208" s="293">
        <v>0</v>
      </c>
      <c r="G208" s="74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31" t="s">
        <v>1236</v>
      </c>
      <c r="D209" s="24" t="s">
        <v>1238</v>
      </c>
      <c r="E209" s="670" t="e">
        <f>HLOOKUP($D$2,'2020 Data(H)'!$C$1:$CZ$426,61,FALSE)</f>
        <v>#N/A</v>
      </c>
      <c r="F209" s="293">
        <v>0</v>
      </c>
      <c r="G209" s="73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31" t="s">
        <v>1236</v>
      </c>
      <c r="D210" s="24" t="s">
        <v>1235</v>
      </c>
      <c r="E210" s="670" t="e">
        <f>HLOOKUP($D$2,'2020 Data(H)'!$C$1:$CZ$426,60,FALSE)</f>
        <v>#N/A</v>
      </c>
      <c r="F210" s="293">
        <v>0</v>
      </c>
      <c r="G210" s="73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3" t="s">
        <v>71</v>
      </c>
      <c r="C211" s="859"/>
      <c r="D211" s="843"/>
      <c r="E211" s="843"/>
      <c r="F211" s="876"/>
      <c r="G211" s="862"/>
      <c r="H211" s="17"/>
      <c r="I211" s="79"/>
      <c r="J211" s="57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60"/>
      <c r="C212" s="831" t="s">
        <v>165</v>
      </c>
      <c r="D212" s="24" t="s">
        <v>1239</v>
      </c>
      <c r="E212" s="670" t="e">
        <f>HLOOKUP($D$2,'2020 Data(H)'!$C$1:$CZ$426,162,FALSE)</f>
        <v>#N/A</v>
      </c>
      <c r="F212" s="293">
        <v>0</v>
      </c>
      <c r="G212" s="731">
        <f>IF(F212&lt;0,"Error: Enter as positive.",)</f>
        <v>0</v>
      </c>
      <c r="H212" s="17"/>
      <c r="I212" s="79"/>
      <c r="J212" s="57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7" t="s">
        <v>542</v>
      </c>
      <c r="C213" s="868"/>
      <c r="D213" s="870"/>
      <c r="E213" s="877"/>
      <c r="F213" s="876"/>
      <c r="G213" s="862"/>
      <c r="H213" s="732"/>
      <c r="I213" s="73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7" t="s">
        <v>543</v>
      </c>
      <c r="E214" s="670" t="e">
        <f>HLOOKUP($D$2,'2020 Data(H)'!$C$1:$CZ$426,309,FALSE)</f>
        <v>#N/A</v>
      </c>
      <c r="F214" s="293">
        <v>0</v>
      </c>
      <c r="G214" s="731"/>
      <c r="H214" s="17"/>
      <c r="I214" s="79"/>
      <c r="J214" s="576"/>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hidden="1" x14ac:dyDescent="0.3">
      <c r="A215" s="108"/>
      <c r="B215" s="867" t="s">
        <v>324</v>
      </c>
      <c r="C215" s="868"/>
      <c r="D215" s="870"/>
      <c r="E215" s="877"/>
      <c r="F215" s="876"/>
      <c r="G215" s="862"/>
      <c r="H215" s="732"/>
      <c r="I215" s="73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2" t="s">
        <v>55</v>
      </c>
      <c r="C216" s="672" t="s">
        <v>166</v>
      </c>
      <c r="D216" s="24" t="s">
        <v>1240</v>
      </c>
      <c r="E216" s="670" t="e">
        <f>HLOOKUP($D$2,'2020 Data(H)'!$C$1:$CZ$426,185,FALSE)</f>
        <v>#N/A</v>
      </c>
      <c r="F216" s="293">
        <v>0</v>
      </c>
      <c r="G216" s="731" t="str">
        <f>IF(F216&lt;1,"Reminder: Please make sure you have entered all cash and investments from bond/Debt proceeds, if applicable.",)</f>
        <v>Reminder: Please make sure you have entered all cash and investments from bond/Debt proceeds, if applicable.</v>
      </c>
      <c r="H216" s="732"/>
      <c r="I216" s="73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7" t="s">
        <v>29</v>
      </c>
      <c r="C217" s="868"/>
      <c r="D217" s="844"/>
      <c r="E217" s="844"/>
      <c r="F217" s="873"/>
      <c r="G217" s="86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60"/>
      <c r="C218" s="560"/>
      <c r="D218" s="758" t="s">
        <v>2</v>
      </c>
      <c r="E218" s="1"/>
      <c r="F218" s="164"/>
      <c r="G218" s="74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60"/>
      <c r="C219" s="560"/>
      <c r="D219" s="671" t="s">
        <v>1241</v>
      </c>
      <c r="E219" s="1"/>
      <c r="F219" s="164"/>
      <c r="G219" s="74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1242</v>
      </c>
      <c r="E220" s="670" t="e">
        <f>HLOOKUP($D$2,'2020 Data(H)'!$C$1:$CZ$426,100,FALSE)</f>
        <v>#N/A</v>
      </c>
      <c r="F220" s="293">
        <v>0</v>
      </c>
      <c r="G220" s="74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70" t="e">
        <f>HLOOKUP($D$2,'2020 Data(H)'!$C$1:$CZ$426,133,FALSE)</f>
        <v>#N/A</v>
      </c>
      <c r="F221" s="293">
        <v>0</v>
      </c>
      <c r="G221" s="73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30" t="s">
        <v>798</v>
      </c>
      <c r="C222" s="830"/>
      <c r="D222" s="759" t="s">
        <v>1047</v>
      </c>
      <c r="E222" s="670" t="s">
        <v>799</v>
      </c>
      <c r="F222" s="293">
        <v>0</v>
      </c>
      <c r="G222" s="760" t="str">
        <f>IF(F222="","If this question is not applicable please place a zero in the cell to the left","")</f>
        <v/>
      </c>
      <c r="H222" s="71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30" t="s">
        <v>798</v>
      </c>
      <c r="C223" s="830"/>
      <c r="D223" s="759" t="s">
        <v>1045</v>
      </c>
      <c r="E223" s="670" t="s">
        <v>799</v>
      </c>
      <c r="F223" s="293"/>
      <c r="G223" s="73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30" t="s">
        <v>798</v>
      </c>
      <c r="C224" s="830"/>
      <c r="D224" s="759" t="s">
        <v>1297</v>
      </c>
      <c r="E224" s="670" t="s">
        <v>827</v>
      </c>
      <c r="F224" s="293"/>
      <c r="G224" s="73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8"/>
      <c r="C225" s="878"/>
      <c r="D225" s="879"/>
      <c r="E225" s="880"/>
      <c r="F225" s="881"/>
      <c r="G225" s="88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60"/>
      <c r="C226" s="560"/>
      <c r="D226" s="761" t="s">
        <v>1243</v>
      </c>
      <c r="E226" s="1"/>
      <c r="F226" s="374"/>
      <c r="G226" s="74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60"/>
      <c r="C227" s="560"/>
      <c r="D227" s="24" t="s">
        <v>1244</v>
      </c>
      <c r="E227" s="1"/>
      <c r="F227" s="374"/>
      <c r="G227" s="74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2" t="s">
        <v>37</v>
      </c>
      <c r="C228" s="672" t="s">
        <v>174</v>
      </c>
      <c r="D228" s="762" t="s">
        <v>1245</v>
      </c>
      <c r="E228" s="670" t="e">
        <f>HLOOKUP($D$2,'2020 Data(H)'!$C$1:$CZ$426,94,FALSE)</f>
        <v>#N/A</v>
      </c>
      <c r="F228" s="274">
        <v>0</v>
      </c>
      <c r="G228" s="741"/>
      <c r="H228" s="17"/>
      <c r="I228" s="73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2" t="s">
        <v>37</v>
      </c>
      <c r="C229" s="672" t="s">
        <v>174</v>
      </c>
      <c r="D229" s="30" t="s">
        <v>7</v>
      </c>
      <c r="E229" s="670" t="e">
        <f>HLOOKUP($D$2,'2020 Data(H)'!$C$1:$CZ$426,95,FALSE)</f>
        <v>#N/A</v>
      </c>
      <c r="F229" s="274">
        <v>0</v>
      </c>
      <c r="G229" s="741"/>
      <c r="H229" s="17"/>
      <c r="I229" s="73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60"/>
      <c r="C230" s="560"/>
      <c r="D230" s="31" t="s">
        <v>1246</v>
      </c>
      <c r="E230" s="101" t="e">
        <f>SUM(E228:E229)</f>
        <v>#N/A</v>
      </c>
      <c r="F230" s="101">
        <f>SUM(F228:F229)</f>
        <v>0</v>
      </c>
      <c r="G230" s="74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60"/>
      <c r="C231" s="560"/>
      <c r="D231" s="24" t="s">
        <v>1247</v>
      </c>
      <c r="E231" s="1"/>
      <c r="F231" s="374"/>
      <c r="G231" s="74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60"/>
      <c r="C232" s="560"/>
      <c r="D232" s="28" t="s">
        <v>9</v>
      </c>
      <c r="F232" s="763"/>
      <c r="G232" s="74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2" t="s">
        <v>320</v>
      </c>
      <c r="C233" s="672" t="s">
        <v>175</v>
      </c>
      <c r="D233" s="32" t="s">
        <v>3</v>
      </c>
      <c r="E233" s="670" t="e">
        <f>HLOOKUP($D$2,'2020 Data(H)'!$C$1:$CZ$426,165,FALSE)</f>
        <v>#N/A</v>
      </c>
      <c r="F233" s="293">
        <v>0</v>
      </c>
      <c r="G233" s="73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2" t="s">
        <v>320</v>
      </c>
      <c r="C234" s="672" t="s">
        <v>175</v>
      </c>
      <c r="D234" s="32" t="s">
        <v>4</v>
      </c>
      <c r="E234" s="670" t="e">
        <f>HLOOKUP($D$2,'2020 Data(H)'!$C$1:$CZ$426,166,FALSE)</f>
        <v>#N/A</v>
      </c>
      <c r="F234" s="293">
        <v>0</v>
      </c>
      <c r="G234" s="73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2" t="s">
        <v>320</v>
      </c>
      <c r="C235" s="672" t="s">
        <v>175</v>
      </c>
      <c r="D235" s="32" t="s">
        <v>5</v>
      </c>
      <c r="E235" s="670" t="e">
        <f>HLOOKUP($D$2,'2020 Data(H)'!$C$1:$CZ$426,167,FALSE)</f>
        <v>#N/A</v>
      </c>
      <c r="F235" s="293">
        <v>0</v>
      </c>
      <c r="G235" s="73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2" t="s">
        <v>320</v>
      </c>
      <c r="C236" s="672" t="s">
        <v>175</v>
      </c>
      <c r="D236" s="32" t="s">
        <v>39</v>
      </c>
      <c r="E236" s="670" t="e">
        <f>HLOOKUP($D$2,'2020 Data(H)'!$C$1:$CZ$426,168,FALSE)</f>
        <v>#N/A</v>
      </c>
      <c r="F236" s="293">
        <v>0</v>
      </c>
      <c r="G236" s="73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7"/>
      <c r="B237" s="560"/>
      <c r="C237" s="560"/>
      <c r="D237" s="764" t="s">
        <v>1248</v>
      </c>
      <c r="E237" s="101" t="e">
        <f>SUM(E233:E236)</f>
        <v>#N/A</v>
      </c>
      <c r="F237" s="101">
        <f>SUM(F233:F236)</f>
        <v>0</v>
      </c>
      <c r="G237" s="741"/>
      <c r="H237" s="17"/>
      <c r="I237" s="79"/>
      <c r="Z237" s="297"/>
      <c r="AA237" s="297"/>
      <c r="AB237" s="297"/>
      <c r="AC237" s="297"/>
      <c r="AD237" s="297"/>
      <c r="AE237" s="297"/>
      <c r="AF237" s="297"/>
      <c r="AG237" s="297"/>
      <c r="AH237" s="297"/>
      <c r="AI237" s="297"/>
      <c r="AJ237" s="297"/>
      <c r="AK237" s="297"/>
      <c r="AL237" s="297"/>
      <c r="AM237" s="297"/>
      <c r="AN237" s="297"/>
      <c r="AO237" s="297"/>
      <c r="AP237" s="297"/>
      <c r="AQ237" s="297"/>
      <c r="AR237" s="297"/>
    </row>
    <row r="238" spans="1:44" ht="30.75" hidden="1" customHeight="1" x14ac:dyDescent="0.3">
      <c r="A238" s="108"/>
      <c r="B238" s="560"/>
      <c r="C238" s="560"/>
      <c r="D238" s="28" t="s">
        <v>48</v>
      </c>
      <c r="E238" s="1"/>
      <c r="F238" s="374"/>
      <c r="G238" s="74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2" t="s">
        <v>37</v>
      </c>
      <c r="C239" s="672" t="s">
        <v>176</v>
      </c>
      <c r="D239" s="32" t="s">
        <v>14</v>
      </c>
      <c r="E239" s="670" t="e">
        <f>HLOOKUP($D$2,'2020 Data(H)'!$C$1:$CZ$426,169,FALSE)</f>
        <v>#N/A</v>
      </c>
      <c r="F239" s="293">
        <v>0</v>
      </c>
      <c r="G239" s="73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2" t="s">
        <v>37</v>
      </c>
      <c r="C240" s="672" t="s">
        <v>176</v>
      </c>
      <c r="D240" s="32" t="s">
        <v>16</v>
      </c>
      <c r="E240" s="670" t="e">
        <f>HLOOKUP($D$2,'2020 Data(H)'!$C$1:$CZ$426,170,FALSE)</f>
        <v>#N/A</v>
      </c>
      <c r="F240" s="293">
        <v>0</v>
      </c>
      <c r="G240" s="73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2" t="s">
        <v>37</v>
      </c>
      <c r="C241" s="672" t="s">
        <v>176</v>
      </c>
      <c r="D241" s="32" t="s">
        <v>18</v>
      </c>
      <c r="E241" s="670" t="e">
        <f>HLOOKUP($D$2,'2020 Data(H)'!$C$1:$CZ$426,171,FALSE)</f>
        <v>#N/A</v>
      </c>
      <c r="F241" s="293">
        <v>0</v>
      </c>
      <c r="G241" s="73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2" t="s">
        <v>37</v>
      </c>
      <c r="C242" s="672" t="s">
        <v>176</v>
      </c>
      <c r="D242" s="32" t="s">
        <v>40</v>
      </c>
      <c r="E242" s="670" t="e">
        <f>HLOOKUP($D$2,'2020 Data(H)'!$C$1:$CZ$426,172,FALSE)</f>
        <v>#N/A</v>
      </c>
      <c r="F242" s="293">
        <v>0</v>
      </c>
      <c r="G242" s="73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60"/>
      <c r="C243" s="560"/>
      <c r="D243" s="76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60"/>
      <c r="C244" s="560"/>
      <c r="D244" s="28" t="s">
        <v>32</v>
      </c>
      <c r="E244" s="6"/>
      <c r="F244" s="76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2" t="s">
        <v>320</v>
      </c>
      <c r="C245" s="672" t="s">
        <v>177</v>
      </c>
      <c r="D245" s="32" t="s">
        <v>15</v>
      </c>
      <c r="E245" s="670" t="e">
        <f>HLOOKUP($D$2,'2020 Data(H)'!$C$1:$CZ$426,173,FALSE)</f>
        <v>#N/A</v>
      </c>
      <c r="F245" s="293">
        <v>0</v>
      </c>
      <c r="G245" s="73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2" t="s">
        <v>320</v>
      </c>
      <c r="C246" s="672" t="s">
        <v>177</v>
      </c>
      <c r="D246" s="32" t="s">
        <v>17</v>
      </c>
      <c r="E246" s="670" t="e">
        <f>HLOOKUP($D$2,'2020 Data(H)'!$C$1:$CZ$426,174,FALSE)</f>
        <v>#N/A</v>
      </c>
      <c r="F246" s="293">
        <v>0</v>
      </c>
      <c r="G246" s="73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2" t="s">
        <v>320</v>
      </c>
      <c r="C247" s="672" t="s">
        <v>177</v>
      </c>
      <c r="D247" s="32" t="s">
        <v>19</v>
      </c>
      <c r="E247" s="670" t="e">
        <f>HLOOKUP($D$2,'2020 Data(H)'!$C$1:$CZ$426,175,FALSE)</f>
        <v>#N/A</v>
      </c>
      <c r="F247" s="293">
        <v>0</v>
      </c>
      <c r="G247" s="73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2" t="s">
        <v>320</v>
      </c>
      <c r="C248" s="672" t="s">
        <v>177</v>
      </c>
      <c r="D248" s="32" t="s">
        <v>41</v>
      </c>
      <c r="E248" s="670" t="e">
        <f>HLOOKUP($D$2,'2020 Data(H)'!$C$1:$CZ$426,176,FALSE)</f>
        <v>#N/A</v>
      </c>
      <c r="F248" s="293">
        <v>0</v>
      </c>
      <c r="G248" s="73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2"/>
      <c r="C249" s="832"/>
      <c r="D249" s="765" t="s">
        <v>33</v>
      </c>
      <c r="E249" s="101" t="e">
        <f>SUM(E245:E248)</f>
        <v>#N/A</v>
      </c>
      <c r="F249" s="101">
        <f>SUM(F245:F248)</f>
        <v>0</v>
      </c>
      <c r="G249" s="74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2"/>
      <c r="C250" s="832"/>
      <c r="D250" s="767" t="s">
        <v>35</v>
      </c>
      <c r="E250" s="101" t="e">
        <f>E230+E237-E249</f>
        <v>#N/A</v>
      </c>
      <c r="F250" s="101">
        <f>F230+F237-F249</f>
        <v>0</v>
      </c>
      <c r="G250" s="741"/>
      <c r="H250" s="17"/>
      <c r="I250" s="79"/>
      <c r="J250" s="57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60"/>
      <c r="C251" s="560"/>
      <c r="D251" s="758"/>
      <c r="E251" s="1"/>
      <c r="F251" s="374"/>
      <c r="G251" s="741"/>
      <c r="H251" s="17"/>
      <c r="I251" s="79"/>
      <c r="J251" s="57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8"/>
      <c r="C252" s="878"/>
      <c r="D252" s="869" t="s">
        <v>8</v>
      </c>
      <c r="E252" s="880"/>
      <c r="F252" s="881"/>
      <c r="G252" s="88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2" t="s">
        <v>58</v>
      </c>
      <c r="C253" s="672" t="s">
        <v>178</v>
      </c>
      <c r="D253" s="29" t="s">
        <v>1249</v>
      </c>
      <c r="E253" s="670" t="e">
        <f>HLOOKUP($D$2,'2020 Data(H)'!$C$1:$CZ$426,177,FALSE)</f>
        <v>#N/A</v>
      </c>
      <c r="F253" s="293">
        <v>0</v>
      </c>
      <c r="G253" s="741"/>
      <c r="H253" s="17"/>
      <c r="I253" s="73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2" t="s">
        <v>66</v>
      </c>
      <c r="C254" s="672" t="s">
        <v>178</v>
      </c>
      <c r="D254" s="107" t="s">
        <v>20</v>
      </c>
      <c r="E254" s="670" t="e">
        <f>HLOOKUP($D$2,'2020 Data(H)'!$C$1:$CZ$426,118,FALSE)</f>
        <v>#N/A</v>
      </c>
      <c r="F254" s="293">
        <v>0</v>
      </c>
      <c r="G254" s="741"/>
      <c r="H254" s="17"/>
      <c r="I254" s="73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2" t="s">
        <v>56</v>
      </c>
      <c r="C255" s="672" t="s">
        <v>179</v>
      </c>
      <c r="D255" s="107" t="s">
        <v>21</v>
      </c>
      <c r="E255" s="670" t="e">
        <f>HLOOKUP($D$2,'2020 Data(H)'!$C$1:$CZ$426,119,FALSE)</f>
        <v>#N/A</v>
      </c>
      <c r="F255" s="293">
        <v>0</v>
      </c>
      <c r="G255" s="731">
        <f>IF(F255&lt;0,"Error: Enter as positive.",)</f>
        <v>0</v>
      </c>
      <c r="H255" s="17"/>
      <c r="I255" s="73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7" t="s">
        <v>10</v>
      </c>
      <c r="C256" s="868"/>
      <c r="D256" s="843"/>
      <c r="E256" s="844"/>
      <c r="F256" s="883"/>
      <c r="G256" s="864"/>
      <c r="H256" s="17"/>
      <c r="I256" s="79"/>
      <c r="N256" s="295"/>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1250</v>
      </c>
      <c r="D257" s="24" t="s">
        <v>1048</v>
      </c>
      <c r="E257" s="670" t="e">
        <f>HLOOKUP($D$2,'2020 Data(H)'!$C$1:$CZ$426,103,FALSE)</f>
        <v>#N/A</v>
      </c>
      <c r="F257" s="293">
        <v>0</v>
      </c>
      <c r="G257" s="731">
        <f>IF(F257&lt;0,"Error: Enter as positive.",)</f>
        <v>0</v>
      </c>
      <c r="H257" s="17"/>
      <c r="I257" s="79"/>
      <c r="N257" s="295"/>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415</v>
      </c>
      <c r="D258" s="29" t="s">
        <v>1251</v>
      </c>
      <c r="E258" s="670" t="e">
        <f>HLOOKUP($D$2,'2020 Data(H)'!$C$1:$CZ$426,109,FALSE)</f>
        <v>#N/A</v>
      </c>
      <c r="F258" s="293">
        <v>0</v>
      </c>
      <c r="G258" s="731">
        <f>IF(F258&lt;0,"Error: Enter as positive.",)</f>
        <v>0</v>
      </c>
      <c r="H258" s="17"/>
      <c r="I258" s="79"/>
      <c r="M258" s="98"/>
      <c r="N258" s="295"/>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1252</v>
      </c>
      <c r="D259" s="24" t="s">
        <v>613</v>
      </c>
      <c r="E259" s="670" t="e">
        <f>HLOOKUP($D$2,'2020 Data(H)'!$C$1:$CZ$426,46,FALSE)</f>
        <v>#N/A</v>
      </c>
      <c r="F259" s="293">
        <v>0</v>
      </c>
      <c r="G259" s="731">
        <f>IF(F259&lt;0,"Error: Enter as positive.",)</f>
        <v>0</v>
      </c>
      <c r="H259" s="17"/>
      <c r="I259" s="76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1253</v>
      </c>
      <c r="D260" s="24" t="s">
        <v>613</v>
      </c>
      <c r="E260" s="670" t="e">
        <f>HLOOKUP($D$2,'2020 Data(H)'!$C$1:$CZ$426,120,FALSE)</f>
        <v>#N/A</v>
      </c>
      <c r="F260" s="293">
        <v>0</v>
      </c>
      <c r="G260" s="731">
        <f>IF(F260&lt;0,"Error: Enter as positive.",)</f>
        <v>0</v>
      </c>
      <c r="H260" s="17"/>
      <c r="I260" s="768"/>
      <c r="J260" s="576"/>
      <c r="L260" s="76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1" customFormat="1" ht="33" customHeight="1" x14ac:dyDescent="0.3">
      <c r="A261" s="108"/>
      <c r="B261" s="828" t="s">
        <v>448</v>
      </c>
      <c r="C261" s="829"/>
      <c r="D261" s="96"/>
      <c r="E261" s="770"/>
      <c r="F261" s="756"/>
      <c r="G261" s="730"/>
      <c r="H261" s="17"/>
      <c r="I261" s="768"/>
      <c r="J261" s="18"/>
      <c r="K261" s="18"/>
      <c r="L261" s="18"/>
      <c r="M261" s="18"/>
      <c r="N261" s="295"/>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1" customFormat="1" ht="110.25" customHeight="1" x14ac:dyDescent="0.3">
      <c r="A262" s="124">
        <v>622</v>
      </c>
      <c r="B262" s="772" t="s">
        <v>372</v>
      </c>
      <c r="C262" s="124" t="s">
        <v>447</v>
      </c>
      <c r="D262" s="124" t="s">
        <v>1146</v>
      </c>
      <c r="E262" s="670" t="e">
        <f>HLOOKUP($D$2,'2020 Data(H)'!$C$1:$CZ$426,282,FALSE)</f>
        <v>#N/A</v>
      </c>
      <c r="F262" s="293">
        <v>0</v>
      </c>
      <c r="G262" s="731"/>
      <c r="H262" s="17"/>
      <c r="I262" s="768"/>
      <c r="J262" s="18"/>
      <c r="K262" s="18"/>
      <c r="L262" s="18"/>
      <c r="M262" s="18"/>
      <c r="N262" s="295"/>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1" customFormat="1" ht="225" customHeight="1" x14ac:dyDescent="0.3">
      <c r="A263" s="108">
        <v>577</v>
      </c>
      <c r="B263" s="672"/>
      <c r="C263" s="672" t="s">
        <v>337</v>
      </c>
      <c r="D263" s="351" t="s">
        <v>412</v>
      </c>
      <c r="E263" s="1073"/>
      <c r="F263" s="293"/>
      <c r="G263" s="1074" t="str">
        <f>IF(F263="Yes","In this cell - Please include the name of the plan, a brief description of the benefit and the population group that received the benefits."," ")</f>
        <v xml:space="preserve"> </v>
      </c>
      <c r="H263" s="17"/>
      <c r="I263" s="768"/>
      <c r="J263" s="576"/>
      <c r="K263" s="18"/>
      <c r="L263" s="18"/>
      <c r="M263" s="18"/>
      <c r="N263" s="295"/>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1" customFormat="1" ht="30.75" hidden="1" customHeight="1" x14ac:dyDescent="0.3">
      <c r="A264" s="108"/>
      <c r="B264" s="828" t="s">
        <v>322</v>
      </c>
      <c r="C264" s="829"/>
      <c r="D264" s="96"/>
      <c r="E264" s="770"/>
      <c r="F264" s="773"/>
      <c r="G264" s="730"/>
      <c r="H264" s="17"/>
      <c r="I264" s="79"/>
      <c r="J264" s="18"/>
      <c r="K264" s="18"/>
      <c r="L264" s="18"/>
      <c r="M264" s="18"/>
      <c r="N264" s="295"/>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1" customFormat="1" ht="81.75" hidden="1" customHeight="1" x14ac:dyDescent="0.3">
      <c r="A265" s="108">
        <v>598</v>
      </c>
      <c r="B265" s="672" t="s">
        <v>59</v>
      </c>
      <c r="C265" s="672" t="s">
        <v>323</v>
      </c>
      <c r="D265" s="709" t="s">
        <v>416</v>
      </c>
      <c r="E265" s="670" t="e">
        <f>HLOOKUP($D$2,'2020 Data(H)'!$C$1:$CZ$426,258,FALSE)</f>
        <v>#N/A</v>
      </c>
      <c r="F265" s="293">
        <v>0</v>
      </c>
      <c r="G265" s="731">
        <f>IF(F265&lt;0,"Error: Enter as positive.",)</f>
        <v>0</v>
      </c>
      <c r="H265" s="731"/>
      <c r="I265" s="768"/>
      <c r="J265" s="576"/>
      <c r="K265" s="18"/>
      <c r="L265" s="18"/>
      <c r="M265" s="18"/>
      <c r="N265" s="295"/>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1" customFormat="1" ht="53.25" hidden="1" customHeight="1" x14ac:dyDescent="0.3">
      <c r="A266" s="108">
        <v>599</v>
      </c>
      <c r="B266" s="672" t="s">
        <v>59</v>
      </c>
      <c r="C266" s="672" t="s">
        <v>323</v>
      </c>
      <c r="D266" s="29" t="s">
        <v>417</v>
      </c>
      <c r="E266" s="670" t="e">
        <f>HLOOKUP($D$2,'2020 Data(H)'!$C$1:$CZ$426,259,FALSE)</f>
        <v>#N/A</v>
      </c>
      <c r="F266" s="293">
        <v>0</v>
      </c>
      <c r="G266" s="775" t="str">
        <f>IF(ISBLANK(F266),"Please do not leave blank","")</f>
        <v/>
      </c>
      <c r="H266" s="731">
        <f>IF(F266&lt;0,"Error: Enter as positive.",)</f>
        <v>0</v>
      </c>
      <c r="I266" s="79"/>
      <c r="J266" s="769"/>
      <c r="K266" s="18"/>
      <c r="L266" s="18"/>
      <c r="M266" s="18"/>
      <c r="N266" s="295"/>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1" customFormat="1" ht="78.75" hidden="1" customHeight="1" x14ac:dyDescent="0.3">
      <c r="A267" s="108">
        <v>602</v>
      </c>
      <c r="B267" s="672" t="s">
        <v>59</v>
      </c>
      <c r="C267" s="672" t="s">
        <v>323</v>
      </c>
      <c r="D267" s="107" t="s">
        <v>422</v>
      </c>
      <c r="E267" s="670" t="e">
        <f>HLOOKUP($D$2,'2020 Data(H)'!$C$1:$CZ$426,262,FALSE)</f>
        <v>#N/A</v>
      </c>
      <c r="F267" s="293">
        <v>0</v>
      </c>
      <c r="G267" s="775" t="str">
        <f>IF(ISBLANK(F267),"Please do not leave blank","")</f>
        <v/>
      </c>
      <c r="H267" s="731">
        <f>IF(F267&lt;0,"Note: Number is normally positive.",)</f>
        <v>0</v>
      </c>
      <c r="I267" s="79"/>
      <c r="J267" s="576"/>
      <c r="K267" s="18"/>
      <c r="L267" s="18"/>
      <c r="M267" s="18"/>
      <c r="N267" s="295"/>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1" customFormat="1" ht="90" hidden="1" customHeight="1" x14ac:dyDescent="0.3">
      <c r="A268" s="108">
        <v>619</v>
      </c>
      <c r="B268" s="672" t="s">
        <v>59</v>
      </c>
      <c r="C268" s="672" t="s">
        <v>437</v>
      </c>
      <c r="D268" s="94" t="s">
        <v>443</v>
      </c>
      <c r="E268" s="35" t="e">
        <f>HLOOKUP($D$2,'2020 Data(H)'!$C$1:$CZ$426,279,FALSE)</f>
        <v>#N/A</v>
      </c>
      <c r="F268" s="902">
        <v>0</v>
      </c>
      <c r="G268" s="775" t="str">
        <f>IF(ISBLANK(F268),"Please do not leave blank ",IF(F268=H268,"","Please review percentage"))</f>
        <v/>
      </c>
      <c r="H268" s="776">
        <f>ROUND(IFERROR((F267/F266)*100,0),1)</f>
        <v>0</v>
      </c>
      <c r="I268" s="295"/>
      <c r="J268" s="18"/>
      <c r="K268" s="18"/>
      <c r="L268" s="18"/>
      <c r="M268" s="18"/>
      <c r="N268" s="295"/>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7" t="s">
        <v>25</v>
      </c>
      <c r="C269" s="868"/>
      <c r="D269" s="870"/>
      <c r="E269" s="884"/>
      <c r="F269" s="885"/>
      <c r="G269" s="852"/>
      <c r="H269" s="17"/>
      <c r="I269" s="79"/>
      <c r="J269" s="57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25">
        <v>621</v>
      </c>
      <c r="B270" s="125" t="s">
        <v>372</v>
      </c>
      <c r="C270" s="124" t="s">
        <v>450</v>
      </c>
      <c r="D270" s="124" t="s">
        <v>1147</v>
      </c>
      <c r="E270" s="670" t="e">
        <f>HLOOKUP($D$2,'2020 Data(H)'!$C$1:$CZ$426,281,FALSE)</f>
        <v>#N/A</v>
      </c>
      <c r="F270" s="293">
        <v>0</v>
      </c>
      <c r="G270" s="775" t="s">
        <v>1148</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2"/>
      <c r="C271" s="672" t="s">
        <v>167</v>
      </c>
      <c r="D271" s="669" t="s">
        <v>326</v>
      </c>
      <c r="E271" s="670" t="e">
        <f>HLOOKUP($D$2,'2020 Data(H)'!$C$1:$CZ$426,197,FALSE)</f>
        <v>#N/A</v>
      </c>
      <c r="F271" s="739"/>
      <c r="G271" s="774" t="str">
        <f>IF(F271&lt;1,"Please answer this question","")</f>
        <v>Please answer this question</v>
      </c>
      <c r="H271" s="732"/>
      <c r="I271" s="73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6" t="s">
        <v>59</v>
      </c>
      <c r="C272" s="826" t="s">
        <v>432</v>
      </c>
      <c r="D272" s="310" t="s">
        <v>1149</v>
      </c>
      <c r="E272" s="670" t="e">
        <f>HLOOKUP($D$2,'2020 Data(H)'!$C$1:$CZ$426,312,FALSE)</f>
        <v>#N/A</v>
      </c>
      <c r="F272" s="294">
        <v>0</v>
      </c>
      <c r="G272" s="775" t="s">
        <v>1150</v>
      </c>
      <c r="H272" s="731">
        <f>IF(F269&lt;0,"Error: Enter as positive.",)</f>
        <v>0</v>
      </c>
      <c r="I272" s="373"/>
      <c r="N272" s="295"/>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6" t="s">
        <v>59</v>
      </c>
      <c r="C273" s="826" t="s">
        <v>432</v>
      </c>
      <c r="D273" s="310" t="s">
        <v>1151</v>
      </c>
      <c r="E273" s="670" t="e">
        <f>HLOOKUP($D$2,'2020 Data(H)'!$C$1:$CZ$426,313,FALSE)</f>
        <v>#N/A</v>
      </c>
      <c r="F273" s="294">
        <v>0</v>
      </c>
      <c r="G273" s="775" t="str">
        <f>IF(ISBLANK(F273),"Please do not leave blank","")</f>
        <v/>
      </c>
      <c r="H273" s="731">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6" t="s">
        <v>59</v>
      </c>
      <c r="C274" s="826" t="s">
        <v>436</v>
      </c>
      <c r="D274" s="637" t="s">
        <v>1152</v>
      </c>
      <c r="E274" s="375" t="e">
        <f>HLOOKUP($D$2,'2020 Data(H)'!$C$1:$CZ$426,314,FALSE)</f>
        <v>#N/A</v>
      </c>
      <c r="F274" s="273">
        <v>0</v>
      </c>
      <c r="G274" s="775" t="str">
        <f>IF(ISBLANK(F274),"Please do not leave blank ",IF(F274=H274,"","Please review percentage"))</f>
        <v/>
      </c>
      <c r="H274" s="776">
        <f>ROUND(IFERROR((F273/F272)*100,0),1)</f>
        <v>0</v>
      </c>
      <c r="I274" s="776"/>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2"/>
      <c r="C275" s="672"/>
      <c r="D275" s="27" t="s">
        <v>26</v>
      </c>
      <c r="E275" s="674"/>
      <c r="F275" s="677"/>
      <c r="G275" s="775"/>
      <c r="H275" s="776"/>
      <c r="I275" s="77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7" t="s">
        <v>27</v>
      </c>
      <c r="C276" s="868"/>
      <c r="D276" s="870"/>
      <c r="E276" s="884"/>
      <c r="F276" s="884"/>
      <c r="G276" s="85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1254</v>
      </c>
      <c r="E277" s="670" t="e">
        <f>HLOOKUP($D$2,'2020 Data(H)'!$C$1:$CZ$426,132,FALSE)</f>
        <v>#N/A</v>
      </c>
      <c r="F277" s="294">
        <v>0</v>
      </c>
      <c r="G277" s="73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4" t="s">
        <v>58</v>
      </c>
      <c r="C278" s="4" t="s">
        <v>168</v>
      </c>
      <c r="D278" s="24" t="s">
        <v>1255</v>
      </c>
      <c r="E278" s="670" t="e">
        <f>HLOOKUP($D$2,'2020 Data(H)'!$C$1:$CZ$426,163,FALSE)</f>
        <v>#N/A</v>
      </c>
      <c r="F278" s="294">
        <v>0</v>
      </c>
      <c r="G278" s="731">
        <f>IF(F278&lt;0,"Error: Enter as positive.",)</f>
        <v>0</v>
      </c>
      <c r="H278" s="732"/>
      <c r="I278" s="73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4" t="s">
        <v>58</v>
      </c>
      <c r="C279" s="4" t="s">
        <v>168</v>
      </c>
      <c r="D279" s="24" t="s">
        <v>1256</v>
      </c>
      <c r="E279" s="670" t="e">
        <f>HLOOKUP($D$2,'2020 Data(H)'!$C$1:$CZ$426,164,FALSE)</f>
        <v>#N/A</v>
      </c>
      <c r="F279" s="294">
        <v>0</v>
      </c>
      <c r="G279" s="731">
        <f>IF(F279&lt;0,"Error: Enter as positive.",)</f>
        <v>0</v>
      </c>
      <c r="H279" s="17"/>
      <c r="I279" s="73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3" t="s">
        <v>791</v>
      </c>
      <c r="C280" s="830" t="s">
        <v>168</v>
      </c>
      <c r="D280" s="759" t="s">
        <v>792</v>
      </c>
      <c r="E280" s="672" t="s">
        <v>768</v>
      </c>
      <c r="F280" s="294">
        <v>0</v>
      </c>
      <c r="G280" s="731"/>
      <c r="H280" s="17"/>
      <c r="I280" s="73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867" t="s">
        <v>28</v>
      </c>
      <c r="C281" s="868"/>
      <c r="D281" s="870"/>
      <c r="E281" s="884"/>
      <c r="F281" s="852"/>
      <c r="G281" s="85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1257</v>
      </c>
      <c r="E282" s="670" t="e">
        <f>HLOOKUP($D$2,'2020 Data(H)'!$C$1:$CZ$426,5,FALSE)</f>
        <v>#N/A</v>
      </c>
      <c r="F282" s="294">
        <v>0</v>
      </c>
      <c r="G282" s="731">
        <f>IF(F282&lt;0,"Error: Enter as positive.",)</f>
        <v>0</v>
      </c>
      <c r="H282" s="17"/>
      <c r="I282" s="79"/>
      <c r="J282" s="57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7" t="s">
        <v>180</v>
      </c>
      <c r="C283" s="868"/>
      <c r="D283" s="870"/>
      <c r="E283" s="886"/>
      <c r="F283" s="862"/>
      <c r="G283" s="862"/>
      <c r="H283" s="732"/>
      <c r="I283" s="733"/>
      <c r="J283" s="57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2" t="s">
        <v>59</v>
      </c>
      <c r="C284" s="672" t="s">
        <v>1258</v>
      </c>
      <c r="D284" s="669" t="s">
        <v>1259</v>
      </c>
      <c r="E284" s="670" t="e">
        <f>HLOOKUP($D$2,'2020 Data(H)'!$C$1:$CZ$426,191,FALSE)</f>
        <v>#N/A</v>
      </c>
      <c r="F284" s="294">
        <v>0</v>
      </c>
      <c r="G284" s="731"/>
      <c r="H284" s="732"/>
      <c r="I284" s="733"/>
      <c r="J284" s="57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8" t="s">
        <v>50</v>
      </c>
      <c r="C285" s="868"/>
      <c r="D285" s="870"/>
      <c r="E285" s="886"/>
      <c r="F285" s="882"/>
      <c r="G285" s="882"/>
      <c r="H285" s="732"/>
      <c r="I285" s="73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2" t="s">
        <v>59</v>
      </c>
      <c r="C286" s="834" t="s">
        <v>1260</v>
      </c>
      <c r="D286" s="29" t="s">
        <v>170</v>
      </c>
      <c r="E286" s="670" t="e">
        <f>HLOOKUP($D$2,'2020 Data(H)'!$C$1:$CZ$426,192,FALSE)</f>
        <v>#N/A</v>
      </c>
      <c r="F286" s="294">
        <v>0</v>
      </c>
      <c r="G286" s="731"/>
      <c r="H286" s="732"/>
      <c r="I286" s="77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7" t="s">
        <v>1261</v>
      </c>
      <c r="C287" s="867"/>
      <c r="D287" s="843"/>
      <c r="E287" s="844"/>
      <c r="F287" s="864"/>
      <c r="G287" s="86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7" t="s">
        <v>12</v>
      </c>
      <c r="C288" s="887"/>
      <c r="D288" s="843"/>
      <c r="E288" s="844"/>
      <c r="F288" s="888"/>
      <c r="G288" s="86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2" t="s">
        <v>55</v>
      </c>
      <c r="C289" s="4" t="s">
        <v>171</v>
      </c>
      <c r="D289" s="609" t="s">
        <v>1298</v>
      </c>
      <c r="E289" s="670" t="e">
        <f>HLOOKUP($D$2,'2020 Data(H)'!$C$1:$CZ$426,178,FALSE)</f>
        <v>#N/A</v>
      </c>
      <c r="F289" s="294">
        <v>0</v>
      </c>
      <c r="G289" s="731">
        <f>IF(F289="","Error: Unit must enter this information if they levy taxes.",)</f>
        <v>0</v>
      </c>
      <c r="H289" s="779"/>
      <c r="I289" s="79"/>
      <c r="J289" s="78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2" t="s">
        <v>55</v>
      </c>
      <c r="C290" s="4" t="s">
        <v>171</v>
      </c>
      <c r="D290" s="609" t="s">
        <v>1262</v>
      </c>
      <c r="E290" s="670" t="e">
        <f>HLOOKUP($D$2,'2020 Data(H)'!$C$1:$CZ$426,179,FALSE)</f>
        <v>#N/A</v>
      </c>
      <c r="F290" s="294">
        <v>0</v>
      </c>
      <c r="G290" s="73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2" t="s">
        <v>55</v>
      </c>
      <c r="C291" s="4" t="s">
        <v>171</v>
      </c>
      <c r="D291" s="835" t="s">
        <v>1263</v>
      </c>
      <c r="E291" s="670" t="e">
        <f>HLOOKUP($D$2,'2020 Data(H)'!$C$1:$CZ$426,180,FALSE)</f>
        <v>#N/A</v>
      </c>
      <c r="F291" s="294">
        <v>0</v>
      </c>
      <c r="G291" s="73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2" t="s">
        <v>55</v>
      </c>
      <c r="C292" s="4" t="s">
        <v>171</v>
      </c>
      <c r="D292" s="835" t="s">
        <v>1264</v>
      </c>
      <c r="E292" s="670" t="e">
        <f>HLOOKUP($D$2,'2020 Data(H)'!$C$1:$CZ$426,181,FALSE)</f>
        <v>#N/A</v>
      </c>
      <c r="F292" s="294">
        <v>0</v>
      </c>
      <c r="G292" s="73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1265</v>
      </c>
      <c r="E293" s="35" t="e">
        <f>HLOOKUP($D$2,'2020 Data(H)'!$C$1:$CZ$426,43,FALSE)</f>
        <v>#N/A</v>
      </c>
      <c r="F293" s="283">
        <v>0</v>
      </c>
      <c r="G293" s="731" t="e">
        <f>IF(F293=H293," ","Please check values in account 528, 529, 530 and  531.")</f>
        <v>#DIV/0!</v>
      </c>
      <c r="H293" s="78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1266</v>
      </c>
      <c r="E294" s="35" t="e">
        <f>HLOOKUP($D$2,'2020 Data(H)'!$C$1:$CZ$426,62,FALSE)</f>
        <v>#N/A</v>
      </c>
      <c r="F294" s="283">
        <v>0</v>
      </c>
      <c r="G294" s="731" t="e">
        <f>IF(F294=H294," ","Please check values in account 528 and 530.")</f>
        <v>#DIV/0!</v>
      </c>
      <c r="H294" s="78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1267</v>
      </c>
      <c r="E295" s="35" t="e">
        <f>HLOOKUP($D$2,'2020 Data(H)'!$C$1:$CZ$426,63,FALSE)</f>
        <v>#N/A</v>
      </c>
      <c r="F295" s="283">
        <v>0</v>
      </c>
      <c r="G295" s="731" t="e">
        <f>IF(F295=H295," ","Please check values in account 529 and 531.")</f>
        <v>#DIV/0!</v>
      </c>
      <c r="H295" s="781" t="e">
        <f>ROUND((F290-F292)/F290*100,2)</f>
        <v>#DIV/0!</v>
      </c>
      <c r="I295" s="79"/>
      <c r="M295" s="18" t="s">
        <v>769</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2" t="s">
        <v>59</v>
      </c>
      <c r="C296" s="672" t="s">
        <v>171</v>
      </c>
      <c r="D296" s="24" t="s">
        <v>1268</v>
      </c>
      <c r="E296" s="36" t="e">
        <f>HLOOKUP($D$2,'2020 Data(H)'!$C$1:$CZ$426,194,FALSE)</f>
        <v>#N/A</v>
      </c>
      <c r="F296" s="364">
        <v>0</v>
      </c>
      <c r="G296" s="731"/>
      <c r="H296" s="17"/>
      <c r="I296" s="108"/>
      <c r="J296" s="83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2" t="s">
        <v>59</v>
      </c>
      <c r="C297" s="672" t="s">
        <v>171</v>
      </c>
      <c r="D297" s="24" t="s">
        <v>1269</v>
      </c>
      <c r="E297" s="36"/>
      <c r="F297" s="364">
        <v>0</v>
      </c>
      <c r="G297" s="731"/>
      <c r="H297" s="17"/>
      <c r="I297" s="137"/>
      <c r="J297" s="83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451</v>
      </c>
      <c r="E298" s="36"/>
      <c r="F298" s="272"/>
      <c r="G298" s="774" t="str">
        <f>IF(+F298&lt;1,"Please answer this question","")</f>
        <v>Please answer this question</v>
      </c>
      <c r="H298" s="17"/>
      <c r="I298" s="108"/>
      <c r="J298" s="836"/>
      <c r="M298" s="18" t="s">
        <v>770</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3">
        <v>648</v>
      </c>
      <c r="B299" s="314" t="s">
        <v>866</v>
      </c>
      <c r="C299" s="830" t="s">
        <v>171</v>
      </c>
      <c r="D299" s="314" t="s">
        <v>1131</v>
      </c>
      <c r="E299" s="672" t="s">
        <v>768</v>
      </c>
      <c r="F299" s="364">
        <v>0</v>
      </c>
      <c r="G299" s="774"/>
      <c r="H299" s="17"/>
      <c r="I299" s="108"/>
      <c r="J299" s="836"/>
      <c r="Z299" s="673"/>
      <c r="AA299" s="673"/>
      <c r="AB299" s="673"/>
      <c r="AC299" s="673"/>
      <c r="AD299" s="673"/>
      <c r="AE299" s="673"/>
      <c r="AF299" s="673"/>
      <c r="AG299" s="673"/>
      <c r="AH299" s="673"/>
      <c r="AI299" s="673"/>
      <c r="AJ299" s="673"/>
      <c r="AK299" s="673"/>
      <c r="AL299" s="673"/>
      <c r="AM299" s="673"/>
      <c r="AN299" s="673"/>
      <c r="AO299" s="673"/>
      <c r="AP299" s="673"/>
      <c r="AQ299" s="673"/>
      <c r="AR299" s="673"/>
    </row>
    <row r="300" spans="1:44" ht="171" hidden="1" customHeight="1" x14ac:dyDescent="0.3">
      <c r="A300" s="673">
        <v>991</v>
      </c>
      <c r="B300" s="313" t="s">
        <v>798</v>
      </c>
      <c r="C300" s="314"/>
      <c r="D300" s="782" t="s">
        <v>1062</v>
      </c>
      <c r="E300" s="672" t="s">
        <v>768</v>
      </c>
      <c r="F300" s="272"/>
      <c r="G300" s="774"/>
      <c r="H300" s="783" t="s">
        <v>794</v>
      </c>
      <c r="I300" s="254" t="s">
        <v>800</v>
      </c>
      <c r="J300" s="836"/>
      <c r="M300" s="18" t="s">
        <v>795</v>
      </c>
      <c r="Z300" s="673"/>
      <c r="AA300" s="673"/>
      <c r="AB300" s="673"/>
      <c r="AC300" s="673"/>
      <c r="AD300" s="673"/>
      <c r="AE300" s="673"/>
      <c r="AF300" s="673"/>
      <c r="AG300" s="673"/>
      <c r="AH300" s="673"/>
      <c r="AI300" s="673"/>
      <c r="AJ300" s="673"/>
      <c r="AK300" s="673"/>
      <c r="AL300" s="673"/>
      <c r="AM300" s="673"/>
      <c r="AN300" s="673"/>
      <c r="AO300" s="673"/>
      <c r="AP300" s="673"/>
      <c r="AQ300" s="673"/>
      <c r="AR300" s="673"/>
    </row>
    <row r="301" spans="1:44" ht="27.75" customHeight="1" x14ac:dyDescent="0.3">
      <c r="A301" s="108"/>
      <c r="B301" s="867" t="s">
        <v>440</v>
      </c>
      <c r="C301" s="867"/>
      <c r="D301" s="867"/>
      <c r="E301" s="889"/>
      <c r="F301" s="889"/>
      <c r="G301" s="890"/>
      <c r="H301" s="17"/>
      <c r="I301" s="108"/>
      <c r="J301" s="836"/>
      <c r="M301" s="18" t="s">
        <v>796</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72" t="s">
        <v>59</v>
      </c>
      <c r="C302" s="672"/>
      <c r="D302" s="24" t="s">
        <v>439</v>
      </c>
      <c r="E302" s="910"/>
      <c r="F302" s="272"/>
      <c r="G302" s="774" t="str">
        <f>IF(F302&lt;1,"Please answer this question","")</f>
        <v>Please answer this question</v>
      </c>
      <c r="H302" s="17"/>
      <c r="I302" s="108"/>
      <c r="J302" s="836"/>
      <c r="M302" s="18" t="s">
        <v>797</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7"/>
      <c r="B303" s="1126" t="s">
        <v>621</v>
      </c>
      <c r="C303" s="1126"/>
      <c r="D303" s="1126"/>
      <c r="E303" s="903"/>
      <c r="F303" s="903"/>
      <c r="G303" s="903"/>
      <c r="H303" s="17"/>
      <c r="I303" s="108"/>
      <c r="J303" s="836"/>
      <c r="M303" s="18" t="s">
        <v>629</v>
      </c>
      <c r="Z303" s="837"/>
      <c r="AA303" s="837"/>
      <c r="AB303" s="837"/>
      <c r="AC303" s="837"/>
      <c r="AD303" s="837"/>
      <c r="AE303" s="837"/>
      <c r="AF303" s="837"/>
      <c r="AG303" s="837"/>
      <c r="AH303" s="837"/>
      <c r="AI303" s="837"/>
      <c r="AJ303" s="837"/>
      <c r="AK303" s="837"/>
      <c r="AL303" s="837"/>
      <c r="AM303" s="837"/>
      <c r="AN303" s="837"/>
      <c r="AO303" s="837"/>
      <c r="AP303" s="837"/>
      <c r="AQ303" s="837"/>
      <c r="AR303" s="837"/>
    </row>
    <row r="304" spans="1:44" ht="63" customHeight="1" x14ac:dyDescent="0.3">
      <c r="A304" s="307">
        <v>947</v>
      </c>
      <c r="B304" s="838"/>
      <c r="C304" s="838"/>
      <c r="D304" s="174" t="s">
        <v>551</v>
      </c>
      <c r="E304" s="675"/>
      <c r="F304" s="784"/>
      <c r="G304" s="774" t="str">
        <f>IF(ISBLANK(F304),"Please do not leave blank","")</f>
        <v>Please do not leave blank</v>
      </c>
      <c r="H304" s="17"/>
      <c r="I304" s="295"/>
      <c r="J304" s="710"/>
      <c r="K304" s="295"/>
      <c r="L304" s="295"/>
      <c r="M304" s="295"/>
      <c r="O304" s="295"/>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8"/>
      <c r="C305" s="838"/>
      <c r="D305" s="174" t="s">
        <v>552</v>
      </c>
      <c r="E305" s="675"/>
      <c r="F305" s="784"/>
      <c r="G305" s="774" t="str">
        <f t="shared" ref="G305:G311" si="3">IF(ISBLANK(F305),"Please do not leave blank","")</f>
        <v>Please do not leave blank</v>
      </c>
      <c r="H305" s="17"/>
      <c r="I305" s="295"/>
      <c r="J305" s="710"/>
      <c r="K305" s="295"/>
      <c r="L305" s="295"/>
      <c r="M305" s="295"/>
      <c r="O305" s="295"/>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8"/>
      <c r="C306" s="838"/>
      <c r="D306" s="174" t="s">
        <v>553</v>
      </c>
      <c r="E306" s="675"/>
      <c r="F306" s="784"/>
      <c r="G306" s="774" t="str">
        <f t="shared" si="3"/>
        <v>Please do not leave blank</v>
      </c>
      <c r="H306" s="17"/>
      <c r="I306" s="295"/>
      <c r="J306" s="710"/>
      <c r="K306" s="295"/>
      <c r="L306" s="295"/>
      <c r="M306" s="295"/>
      <c r="O306" s="295"/>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8"/>
      <c r="C307" s="838"/>
      <c r="D307" s="174" t="s">
        <v>535</v>
      </c>
      <c r="E307" s="675"/>
      <c r="F307" s="784"/>
      <c r="G307" s="774" t="str">
        <f t="shared" si="3"/>
        <v>Please do not leave blank</v>
      </c>
      <c r="H307" s="17"/>
      <c r="I307" s="295"/>
      <c r="J307" s="710"/>
      <c r="K307" s="295"/>
      <c r="L307" s="295"/>
      <c r="M307" s="295"/>
      <c r="O307" s="295"/>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8"/>
      <c r="C308" s="838"/>
      <c r="D308" s="785" t="s">
        <v>1153</v>
      </c>
      <c r="E308" s="675"/>
      <c r="F308" s="786"/>
      <c r="G308" s="774" t="s">
        <v>1299</v>
      </c>
      <c r="H308" s="17"/>
      <c r="I308" s="787"/>
      <c r="J308" s="710"/>
      <c r="K308" s="295"/>
      <c r="L308" s="295"/>
      <c r="M308" s="295"/>
      <c r="O308" s="295"/>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8"/>
      <c r="C309" s="838"/>
      <c r="D309" s="785" t="s">
        <v>536</v>
      </c>
      <c r="E309" s="675"/>
      <c r="F309" s="784"/>
      <c r="G309" s="774" t="str">
        <f t="shared" si="3"/>
        <v>Please do not leave blank</v>
      </c>
      <c r="H309" s="17"/>
      <c r="I309" s="295"/>
      <c r="J309" s="710"/>
      <c r="K309" s="295"/>
      <c r="L309" s="295"/>
      <c r="M309" s="295"/>
      <c r="O309" s="295"/>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8"/>
      <c r="C310" s="838"/>
      <c r="D310" s="785" t="s">
        <v>537</v>
      </c>
      <c r="E310" s="675"/>
      <c r="F310" s="784"/>
      <c r="G310" s="774" t="str">
        <f t="shared" si="3"/>
        <v>Please do not leave blank</v>
      </c>
      <c r="H310" s="17"/>
      <c r="I310" s="295"/>
      <c r="J310" s="299"/>
      <c r="K310" s="295"/>
      <c r="L310" s="295"/>
      <c r="M310" s="295"/>
      <c r="O310" s="295"/>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8"/>
      <c r="C311" s="838"/>
      <c r="D311" s="782" t="s">
        <v>1004</v>
      </c>
      <c r="E311" s="675"/>
      <c r="F311" s="784"/>
      <c r="G311" s="774" t="str">
        <f t="shared" si="3"/>
        <v>Please do not leave blank</v>
      </c>
      <c r="H311" s="17"/>
      <c r="I311" s="295"/>
      <c r="J311" s="295"/>
      <c r="K311" s="295"/>
      <c r="L311" s="295"/>
      <c r="M311" s="295"/>
      <c r="O311" s="295"/>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91"/>
      <c r="C312" s="892"/>
      <c r="D312" s="893" t="s">
        <v>539</v>
      </c>
      <c r="E312" s="877"/>
      <c r="F312" s="894"/>
      <c r="G312" s="895"/>
      <c r="H312" s="896"/>
      <c r="I312" s="295"/>
      <c r="J312" s="295"/>
      <c r="K312" s="295"/>
      <c r="L312" s="295"/>
      <c r="M312" s="295"/>
      <c r="O312" s="295"/>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23" t="s">
        <v>622</v>
      </c>
      <c r="C313" s="1124"/>
      <c r="D313" s="1124"/>
      <c r="E313" s="1125"/>
      <c r="F313" s="79"/>
      <c r="G313" s="774"/>
      <c r="H313" s="17"/>
      <c r="I313" s="108"/>
      <c r="Z313" s="18"/>
    </row>
    <row r="314" spans="1:44" ht="75.75" customHeight="1" x14ac:dyDescent="0.3">
      <c r="B314" s="1111" t="s">
        <v>623</v>
      </c>
      <c r="C314" s="1111"/>
      <c r="D314" s="1111"/>
      <c r="E314" s="1111"/>
      <c r="F314" s="79"/>
      <c r="G314" s="774"/>
      <c r="H314" s="17"/>
      <c r="I314" s="108"/>
      <c r="Z314" s="18"/>
    </row>
    <row r="315" spans="1:44" ht="15" thickBot="1" x14ac:dyDescent="0.35">
      <c r="A315" s="788"/>
      <c r="B315" s="789"/>
      <c r="C315" s="789"/>
      <c r="D315" s="790"/>
      <c r="E315" s="670"/>
      <c r="F315" s="79"/>
      <c r="G315" s="774"/>
      <c r="H315" s="17"/>
      <c r="I315" s="108"/>
      <c r="Z315" s="788"/>
      <c r="AA315" s="788"/>
      <c r="AB315" s="788"/>
      <c r="AC315" s="788"/>
      <c r="AD315" s="788"/>
      <c r="AE315" s="788"/>
      <c r="AF315" s="788"/>
      <c r="AG315" s="788"/>
      <c r="AH315" s="788"/>
      <c r="AI315" s="788"/>
      <c r="AJ315" s="788"/>
      <c r="AK315" s="788"/>
      <c r="AL315" s="788"/>
      <c r="AM315" s="788"/>
      <c r="AN315" s="788"/>
      <c r="AO315" s="788"/>
      <c r="AP315" s="788"/>
      <c r="AQ315" s="788"/>
      <c r="AR315" s="788"/>
    </row>
    <row r="316" spans="1:44" ht="15" thickBot="1" x14ac:dyDescent="0.35">
      <c r="B316" s="159" t="s">
        <v>516</v>
      </c>
      <c r="C316" s="160" t="s">
        <v>517</v>
      </c>
      <c r="D316" s="791"/>
      <c r="E316" s="792"/>
      <c r="F316" s="100"/>
      <c r="G316" s="774"/>
      <c r="H316" s="17"/>
      <c r="I316" s="108"/>
      <c r="Z316" s="18"/>
    </row>
    <row r="317" spans="1:44" ht="44.25" customHeight="1" thickBot="1" x14ac:dyDescent="0.35">
      <c r="B317" s="163" t="s">
        <v>557</v>
      </c>
      <c r="C317" s="162"/>
      <c r="D317" s="161"/>
      <c r="E317" s="676"/>
      <c r="F317" s="793"/>
      <c r="G317" s="774"/>
      <c r="H317" s="17"/>
      <c r="I317" s="108"/>
      <c r="Z317" s="18"/>
    </row>
    <row r="318" spans="1:44" ht="44.25" customHeight="1" thickBot="1" x14ac:dyDescent="0.35">
      <c r="B318" s="163"/>
      <c r="C318" s="173"/>
      <c r="D318" s="794" t="s">
        <v>611</v>
      </c>
      <c r="E318" s="795"/>
      <c r="F318" s="796"/>
      <c r="G318" s="796"/>
      <c r="H318" s="17"/>
      <c r="I318" s="108"/>
      <c r="Z318" s="18"/>
    </row>
    <row r="319" spans="1:44" ht="64.5" customHeight="1" thickBot="1" x14ac:dyDescent="0.35">
      <c r="A319" s="560">
        <v>960</v>
      </c>
      <c r="B319" s="1116" t="s">
        <v>558</v>
      </c>
      <c r="C319" s="1117"/>
      <c r="D319" s="797"/>
      <c r="E319" s="904" t="str">
        <f>IF(ISBLANK($D319),"&lt;&lt;&lt;&lt;&lt;&lt;&lt;&lt;&lt;&lt;&lt;&lt;&lt;&lt;&lt;","")</f>
        <v>&lt;&lt;&lt;&lt;&lt;&lt;&lt;&lt;&lt;&lt;&lt;&lt;&lt;&lt;&lt;</v>
      </c>
      <c r="F319" s="905" t="str">
        <f>IF(ISBLANK($D319),"Required","")</f>
        <v>Required</v>
      </c>
      <c r="G319" s="907"/>
      <c r="H319" s="732"/>
      <c r="I319" s="108"/>
      <c r="Z319" s="560"/>
      <c r="AA319" s="560"/>
      <c r="AB319" s="560"/>
      <c r="AC319" s="560"/>
      <c r="AD319" s="560"/>
      <c r="AE319" s="560"/>
      <c r="AF319" s="560"/>
      <c r="AG319" s="560"/>
      <c r="AH319" s="560"/>
      <c r="AI319" s="560"/>
      <c r="AJ319" s="560"/>
      <c r="AK319" s="560"/>
      <c r="AL319" s="560"/>
      <c r="AM319" s="560"/>
      <c r="AN319" s="560"/>
      <c r="AO319" s="560"/>
      <c r="AP319" s="560"/>
      <c r="AQ319" s="560"/>
      <c r="AR319" s="560"/>
    </row>
    <row r="320" spans="1:44" ht="30.75" customHeight="1" thickBot="1" x14ac:dyDescent="0.35">
      <c r="A320" s="560">
        <v>962</v>
      </c>
      <c r="B320" s="1112" t="s">
        <v>518</v>
      </c>
      <c r="C320" s="1113"/>
      <c r="D320" s="797"/>
      <c r="E320" s="904" t="str">
        <f>IF(ISBLANK($D320),"&lt;&lt;&lt;&lt;&lt;&lt;&lt;&lt;&lt;&lt;&lt;&lt;&lt;&lt;&lt;","")</f>
        <v>&lt;&lt;&lt;&lt;&lt;&lt;&lt;&lt;&lt;&lt;&lt;&lt;&lt;&lt;&lt;</v>
      </c>
      <c r="F320" s="905" t="str">
        <f>IF(ISBLANK($D320),"Required","")</f>
        <v>Required</v>
      </c>
      <c r="H320" s="17"/>
      <c r="I320" s="108"/>
      <c r="Z320" s="560"/>
      <c r="AA320" s="560"/>
      <c r="AB320" s="560"/>
      <c r="AC320" s="560"/>
      <c r="AD320" s="560"/>
      <c r="AE320" s="560"/>
      <c r="AF320" s="560"/>
      <c r="AG320" s="560"/>
      <c r="AH320" s="560"/>
      <c r="AI320" s="560"/>
      <c r="AJ320" s="560"/>
      <c r="AK320" s="560"/>
      <c r="AL320" s="560"/>
      <c r="AM320" s="560"/>
      <c r="AN320" s="560"/>
      <c r="AO320" s="560"/>
      <c r="AP320" s="560"/>
      <c r="AQ320" s="560"/>
      <c r="AR320" s="560"/>
    </row>
    <row r="321" spans="1:44" ht="30.75" customHeight="1" thickBot="1" x14ac:dyDescent="0.35">
      <c r="A321" s="560">
        <v>964</v>
      </c>
      <c r="B321" s="1112" t="s">
        <v>519</v>
      </c>
      <c r="C321" s="1113"/>
      <c r="D321" s="798"/>
      <c r="E321" s="904" t="str">
        <f>IF(ISBLANK($D321),"&lt;&lt;&lt;&lt;&lt;&lt;&lt;&lt;&lt;&lt;&lt;&lt;&lt;&lt;&lt;","")</f>
        <v>&lt;&lt;&lt;&lt;&lt;&lt;&lt;&lt;&lt;&lt;&lt;&lt;&lt;&lt;&lt;</v>
      </c>
      <c r="F321" s="905" t="str">
        <f>IF(ISBLANK($D321),"Required","")</f>
        <v>Required</v>
      </c>
      <c r="H321" s="17"/>
      <c r="I321" s="365"/>
      <c r="Z321" s="560"/>
      <c r="AA321" s="560"/>
      <c r="AB321" s="560"/>
      <c r="AC321" s="560"/>
      <c r="AD321" s="560"/>
      <c r="AE321" s="560"/>
      <c r="AF321" s="560"/>
      <c r="AG321" s="560"/>
      <c r="AH321" s="560"/>
      <c r="AI321" s="560"/>
      <c r="AJ321" s="560"/>
      <c r="AK321" s="560"/>
      <c r="AL321" s="560"/>
      <c r="AM321" s="560"/>
      <c r="AN321" s="560"/>
      <c r="AO321" s="560"/>
      <c r="AP321" s="560"/>
      <c r="AQ321" s="560"/>
      <c r="AR321" s="560"/>
    </row>
    <row r="322" spans="1:44" ht="30.75" customHeight="1" thickBot="1" x14ac:dyDescent="0.35">
      <c r="A322" s="560">
        <v>966</v>
      </c>
      <c r="B322" s="1112" t="s">
        <v>520</v>
      </c>
      <c r="C322" s="1113"/>
      <c r="D322" s="797"/>
      <c r="E322" s="904" t="str">
        <f>IF(ISBLANK($D322),"&lt;&lt;&lt;&lt;&lt;&lt;&lt;&lt;&lt;&lt;&lt;&lt;&lt;&lt;&lt;","")</f>
        <v>&lt;&lt;&lt;&lt;&lt;&lt;&lt;&lt;&lt;&lt;&lt;&lt;&lt;&lt;&lt;</v>
      </c>
      <c r="F322" s="905" t="str">
        <f>IF(ISBLANK($D322),"Required","")</f>
        <v>Required</v>
      </c>
      <c r="H322" s="17"/>
      <c r="I322" s="108"/>
      <c r="Z322" s="560"/>
      <c r="AA322" s="560"/>
      <c r="AB322" s="560"/>
      <c r="AC322" s="560"/>
      <c r="AD322" s="560"/>
      <c r="AE322" s="560"/>
      <c r="AF322" s="560"/>
      <c r="AG322" s="560"/>
      <c r="AH322" s="560"/>
      <c r="AI322" s="560"/>
      <c r="AJ322" s="560"/>
      <c r="AK322" s="560"/>
      <c r="AL322" s="560"/>
      <c r="AM322" s="560"/>
      <c r="AN322" s="560"/>
      <c r="AO322" s="560"/>
      <c r="AP322" s="560"/>
      <c r="AQ322" s="560"/>
      <c r="AR322" s="560"/>
    </row>
    <row r="323" spans="1:44" ht="30.75" customHeight="1" thickBot="1" x14ac:dyDescent="0.35">
      <c r="A323" s="560">
        <v>968</v>
      </c>
      <c r="B323" s="1114" t="s">
        <v>521</v>
      </c>
      <c r="C323" s="1115"/>
      <c r="D323" s="799"/>
      <c r="E323" s="906" t="str">
        <f>IF(ISBLANK($D323),"&lt;&lt;&lt;&lt;&lt;&lt;&lt;&lt;&lt;&lt;&lt;&lt;&lt;&lt;&lt;","")</f>
        <v>&lt;&lt;&lt;&lt;&lt;&lt;&lt;&lt;&lt;&lt;&lt;&lt;&lt;&lt;&lt;</v>
      </c>
      <c r="F323" s="905" t="str">
        <f>IF(ISBLANK($D323),"Required","")</f>
        <v>Required</v>
      </c>
      <c r="H323" s="17"/>
      <c r="I323" s="108"/>
      <c r="Z323" s="560"/>
      <c r="AA323" s="560"/>
      <c r="AB323" s="560"/>
      <c r="AC323" s="560"/>
      <c r="AD323" s="560"/>
      <c r="AE323" s="560"/>
      <c r="AF323" s="560"/>
      <c r="AG323" s="560"/>
      <c r="AH323" s="560"/>
      <c r="AI323" s="560"/>
      <c r="AJ323" s="560"/>
      <c r="AK323" s="560"/>
      <c r="AL323" s="560"/>
      <c r="AM323" s="560"/>
      <c r="AN323" s="560"/>
      <c r="AO323" s="560"/>
      <c r="AP323" s="560"/>
      <c r="AQ323" s="560"/>
      <c r="AR323" s="560"/>
    </row>
    <row r="324" spans="1:44" x14ac:dyDescent="0.3">
      <c r="A324" s="108"/>
      <c r="B324" s="897"/>
      <c r="C324" s="897"/>
      <c r="D324" s="908" t="s">
        <v>46</v>
      </c>
      <c r="E324" s="898"/>
      <c r="F324" s="898"/>
      <c r="G324" s="898"/>
      <c r="H324" s="899"/>
      <c r="I324" s="108"/>
    </row>
    <row r="325" spans="1:44" x14ac:dyDescent="0.3">
      <c r="A325" s="108"/>
      <c r="B325" s="672"/>
      <c r="C325" s="672"/>
      <c r="D325" s="171"/>
      <c r="E325" s="297"/>
      <c r="F325" s="800"/>
      <c r="G325" s="800"/>
      <c r="H325" s="17"/>
      <c r="I325" s="108"/>
    </row>
    <row r="326" spans="1:44" x14ac:dyDescent="0.3">
      <c r="A326" s="108"/>
      <c r="B326" s="672"/>
      <c r="C326" s="672"/>
      <c r="D326" s="24"/>
      <c r="E326" s="670"/>
      <c r="F326" s="800"/>
      <c r="G326" s="800"/>
      <c r="H326" s="17"/>
      <c r="I326" s="108"/>
    </row>
    <row r="327" spans="1:44" x14ac:dyDescent="0.3">
      <c r="A327" s="985">
        <f>SUBTOTAL(109,A7:A323)</f>
        <v>20330</v>
      </c>
    </row>
    <row r="328" spans="1:44" x14ac:dyDescent="0.3">
      <c r="A328" s="108"/>
      <c r="B328" s="839"/>
      <c r="C328" s="839"/>
      <c r="D328" s="801"/>
      <c r="E328" s="406"/>
      <c r="F328" s="18"/>
      <c r="G328" s="802"/>
      <c r="H328" s="17"/>
      <c r="I328" s="108"/>
    </row>
    <row r="329" spans="1:44" x14ac:dyDescent="0.3">
      <c r="A329" s="560"/>
      <c r="B329" s="560"/>
      <c r="C329" s="560"/>
      <c r="D329" s="801"/>
      <c r="E329" s="406"/>
      <c r="F329" s="295"/>
      <c r="G329" s="802"/>
      <c r="H329" s="17"/>
      <c r="I329" s="108"/>
    </row>
    <row r="330" spans="1:44" x14ac:dyDescent="0.3">
      <c r="A330" s="560"/>
      <c r="B330" s="560"/>
      <c r="C330" s="560"/>
      <c r="D330" s="803"/>
      <c r="E330" s="406"/>
      <c r="F330" s="295"/>
      <c r="G330" s="802"/>
      <c r="H330" s="17"/>
      <c r="I330" s="108"/>
    </row>
    <row r="331" spans="1:44" x14ac:dyDescent="0.3">
      <c r="A331" s="560"/>
      <c r="B331" s="560"/>
      <c r="C331" s="560"/>
      <c r="D331" s="803"/>
      <c r="E331" s="406"/>
      <c r="F331" s="295"/>
      <c r="G331" s="802"/>
      <c r="H331" s="17"/>
      <c r="I331" s="108"/>
    </row>
    <row r="332" spans="1:44" x14ac:dyDescent="0.3">
      <c r="A332" s="560"/>
      <c r="B332" s="560"/>
      <c r="C332" s="560"/>
      <c r="D332" s="803"/>
      <c r="E332" s="406"/>
      <c r="F332" s="295"/>
      <c r="G332" s="802"/>
      <c r="H332" s="17"/>
      <c r="I332" s="108"/>
    </row>
    <row r="333" spans="1:44" x14ac:dyDescent="0.3">
      <c r="A333" s="560"/>
      <c r="B333" s="560"/>
      <c r="C333" s="560"/>
      <c r="D333" s="803"/>
      <c r="E333" s="406"/>
      <c r="F333" s="295"/>
      <c r="G333" s="802"/>
      <c r="H333" s="17"/>
      <c r="I333" s="108"/>
    </row>
    <row r="334" spans="1:44" x14ac:dyDescent="0.3">
      <c r="A334" s="560"/>
      <c r="D334" s="600"/>
      <c r="E334" s="406"/>
      <c r="F334" s="295"/>
      <c r="H334" s="17"/>
      <c r="I334" s="108"/>
    </row>
    <row r="335" spans="1:44" x14ac:dyDescent="0.3">
      <c r="D335" s="600"/>
      <c r="E335" s="407"/>
      <c r="F335" s="295"/>
      <c r="H335" s="17"/>
      <c r="I335" s="108"/>
    </row>
    <row r="336" spans="1:44" x14ac:dyDescent="0.3">
      <c r="D336" s="600"/>
      <c r="E336" s="297"/>
      <c r="F336" s="295"/>
      <c r="H336" s="17"/>
      <c r="I336" s="108"/>
    </row>
    <row r="337" spans="4:12" x14ac:dyDescent="0.3">
      <c r="D337" s="600"/>
      <c r="E337" s="297"/>
      <c r="F337" s="295"/>
      <c r="I337" s="108"/>
    </row>
    <row r="338" spans="4:12" x14ac:dyDescent="0.3">
      <c r="E338" s="297"/>
      <c r="F338" s="295"/>
      <c r="G338" s="805"/>
      <c r="I338" s="108"/>
    </row>
    <row r="339" spans="4:12" x14ac:dyDescent="0.3">
      <c r="E339" s="297"/>
      <c r="F339" s="295"/>
      <c r="I339" s="108"/>
    </row>
    <row r="340" spans="4:12" x14ac:dyDescent="0.3">
      <c r="E340" s="297"/>
      <c r="F340" s="295"/>
      <c r="I340" s="108"/>
    </row>
    <row r="341" spans="4:12" x14ac:dyDescent="0.3">
      <c r="E341" s="297"/>
      <c r="F341" s="295"/>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5"/>
    </row>
    <row r="350" spans="4:12" x14ac:dyDescent="0.3">
      <c r="I350" s="295"/>
      <c r="K350" s="297"/>
      <c r="L350" s="297"/>
    </row>
    <row r="351" spans="4:12" x14ac:dyDescent="0.3">
      <c r="I351" s="295"/>
      <c r="K351" s="297"/>
      <c r="L351" s="297"/>
    </row>
    <row r="352" spans="4:12" x14ac:dyDescent="0.3">
      <c r="I352" s="295"/>
      <c r="K352" s="297"/>
      <c r="L352" s="297"/>
    </row>
    <row r="353" spans="9:12" x14ac:dyDescent="0.3">
      <c r="I353" s="295"/>
      <c r="K353" s="297"/>
      <c r="L353" s="297"/>
    </row>
    <row r="354" spans="9:12" x14ac:dyDescent="0.3">
      <c r="I354" s="295"/>
      <c r="K354" s="297"/>
      <c r="L354" s="297"/>
    </row>
    <row r="355" spans="9:12" x14ac:dyDescent="0.3">
      <c r="I355" s="295"/>
      <c r="K355" s="297"/>
      <c r="L355" s="297"/>
    </row>
    <row r="356" spans="9:12" x14ac:dyDescent="0.3">
      <c r="I356" s="108"/>
      <c r="K356" s="297"/>
      <c r="L356" s="297"/>
    </row>
    <row r="357" spans="9:12" x14ac:dyDescent="0.3">
      <c r="I357" s="108"/>
      <c r="K357" s="297"/>
      <c r="L357" s="297"/>
    </row>
    <row r="358" spans="9:12" x14ac:dyDescent="0.3">
      <c r="I358" s="108"/>
      <c r="J358" s="297"/>
      <c r="K358" s="297"/>
      <c r="L358" s="297"/>
    </row>
    <row r="359" spans="9:12" x14ac:dyDescent="0.3">
      <c r="I359" s="108"/>
      <c r="J359" s="297"/>
      <c r="K359" s="297"/>
      <c r="L359" s="297"/>
    </row>
    <row r="360" spans="9:12" x14ac:dyDescent="0.3">
      <c r="I360" s="108"/>
      <c r="J360" s="297"/>
      <c r="K360" s="297"/>
      <c r="L360" s="297"/>
    </row>
    <row r="361" spans="9:12" x14ac:dyDescent="0.3">
      <c r="I361" s="108"/>
      <c r="J361" s="297"/>
      <c r="K361" s="297"/>
      <c r="L361" s="297"/>
    </row>
    <row r="362" spans="9:12" x14ac:dyDescent="0.3">
      <c r="I362" s="108"/>
      <c r="J362" s="297"/>
      <c r="K362" s="297"/>
      <c r="L362" s="297"/>
    </row>
    <row r="363" spans="9:12" x14ac:dyDescent="0.3">
      <c r="I363" s="108"/>
      <c r="J363" s="297"/>
      <c r="K363" s="297"/>
      <c r="L363" s="297"/>
    </row>
    <row r="364" spans="9:12" x14ac:dyDescent="0.3">
      <c r="I364" s="108"/>
      <c r="J364" s="297"/>
      <c r="K364" s="297"/>
      <c r="L364" s="297"/>
    </row>
    <row r="365" spans="9:12" x14ac:dyDescent="0.3">
      <c r="I365" s="295"/>
      <c r="J365" s="297"/>
      <c r="K365" s="297"/>
      <c r="L365" s="297"/>
    </row>
    <row r="366" spans="9:12" x14ac:dyDescent="0.3">
      <c r="I366" s="295"/>
      <c r="J366" s="297"/>
      <c r="K366" s="297"/>
      <c r="L366" s="297"/>
    </row>
    <row r="367" spans="9:12" x14ac:dyDescent="0.3">
      <c r="I367" s="295"/>
      <c r="J367" s="297"/>
      <c r="K367" s="297"/>
      <c r="L367" s="297"/>
    </row>
    <row r="368" spans="9:12" x14ac:dyDescent="0.3">
      <c r="I368" s="295"/>
      <c r="J368" s="297"/>
      <c r="K368" s="297"/>
      <c r="L368" s="297"/>
    </row>
    <row r="369" spans="9:12" x14ac:dyDescent="0.3">
      <c r="I369" s="295"/>
      <c r="J369" s="297"/>
      <c r="K369" s="297"/>
      <c r="L369" s="297"/>
    </row>
    <row r="370" spans="9:12" x14ac:dyDescent="0.3">
      <c r="I370" s="295"/>
      <c r="J370" s="297"/>
      <c r="K370" s="297"/>
      <c r="L370" s="297"/>
    </row>
    <row r="371" spans="9:12" x14ac:dyDescent="0.3">
      <c r="I371" s="295"/>
      <c r="J371" s="297"/>
      <c r="K371" s="297"/>
      <c r="L371" s="297"/>
    </row>
    <row r="372" spans="9:12" x14ac:dyDescent="0.3">
      <c r="I372" s="295"/>
      <c r="J372" s="297"/>
      <c r="K372" s="297"/>
      <c r="L372" s="297"/>
    </row>
    <row r="373" spans="9:12" x14ac:dyDescent="0.3">
      <c r="I373" s="295"/>
      <c r="J373" s="297"/>
      <c r="K373" s="297"/>
      <c r="L373" s="297"/>
    </row>
    <row r="374" spans="9:12" x14ac:dyDescent="0.3">
      <c r="I374" s="295"/>
      <c r="J374" s="297"/>
      <c r="K374" s="297"/>
      <c r="L374" s="297"/>
    </row>
    <row r="375" spans="9:12" x14ac:dyDescent="0.3">
      <c r="I375" s="295"/>
      <c r="J375" s="297"/>
      <c r="K375" s="297"/>
      <c r="L375" s="297"/>
    </row>
    <row r="376" spans="9:12" x14ac:dyDescent="0.3">
      <c r="I376" s="295"/>
      <c r="J376" s="297"/>
      <c r="K376" s="297"/>
      <c r="L376" s="297"/>
    </row>
    <row r="377" spans="9:12" x14ac:dyDescent="0.3">
      <c r="I377" s="295"/>
      <c r="J377" s="297"/>
      <c r="K377" s="297"/>
      <c r="L377" s="297"/>
    </row>
    <row r="378" spans="9:12" x14ac:dyDescent="0.3">
      <c r="I378" s="295"/>
      <c r="J378" s="297"/>
      <c r="K378" s="297"/>
      <c r="L378" s="297"/>
    </row>
    <row r="379" spans="9:12" x14ac:dyDescent="0.3">
      <c r="I379" s="295"/>
      <c r="J379" s="297"/>
      <c r="K379" s="297"/>
      <c r="L379" s="297"/>
    </row>
    <row r="380" spans="9:12" x14ac:dyDescent="0.3">
      <c r="I380" s="295"/>
      <c r="J380" s="297"/>
      <c r="K380" s="297"/>
      <c r="L380" s="297"/>
    </row>
    <row r="381" spans="9:12" x14ac:dyDescent="0.3">
      <c r="I381" s="295"/>
      <c r="J381" s="297"/>
      <c r="K381" s="297"/>
      <c r="L381" s="297"/>
    </row>
    <row r="382" spans="9:12" x14ac:dyDescent="0.3">
      <c r="I382" s="295"/>
      <c r="J382" s="297"/>
      <c r="K382" s="297"/>
      <c r="L382" s="297"/>
    </row>
    <row r="383" spans="9:12" x14ac:dyDescent="0.3">
      <c r="I383" s="295"/>
      <c r="J383" s="297"/>
      <c r="K383" s="297"/>
      <c r="L383" s="297"/>
    </row>
    <row r="384" spans="9:12" x14ac:dyDescent="0.3">
      <c r="I384" s="295"/>
      <c r="J384" s="297"/>
      <c r="K384" s="297"/>
      <c r="L384" s="297"/>
    </row>
    <row r="385" spans="9:12" x14ac:dyDescent="0.3">
      <c r="I385" s="295"/>
      <c r="J385" s="297"/>
      <c r="K385" s="297"/>
      <c r="L385" s="297"/>
    </row>
    <row r="386" spans="9:12" x14ac:dyDescent="0.3">
      <c r="I386" s="295"/>
      <c r="J386" s="297"/>
      <c r="K386" s="297"/>
      <c r="L386" s="297"/>
    </row>
    <row r="387" spans="9:12" x14ac:dyDescent="0.3">
      <c r="I387" s="295"/>
      <c r="J387" s="297"/>
      <c r="K387" s="297"/>
      <c r="L387" s="297"/>
    </row>
    <row r="388" spans="9:12" x14ac:dyDescent="0.3">
      <c r="I388" s="295"/>
      <c r="J388" s="297"/>
      <c r="K388" s="297"/>
      <c r="L388" s="297"/>
    </row>
    <row r="389" spans="9:12" x14ac:dyDescent="0.3">
      <c r="I389" s="295"/>
      <c r="J389" s="297"/>
      <c r="K389" s="297"/>
      <c r="L389" s="297"/>
    </row>
    <row r="390" spans="9:12" x14ac:dyDescent="0.3">
      <c r="I390" s="295"/>
      <c r="J390" s="297"/>
      <c r="K390" s="297"/>
      <c r="L390" s="297"/>
    </row>
    <row r="391" spans="9:12" x14ac:dyDescent="0.3">
      <c r="I391" s="295"/>
      <c r="J391" s="297"/>
      <c r="K391" s="297"/>
      <c r="L391" s="297"/>
    </row>
    <row r="392" spans="9:12" x14ac:dyDescent="0.3">
      <c r="I392" s="295"/>
      <c r="J392" s="297"/>
      <c r="K392" s="297"/>
      <c r="L392" s="297"/>
    </row>
    <row r="393" spans="9:12" x14ac:dyDescent="0.3">
      <c r="I393" s="295"/>
      <c r="J393" s="297"/>
      <c r="K393" s="297"/>
      <c r="L393" s="297"/>
    </row>
    <row r="394" spans="9:12" x14ac:dyDescent="0.3">
      <c r="I394" s="295"/>
      <c r="J394" s="297"/>
      <c r="K394" s="297"/>
      <c r="L394" s="297"/>
    </row>
    <row r="395" spans="9:12" x14ac:dyDescent="0.3">
      <c r="I395" s="295"/>
      <c r="J395" s="297"/>
      <c r="K395" s="297"/>
      <c r="L395" s="297"/>
    </row>
    <row r="396" spans="9:12" x14ac:dyDescent="0.3">
      <c r="I396" s="295"/>
      <c r="J396" s="297"/>
      <c r="K396" s="297"/>
      <c r="L396" s="297"/>
    </row>
    <row r="397" spans="9:12" x14ac:dyDescent="0.3">
      <c r="I397" s="295"/>
      <c r="J397" s="297"/>
      <c r="K397" s="297"/>
      <c r="L397" s="297"/>
    </row>
    <row r="398" spans="9:12" x14ac:dyDescent="0.3">
      <c r="I398" s="295"/>
      <c r="J398" s="297"/>
      <c r="K398" s="297"/>
      <c r="L398" s="297"/>
    </row>
    <row r="399" spans="9:12" x14ac:dyDescent="0.3">
      <c r="I399" s="295"/>
      <c r="J399" s="297"/>
      <c r="K399" s="297"/>
      <c r="L399" s="297"/>
    </row>
    <row r="400" spans="9:12" x14ac:dyDescent="0.3">
      <c r="I400" s="295"/>
      <c r="J400" s="297"/>
      <c r="K400" s="297"/>
      <c r="L400" s="297"/>
    </row>
    <row r="401" spans="9:12" x14ac:dyDescent="0.3">
      <c r="I401" s="295"/>
      <c r="J401" s="297"/>
      <c r="K401" s="297"/>
      <c r="L401" s="297"/>
    </row>
    <row r="402" spans="9:12" x14ac:dyDescent="0.3">
      <c r="I402" s="295"/>
      <c r="J402" s="297"/>
      <c r="K402" s="297"/>
      <c r="L402" s="297"/>
    </row>
    <row r="403" spans="9:12" x14ac:dyDescent="0.3">
      <c r="I403" s="295"/>
      <c r="J403" s="297"/>
      <c r="K403" s="297"/>
      <c r="L403" s="297"/>
    </row>
    <row r="404" spans="9:12" x14ac:dyDescent="0.3">
      <c r="I404" s="295"/>
      <c r="J404" s="297"/>
      <c r="K404" s="297"/>
      <c r="L404" s="297"/>
    </row>
    <row r="405" spans="9:12" x14ac:dyDescent="0.3">
      <c r="I405" s="295"/>
      <c r="J405" s="297"/>
      <c r="K405" s="297"/>
      <c r="L405" s="297"/>
    </row>
    <row r="406" spans="9:12" x14ac:dyDescent="0.3">
      <c r="I406" s="295"/>
      <c r="J406" s="297"/>
      <c r="K406" s="297"/>
      <c r="L406" s="297"/>
    </row>
    <row r="407" spans="9:12" x14ac:dyDescent="0.3">
      <c r="I407" s="295"/>
      <c r="J407" s="297"/>
      <c r="K407" s="297"/>
      <c r="L407" s="297"/>
    </row>
    <row r="408" spans="9:12" x14ac:dyDescent="0.3">
      <c r="I408" s="295"/>
      <c r="J408" s="297"/>
      <c r="K408" s="297"/>
      <c r="L408" s="297"/>
    </row>
    <row r="409" spans="9:12" x14ac:dyDescent="0.3">
      <c r="I409" s="295"/>
      <c r="J409" s="297"/>
      <c r="K409" s="297"/>
      <c r="L409" s="297"/>
    </row>
    <row r="410" spans="9:12" x14ac:dyDescent="0.3">
      <c r="I410" s="295"/>
      <c r="J410" s="297"/>
      <c r="K410" s="297"/>
      <c r="L410" s="297"/>
    </row>
    <row r="411" spans="9:12" x14ac:dyDescent="0.3">
      <c r="I411" s="295"/>
      <c r="J411" s="297"/>
      <c r="K411" s="297"/>
      <c r="L411" s="297"/>
    </row>
    <row r="412" spans="9:12" x14ac:dyDescent="0.3">
      <c r="I412" s="295"/>
      <c r="J412" s="297"/>
      <c r="K412" s="297"/>
      <c r="L412" s="297"/>
    </row>
    <row r="413" spans="9:12" x14ac:dyDescent="0.3">
      <c r="I413" s="295"/>
      <c r="J413" s="297"/>
      <c r="K413" s="297"/>
      <c r="L413" s="297"/>
    </row>
    <row r="414" spans="9:12" x14ac:dyDescent="0.3">
      <c r="I414" s="295"/>
      <c r="J414" s="297"/>
      <c r="K414" s="297"/>
      <c r="L414" s="297"/>
    </row>
    <row r="415" spans="9:12" x14ac:dyDescent="0.3">
      <c r="I415" s="295"/>
      <c r="J415" s="297"/>
      <c r="K415" s="297"/>
      <c r="L415" s="297"/>
    </row>
    <row r="416" spans="9:12" x14ac:dyDescent="0.3">
      <c r="I416" s="295"/>
      <c r="J416" s="297"/>
      <c r="K416" s="297"/>
      <c r="L416" s="297"/>
    </row>
    <row r="417" spans="9:12" x14ac:dyDescent="0.3">
      <c r="I417" s="295"/>
      <c r="J417" s="297"/>
      <c r="K417" s="297"/>
      <c r="L417" s="297"/>
    </row>
    <row r="418" spans="9:12" x14ac:dyDescent="0.3">
      <c r="I418" s="295"/>
      <c r="J418" s="297"/>
      <c r="K418" s="297"/>
      <c r="L418" s="297"/>
    </row>
    <row r="419" spans="9:12" x14ac:dyDescent="0.3">
      <c r="I419" s="295"/>
      <c r="J419" s="297"/>
    </row>
    <row r="420" spans="9:12" x14ac:dyDescent="0.3">
      <c r="I420" s="295"/>
      <c r="J420" s="297"/>
    </row>
    <row r="421" spans="9:12" x14ac:dyDescent="0.3">
      <c r="I421" s="295"/>
      <c r="J421" s="297"/>
    </row>
    <row r="422" spans="9:12" x14ac:dyDescent="0.3">
      <c r="I422" s="295"/>
      <c r="J422" s="297"/>
    </row>
    <row r="423" spans="9:12" x14ac:dyDescent="0.3">
      <c r="I423" s="295"/>
      <c r="J423" s="297"/>
    </row>
    <row r="424" spans="9:12" x14ac:dyDescent="0.3">
      <c r="I424" s="295"/>
      <c r="J424" s="297"/>
    </row>
    <row r="425" spans="9:12" x14ac:dyDescent="0.3">
      <c r="I425" s="295"/>
      <c r="J425" s="297"/>
    </row>
    <row r="426" spans="9:12" x14ac:dyDescent="0.3">
      <c r="I426" s="295"/>
      <c r="J426" s="297"/>
    </row>
    <row r="427" spans="9:12" x14ac:dyDescent="0.3">
      <c r="I427" s="295"/>
    </row>
    <row r="428" spans="9:12" x14ac:dyDescent="0.3">
      <c r="I428" s="295"/>
    </row>
    <row r="429" spans="9:12" x14ac:dyDescent="0.3">
      <c r="I429" s="295"/>
    </row>
    <row r="430" spans="9:12" x14ac:dyDescent="0.3">
      <c r="I430" s="295"/>
    </row>
    <row r="431" spans="9:12" x14ac:dyDescent="0.3">
      <c r="I431" s="295"/>
    </row>
    <row r="432" spans="9:12" x14ac:dyDescent="0.3">
      <c r="I432" s="295"/>
    </row>
    <row r="433" spans="9:9" x14ac:dyDescent="0.3">
      <c r="I433" s="295"/>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z6Ix+wd/hMTKxLsUdw8Shl/RGitpNTjV+ybaQZjVLGr4u/WAhfeBJD279Kkh3JOQaA9Uy66pskVmoXjrNfzavQ==" saltValue="yClt6O4c3vRnMZ4XVHRYMA=="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12" priority="107" stopIfTrue="1" operator="notEqual">
      <formula>0</formula>
    </cfRule>
  </conditionalFormatting>
  <conditionalFormatting sqref="H199">
    <cfRule type="cellIs" dxfId="111" priority="105" stopIfTrue="1" operator="notEqual">
      <formula>0</formula>
    </cfRule>
  </conditionalFormatting>
  <conditionalFormatting sqref="G289:G292 G296:G297">
    <cfRule type="cellIs" dxfId="110" priority="104" stopIfTrue="1" operator="notEqual">
      <formula>0</formula>
    </cfRule>
  </conditionalFormatting>
  <conditionalFormatting sqref="H23">
    <cfRule type="cellIs" dxfId="109" priority="103" stopIfTrue="1" operator="notEqual">
      <formula>0</formula>
    </cfRule>
  </conditionalFormatting>
  <conditionalFormatting sqref="H37:H38">
    <cfRule type="cellIs" dxfId="108" priority="102" stopIfTrue="1" operator="notEqual">
      <formula>0</formula>
    </cfRule>
  </conditionalFormatting>
  <conditionalFormatting sqref="H72">
    <cfRule type="cellIs" dxfId="107" priority="101" stopIfTrue="1" operator="notEqual">
      <formula>0</formula>
    </cfRule>
  </conditionalFormatting>
  <conditionalFormatting sqref="H149">
    <cfRule type="cellIs" dxfId="106" priority="99" stopIfTrue="1" operator="notEqual">
      <formula>0</formula>
    </cfRule>
  </conditionalFormatting>
  <conditionalFormatting sqref="H168">
    <cfRule type="cellIs" dxfId="105" priority="98" stopIfTrue="1" operator="notEqual">
      <formula>0</formula>
    </cfRule>
  </conditionalFormatting>
  <conditionalFormatting sqref="H182">
    <cfRule type="cellIs" dxfId="104" priority="97" stopIfTrue="1" operator="notEqual">
      <formula>0</formula>
    </cfRule>
  </conditionalFormatting>
  <conditionalFormatting sqref="H183">
    <cfRule type="cellIs" dxfId="103"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02" priority="67" stopIfTrue="1" operator="equal">
      <formula>0</formula>
    </cfRule>
  </conditionalFormatting>
  <conditionalFormatting sqref="L260">
    <cfRule type="cellIs" dxfId="101" priority="66" stopIfTrue="1" operator="equal">
      <formula>0</formula>
    </cfRule>
  </conditionalFormatting>
  <conditionalFormatting sqref="G274">
    <cfRule type="cellIs" priority="65" stopIfTrue="1" operator="equal">
      <formula>";;;"</formula>
    </cfRule>
  </conditionalFormatting>
  <conditionalFormatting sqref="G274">
    <cfRule type="cellIs" dxfId="100" priority="64" stopIfTrue="1" operator="equal">
      <formula>0</formula>
    </cfRule>
  </conditionalFormatting>
  <conditionalFormatting sqref="G274">
    <cfRule type="cellIs" dxfId="99" priority="63" stopIfTrue="1" operator="equal">
      <formula>0</formula>
    </cfRule>
  </conditionalFormatting>
  <conditionalFormatting sqref="G273">
    <cfRule type="cellIs" priority="53" stopIfTrue="1" operator="equal">
      <formula>";;;"</formula>
    </cfRule>
  </conditionalFormatting>
  <conditionalFormatting sqref="G273">
    <cfRule type="cellIs" dxfId="98" priority="52" stopIfTrue="1" operator="equal">
      <formula>0</formula>
    </cfRule>
  </conditionalFormatting>
  <conditionalFormatting sqref="G273">
    <cfRule type="cellIs" dxfId="97" priority="51" stopIfTrue="1" operator="equal">
      <formula>0</formula>
    </cfRule>
  </conditionalFormatting>
  <conditionalFormatting sqref="J266">
    <cfRule type="cellIs" priority="50" stopIfTrue="1" operator="equal">
      <formula>";;;"</formula>
    </cfRule>
  </conditionalFormatting>
  <conditionalFormatting sqref="J266">
    <cfRule type="cellIs" dxfId="96" priority="49" stopIfTrue="1" operator="equal">
      <formula>0</formula>
    </cfRule>
  </conditionalFormatting>
  <conditionalFormatting sqref="J266">
    <cfRule type="cellIs" dxfId="95" priority="48" stopIfTrue="1" operator="equal">
      <formula>0</formula>
    </cfRule>
  </conditionalFormatting>
  <conditionalFormatting sqref="G268">
    <cfRule type="cellIs" priority="20" stopIfTrue="1" operator="equal">
      <formula>";;;"</formula>
    </cfRule>
  </conditionalFormatting>
  <conditionalFormatting sqref="G268">
    <cfRule type="cellIs" dxfId="94" priority="19" stopIfTrue="1" operator="equal">
      <formula>0</formula>
    </cfRule>
  </conditionalFormatting>
  <conditionalFormatting sqref="G268">
    <cfRule type="cellIs" dxfId="93" priority="18" stopIfTrue="1" operator="equal">
      <formula>0</formula>
    </cfRule>
  </conditionalFormatting>
  <conditionalFormatting sqref="G266">
    <cfRule type="cellIs" priority="17" stopIfTrue="1" operator="equal">
      <formula>";;;"</formula>
    </cfRule>
  </conditionalFormatting>
  <conditionalFormatting sqref="G266">
    <cfRule type="cellIs" dxfId="92" priority="16" stopIfTrue="1" operator="equal">
      <formula>0</formula>
    </cfRule>
  </conditionalFormatting>
  <conditionalFormatting sqref="G266">
    <cfRule type="cellIs" dxfId="91" priority="15" stopIfTrue="1" operator="equal">
      <formula>0</formula>
    </cfRule>
  </conditionalFormatting>
  <conditionalFormatting sqref="G267">
    <cfRule type="cellIs" priority="14" stopIfTrue="1" operator="equal">
      <formula>";;;"</formula>
    </cfRule>
  </conditionalFormatting>
  <conditionalFormatting sqref="G267">
    <cfRule type="cellIs" dxfId="90" priority="13" stopIfTrue="1" operator="equal">
      <formula>0</formula>
    </cfRule>
  </conditionalFormatting>
  <conditionalFormatting sqref="G267">
    <cfRule type="cellIs" dxfId="89" priority="12" stopIfTrue="1" operator="equal">
      <formula>0</formula>
    </cfRule>
  </conditionalFormatting>
  <conditionalFormatting sqref="G270">
    <cfRule type="cellIs" priority="11" stopIfTrue="1" operator="equal">
      <formula>";;;"</formula>
    </cfRule>
  </conditionalFormatting>
  <conditionalFormatting sqref="G270">
    <cfRule type="cellIs" dxfId="88" priority="10" stopIfTrue="1" operator="equal">
      <formula>0</formula>
    </cfRule>
  </conditionalFormatting>
  <conditionalFormatting sqref="G270">
    <cfRule type="cellIs" dxfId="87" priority="9" stopIfTrue="1" operator="equal">
      <formula>0</formula>
    </cfRule>
  </conditionalFormatting>
  <conditionalFormatting sqref="G272">
    <cfRule type="cellIs" priority="3" stopIfTrue="1" operator="equal">
      <formula>";;;"</formula>
    </cfRule>
  </conditionalFormatting>
  <conditionalFormatting sqref="G272">
    <cfRule type="cellIs" dxfId="86" priority="2" stopIfTrue="1" operator="equal">
      <formula>0</formula>
    </cfRule>
  </conditionalFormatting>
  <conditionalFormatting sqref="G272">
    <cfRule type="cellIs" dxfId="85"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95"/>
    <col min="44" max="16384" width="9.33203125" style="194"/>
  </cols>
  <sheetData>
    <row r="1" spans="1:43" ht="87" customHeight="1" thickBot="1" x14ac:dyDescent="0.35">
      <c r="B1" s="1145" t="s">
        <v>1517</v>
      </c>
      <c r="C1" s="1146"/>
      <c r="D1" s="1146"/>
      <c r="E1" s="1146"/>
      <c r="F1" s="1146"/>
      <c r="G1" s="1146"/>
      <c r="H1" s="1146"/>
      <c r="I1" s="1146"/>
      <c r="J1" s="1147"/>
    </row>
    <row r="2" spans="1:43" s="196" customFormat="1" ht="16.8" hidden="1" thickBot="1" x14ac:dyDescent="0.35">
      <c r="B2" s="1148" t="s">
        <v>630</v>
      </c>
      <c r="C2" s="1149"/>
      <c r="D2" s="1149"/>
      <c r="E2" s="1149"/>
      <c r="F2" s="1149"/>
      <c r="G2" s="1149"/>
      <c r="H2" s="1149"/>
      <c r="I2" s="1149"/>
      <c r="J2" s="1150"/>
      <c r="K2"/>
      <c r="L2"/>
      <c r="M2"/>
      <c r="N2"/>
      <c r="O2"/>
      <c r="P2"/>
      <c r="Q2"/>
      <c r="R2"/>
      <c r="S2"/>
      <c r="T2"/>
      <c r="U2"/>
      <c r="V2"/>
      <c r="W2"/>
      <c r="X2"/>
      <c r="Y2"/>
      <c r="Z2"/>
      <c r="AA2"/>
      <c r="AB2"/>
      <c r="AC2"/>
      <c r="AD2"/>
      <c r="AE2"/>
      <c r="AF2"/>
      <c r="AG2"/>
      <c r="AH2"/>
      <c r="AI2"/>
      <c r="AJ2"/>
      <c r="AK2"/>
      <c r="AL2"/>
      <c r="AM2"/>
      <c r="AN2"/>
      <c r="AO2"/>
      <c r="AP2"/>
      <c r="AQ2" s="195"/>
    </row>
    <row r="3" spans="1:43" s="198" customFormat="1" ht="39" hidden="1" customHeight="1" thickBot="1" x14ac:dyDescent="0.35">
      <c r="A3" s="194"/>
      <c r="B3" s="1151" t="s">
        <v>631</v>
      </c>
      <c r="C3" s="1152"/>
      <c r="D3" s="1152"/>
      <c r="E3" s="1152"/>
      <c r="F3" s="1152"/>
      <c r="G3" s="1152"/>
      <c r="H3" s="1152"/>
      <c r="I3" s="1152"/>
      <c r="J3" s="1153"/>
      <c r="K3"/>
      <c r="L3"/>
      <c r="M3"/>
      <c r="N3"/>
      <c r="O3"/>
      <c r="P3"/>
      <c r="Q3"/>
      <c r="R3"/>
      <c r="S3"/>
      <c r="T3"/>
      <c r="U3"/>
      <c r="V3"/>
      <c r="W3"/>
      <c r="X3"/>
      <c r="Y3"/>
      <c r="Z3"/>
      <c r="AA3"/>
      <c r="AB3"/>
      <c r="AC3"/>
      <c r="AD3"/>
      <c r="AE3"/>
      <c r="AF3"/>
      <c r="AG3"/>
      <c r="AH3"/>
      <c r="AI3"/>
      <c r="AJ3"/>
      <c r="AK3"/>
      <c r="AL3"/>
      <c r="AM3"/>
      <c r="AN3"/>
      <c r="AO3"/>
      <c r="AP3"/>
      <c r="AQ3" s="197"/>
    </row>
    <row r="4" spans="1:43" ht="20.25" customHeight="1" x14ac:dyDescent="0.3">
      <c r="B4" s="1096" t="s">
        <v>1518</v>
      </c>
      <c r="C4" s="1097"/>
      <c r="D4" s="1097"/>
      <c r="E4" s="1097"/>
      <c r="F4" s="1097"/>
      <c r="G4" s="1097"/>
      <c r="H4" s="1097"/>
      <c r="I4" s="1097"/>
      <c r="J4" s="1098"/>
    </row>
    <row r="5" spans="1:43" ht="27" hidden="1" customHeight="1" x14ac:dyDescent="0.3">
      <c r="B5" s="1159" t="s">
        <v>1319</v>
      </c>
      <c r="C5" s="1160"/>
      <c r="D5" s="1160"/>
      <c r="E5" s="1160"/>
      <c r="F5" s="1160"/>
      <c r="G5" s="1160"/>
      <c r="H5" s="1160"/>
      <c r="I5" s="1160"/>
      <c r="J5" s="1161"/>
    </row>
    <row r="6" spans="1:43" ht="27" hidden="1" customHeight="1" x14ac:dyDescent="0.3">
      <c r="B6" s="947"/>
      <c r="C6" s="948"/>
      <c r="D6" s="948"/>
      <c r="E6" s="948"/>
      <c r="F6" s="948"/>
      <c r="G6" s="948"/>
      <c r="H6" s="948"/>
      <c r="I6" s="948"/>
      <c r="J6" s="949"/>
    </row>
    <row r="7" spans="1:43" ht="20.25" customHeight="1" thickBot="1" x14ac:dyDescent="0.35">
      <c r="B7" s="1156" t="s">
        <v>1519</v>
      </c>
      <c r="C7" s="1157"/>
      <c r="D7" s="1157"/>
      <c r="E7" s="1157"/>
      <c r="F7" s="1157"/>
      <c r="G7" s="1157"/>
      <c r="H7" s="1157"/>
      <c r="I7" s="1157"/>
      <c r="J7" s="1158"/>
    </row>
    <row r="8" spans="1:43" ht="39" hidden="1" customHeight="1" thickBot="1" x14ac:dyDescent="0.35">
      <c r="B8" s="199"/>
      <c r="C8" s="200"/>
      <c r="D8" s="201" t="s">
        <v>632</v>
      </c>
      <c r="E8" s="202"/>
      <c r="F8" s="203"/>
      <c r="G8" s="203"/>
      <c r="H8" s="203"/>
      <c r="I8" s="203"/>
      <c r="J8" s="204"/>
    </row>
    <row r="9" spans="1:43" s="205" customFormat="1" ht="15" hidden="1" thickBot="1" x14ac:dyDescent="0.35">
      <c r="B9" s="206"/>
      <c r="C9" s="207"/>
      <c r="D9" s="256" t="s">
        <v>487</v>
      </c>
      <c r="E9" s="208"/>
      <c r="F9" s="208"/>
      <c r="G9" s="208"/>
      <c r="H9" s="209"/>
      <c r="I9" s="209"/>
      <c r="J9" s="210"/>
      <c r="K9"/>
      <c r="L9"/>
      <c r="M9"/>
      <c r="N9"/>
      <c r="O9"/>
      <c r="P9"/>
      <c r="Q9"/>
      <c r="R9"/>
      <c r="S9"/>
      <c r="T9"/>
      <c r="U9"/>
      <c r="V9"/>
      <c r="W9"/>
      <c r="X9"/>
      <c r="Y9"/>
      <c r="Z9"/>
      <c r="AA9"/>
      <c r="AB9"/>
      <c r="AC9"/>
      <c r="AD9"/>
      <c r="AE9"/>
      <c r="AF9"/>
      <c r="AG9"/>
      <c r="AH9"/>
      <c r="AI9"/>
      <c r="AJ9"/>
      <c r="AK9"/>
      <c r="AL9"/>
      <c r="AM9"/>
      <c r="AN9"/>
      <c r="AO9"/>
      <c r="AP9"/>
      <c r="AQ9" s="195"/>
    </row>
    <row r="10" spans="1:43" ht="19.5" hidden="1" customHeight="1" thickBot="1" x14ac:dyDescent="0.35">
      <c r="B10" s="211"/>
      <c r="C10" s="212"/>
      <c r="D10" s="304" t="s">
        <v>870</v>
      </c>
      <c r="E10" s="1133" t="s">
        <v>633</v>
      </c>
      <c r="F10" s="1133"/>
      <c r="G10" s="1127"/>
      <c r="H10" s="1128"/>
      <c r="I10" s="1129"/>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5" t="s">
        <v>871</v>
      </c>
      <c r="E12" s="1133" t="s">
        <v>1064</v>
      </c>
      <c r="F12" s="1133"/>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133" t="s">
        <v>634</v>
      </c>
      <c r="F14" s="1133"/>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810</v>
      </c>
      <c r="E16" s="1137" t="s">
        <v>635</v>
      </c>
      <c r="F16" s="1137"/>
      <c r="G16" s="1138"/>
      <c r="H16" s="1128"/>
      <c r="I16" s="1129"/>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811</v>
      </c>
      <c r="E18" s="1137" t="s">
        <v>636</v>
      </c>
      <c r="F18" s="1137"/>
      <c r="G18" s="1127"/>
      <c r="H18" s="1128"/>
      <c r="I18" s="1129"/>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812</v>
      </c>
      <c r="E20" s="1137" t="s">
        <v>637</v>
      </c>
      <c r="F20" s="1137"/>
      <c r="G20" s="1127"/>
      <c r="H20" s="1128"/>
      <c r="I20" s="1129"/>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813</v>
      </c>
      <c r="E22" s="1137" t="s">
        <v>638</v>
      </c>
      <c r="F22" s="1137"/>
      <c r="G22" s="1138"/>
      <c r="H22" s="1128"/>
      <c r="I22" s="1129"/>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814</v>
      </c>
      <c r="E24" s="1137" t="s">
        <v>639</v>
      </c>
      <c r="F24" s="1137"/>
      <c r="G24" s="1138"/>
      <c r="H24" s="1128"/>
      <c r="I24" s="1129"/>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872</v>
      </c>
      <c r="E26" s="1133" t="s">
        <v>640</v>
      </c>
      <c r="F26" s="1133"/>
      <c r="G26" s="1134"/>
      <c r="H26" s="1135"/>
      <c r="I26" s="219"/>
      <c r="J26" s="213"/>
    </row>
    <row r="27" spans="2:10" ht="28.5" hidden="1" customHeight="1" thickBot="1" x14ac:dyDescent="0.35">
      <c r="B27" s="211"/>
      <c r="C27" s="212"/>
      <c r="D27" s="262"/>
      <c r="E27" s="1162" t="str">
        <f>IF(G26="Housing Authority", CONCATENATE("SKIP Questions ",D28,"-",D66),"")</f>
        <v/>
      </c>
      <c r="F27" s="1162"/>
      <c r="G27" s="1162"/>
      <c r="H27" s="1162"/>
      <c r="I27" s="219"/>
      <c r="J27" s="213"/>
    </row>
    <row r="28" spans="2:10" ht="28.5" hidden="1" customHeight="1" thickBot="1" x14ac:dyDescent="0.35">
      <c r="B28" s="211"/>
      <c r="C28" s="212"/>
      <c r="D28" s="262" t="s">
        <v>816</v>
      </c>
      <c r="E28" s="1133" t="s">
        <v>641</v>
      </c>
      <c r="F28" s="1133"/>
      <c r="G28" s="220"/>
      <c r="H28" s="1163">
        <f>+O28</f>
        <v>0</v>
      </c>
      <c r="I28" s="1164"/>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815</v>
      </c>
      <c r="E30" s="1133" t="s">
        <v>642</v>
      </c>
      <c r="F30" s="1133"/>
      <c r="G30" s="223"/>
      <c r="H30" s="1165"/>
      <c r="I30" s="1165"/>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817</v>
      </c>
      <c r="E32" s="1154" t="s">
        <v>643</v>
      </c>
      <c r="F32" s="1155"/>
      <c r="G32" s="1130"/>
      <c r="H32" s="1131"/>
      <c r="I32" s="1132"/>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818</v>
      </c>
      <c r="E34" s="217" t="s">
        <v>644</v>
      </c>
      <c r="F34" s="217"/>
      <c r="G34" s="1127"/>
      <c r="H34" s="1128"/>
      <c r="I34" s="1129"/>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819</v>
      </c>
      <c r="E36" s="1133" t="s">
        <v>645</v>
      </c>
      <c r="F36" s="1140"/>
      <c r="G36" s="1127"/>
      <c r="H36" s="1128"/>
      <c r="I36" s="1129"/>
      <c r="J36" s="213"/>
    </row>
    <row r="37" spans="2:10" ht="8.25" hidden="1" customHeight="1" thickBot="1" x14ac:dyDescent="0.35">
      <c r="B37" s="211"/>
      <c r="C37" s="212"/>
      <c r="D37" s="256"/>
      <c r="E37" s="1141"/>
      <c r="F37" s="1141"/>
      <c r="G37" s="1141"/>
      <c r="H37" s="1141"/>
      <c r="I37" s="219"/>
      <c r="J37" s="213"/>
    </row>
    <row r="38" spans="2:10" ht="39" customHeight="1" thickBot="1" x14ac:dyDescent="0.35">
      <c r="B38" s="1142" t="s">
        <v>1318</v>
      </c>
      <c r="C38" s="1143"/>
      <c r="D38" s="1143"/>
      <c r="E38" s="1143"/>
      <c r="F38" s="1143"/>
      <c r="G38" s="1143"/>
      <c r="H38" s="1143"/>
      <c r="I38" s="1143"/>
      <c r="J38" s="1144"/>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133" t="s">
        <v>646</v>
      </c>
      <c r="F41" s="1133"/>
      <c r="G41" s="220"/>
      <c r="H41" s="301"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133" t="s">
        <v>647</v>
      </c>
      <c r="F43" s="1133"/>
      <c r="G43" s="220"/>
      <c r="H43" s="301"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133" t="s">
        <v>648</v>
      </c>
      <c r="F45" s="1133"/>
      <c r="G45" s="220"/>
      <c r="H45" s="301"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133" t="s">
        <v>649</v>
      </c>
      <c r="F47" s="1133"/>
      <c r="G47" s="220"/>
      <c r="H47" s="301"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133" t="s">
        <v>650</v>
      </c>
      <c r="F49" s="1133"/>
      <c r="G49" s="225"/>
      <c r="H49" s="301"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133" t="s">
        <v>651</v>
      </c>
      <c r="F51" s="1133"/>
      <c r="G51" s="225"/>
      <c r="H51" s="301" t="str">
        <f>IF(G51="","This Question must be answered before uploading, the report will not be processed if left blank","")</f>
        <v>This Question must be answered before uploading, the report will not be processed if left blank</v>
      </c>
      <c r="I51" s="226"/>
      <c r="J51" s="227"/>
    </row>
    <row r="52" spans="2:43" ht="9.75" hidden="1" customHeight="1" thickBot="1" x14ac:dyDescent="0.3">
      <c r="B52" s="211"/>
      <c r="C52" s="212"/>
      <c r="D52" s="257"/>
      <c r="E52" s="208"/>
      <c r="F52" s="208"/>
      <c r="G52" s="212"/>
      <c r="H52" s="212"/>
      <c r="I52" s="212"/>
      <c r="J52" s="213"/>
    </row>
    <row r="53" spans="2:43" ht="35.1" hidden="1" customHeight="1" thickBot="1" x14ac:dyDescent="0.35">
      <c r="B53" s="211"/>
      <c r="C53" s="212"/>
      <c r="D53" s="256">
        <v>959</v>
      </c>
      <c r="E53" s="1139" t="s">
        <v>1059</v>
      </c>
      <c r="F53" s="1139"/>
      <c r="G53" s="220"/>
      <c r="H53" s="301"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6"/>
      <c r="E54" s="379"/>
      <c r="F54" s="379"/>
      <c r="G54" s="212"/>
      <c r="H54" s="212"/>
      <c r="I54" s="212"/>
      <c r="J54" s="213"/>
    </row>
    <row r="55" spans="2:43" ht="67.5" hidden="1" customHeight="1" thickBot="1" x14ac:dyDescent="0.35">
      <c r="B55" s="211"/>
      <c r="C55" s="228"/>
      <c r="D55" s="256">
        <v>973</v>
      </c>
      <c r="E55" s="1139" t="s">
        <v>1130</v>
      </c>
      <c r="F55" s="1139"/>
      <c r="G55" s="384"/>
      <c r="H55" s="301" t="str">
        <f>IF(G55="","This Question must be answered before uploading, the report will not be processed if left blank","")</f>
        <v>This Question must be answered before uploading, the report will not be processed if left blank</v>
      </c>
      <c r="I55" s="282"/>
      <c r="J55" s="213"/>
    </row>
    <row r="56" spans="2:43" ht="6.75" customHeight="1" thickBot="1" x14ac:dyDescent="0.35">
      <c r="B56" s="211"/>
      <c r="C56" s="228"/>
      <c r="D56" s="259"/>
      <c r="E56" s="208"/>
      <c r="F56" s="208"/>
      <c r="G56" s="255"/>
      <c r="H56" s="212"/>
      <c r="I56" s="212"/>
      <c r="J56" s="213"/>
    </row>
    <row r="57" spans="2:43" ht="98.25" customHeight="1" thickBot="1" x14ac:dyDescent="0.35">
      <c r="B57" s="211"/>
      <c r="C57" s="212"/>
      <c r="D57" s="256">
        <v>974</v>
      </c>
      <c r="E57" s="1133" t="s">
        <v>1063</v>
      </c>
      <c r="F57" s="1166"/>
      <c r="G57" s="220"/>
      <c r="H57" s="300" t="str">
        <f>IF(G57="","This Question must be answered before uploading, the report will not be processed if left blank","")</f>
        <v>This Question must be answered before uploading, the report will not be processed if left blank</v>
      </c>
      <c r="I57" s="229"/>
      <c r="J57" s="213"/>
    </row>
    <row r="58" spans="2:43" ht="6.75" customHeight="1" x14ac:dyDescent="0.3">
      <c r="B58" s="211"/>
      <c r="C58" s="212"/>
      <c r="D58" s="256"/>
      <c r="E58" s="217"/>
      <c r="F58" s="217"/>
      <c r="G58" s="221"/>
      <c r="H58" s="212"/>
      <c r="I58" s="212"/>
      <c r="J58" s="213"/>
    </row>
    <row r="59" spans="2:43" ht="6.75" customHeight="1" thickBot="1" x14ac:dyDescent="0.35">
      <c r="B59" s="211"/>
      <c r="C59" s="212"/>
      <c r="D59" s="256"/>
      <c r="E59" s="217"/>
      <c r="F59" s="217"/>
      <c r="G59" s="221"/>
      <c r="H59" s="208"/>
      <c r="I59" s="212"/>
      <c r="J59" s="213"/>
    </row>
    <row r="60" spans="2:43" ht="29.25" hidden="1" customHeight="1" thickBot="1" x14ac:dyDescent="0.35">
      <c r="B60" s="211"/>
      <c r="C60" s="212"/>
      <c r="D60" s="256">
        <v>965</v>
      </c>
      <c r="E60" s="1133" t="s">
        <v>652</v>
      </c>
      <c r="F60" s="1133"/>
      <c r="G60" s="223"/>
      <c r="H60" s="301" t="str">
        <f>IF(G60="","This Question must be answered before uploading, the report will not be processed if left blank","")</f>
        <v>This Question must be answered before uploading, the report will not be processed if left blank</v>
      </c>
      <c r="I60" s="222"/>
      <c r="J60" s="213"/>
    </row>
    <row r="61" spans="2:43" ht="6.75" hidden="1"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873</v>
      </c>
      <c r="E62" s="232" t="s">
        <v>653</v>
      </c>
      <c r="F62" s="233" t="str">
        <f>IF(G62="Yes", "Please Submit Management Letter","")</f>
        <v/>
      </c>
      <c r="G62" s="220"/>
      <c r="H62" s="301" t="str">
        <f>IF(G62="","This Question must be answered before uploading, the report will not be processed if left blank","")</f>
        <v>This Question must be answered before uploading, the report will not be processed if left blank</v>
      </c>
      <c r="I62" s="281"/>
      <c r="J62" s="213"/>
      <c r="K62"/>
      <c r="L62"/>
      <c r="M62"/>
      <c r="N62"/>
      <c r="O62"/>
      <c r="P62"/>
      <c r="Q62"/>
      <c r="R62"/>
      <c r="S62"/>
      <c r="T62"/>
      <c r="U62"/>
      <c r="V62"/>
      <c r="W62"/>
      <c r="X62"/>
      <c r="Y62"/>
      <c r="Z62"/>
      <c r="AA62"/>
      <c r="AB62"/>
      <c r="AC62"/>
      <c r="AD62"/>
      <c r="AE62"/>
      <c r="AF62"/>
      <c r="AG62"/>
      <c r="AH62"/>
      <c r="AI62"/>
      <c r="AJ62"/>
      <c r="AK62"/>
      <c r="AL62"/>
      <c r="AM62"/>
      <c r="AN62"/>
      <c r="AO62"/>
      <c r="AP62"/>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c r="AQ63" s="224"/>
    </row>
    <row r="64" spans="2:43" s="234" customFormat="1" ht="31.5" customHeight="1" thickBot="1" x14ac:dyDescent="0.35">
      <c r="B64" s="230"/>
      <c r="C64" s="231"/>
      <c r="D64" s="256" t="s">
        <v>874</v>
      </c>
      <c r="E64" s="232" t="s">
        <v>654</v>
      </c>
      <c r="F64" s="233" t="str">
        <f>IF(G64="Yes", "Please Submit AU-C 260 Letter","")</f>
        <v/>
      </c>
      <c r="G64" s="220"/>
      <c r="H64" s="301" t="str">
        <f>IF(G64="","This Question must be answered before uploading, the report will not be processed if left blank","")</f>
        <v>This Question must be answered before uploading, the report will not be processed if left blank</v>
      </c>
      <c r="I64" s="281"/>
      <c r="J64" s="213"/>
      <c r="K64"/>
      <c r="L64"/>
      <c r="M64"/>
      <c r="N64"/>
      <c r="O64"/>
      <c r="P64"/>
      <c r="Q64"/>
      <c r="R64"/>
      <c r="S64"/>
      <c r="T64"/>
      <c r="U64"/>
      <c r="V64"/>
      <c r="W64"/>
      <c r="X64"/>
      <c r="Y64"/>
      <c r="Z64"/>
      <c r="AA64"/>
      <c r="AB64"/>
      <c r="AC64"/>
      <c r="AD64"/>
      <c r="AE64"/>
      <c r="AF64"/>
      <c r="AG64"/>
      <c r="AH64"/>
      <c r="AI64"/>
      <c r="AJ64"/>
      <c r="AK64"/>
      <c r="AL64"/>
      <c r="AM64"/>
      <c r="AN64"/>
      <c r="AO64"/>
      <c r="AP6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c r="AQ65" s="224"/>
    </row>
    <row r="66" spans="2:43" s="234" customFormat="1" ht="33.75" customHeight="1" thickBot="1" x14ac:dyDescent="0.35">
      <c r="B66" s="230"/>
      <c r="C66" s="231"/>
      <c r="D66" s="256" t="s">
        <v>875</v>
      </c>
      <c r="E66" s="232" t="s">
        <v>655</v>
      </c>
      <c r="F66" s="233" t="str">
        <f>IF(G66="Yes", "Please Submit AU-C 265 Letter","")</f>
        <v/>
      </c>
      <c r="G66" s="220"/>
      <c r="H66" s="301" t="str">
        <f>IF(G66="","This Question must be answered before uploading, the report will not be processed if left blank","")</f>
        <v>This Question must be answered before uploading, the report will not be processed if left blank</v>
      </c>
      <c r="I66" s="281"/>
      <c r="J66" s="213"/>
      <c r="K66"/>
      <c r="L66"/>
      <c r="M66"/>
      <c r="N66"/>
      <c r="O66"/>
      <c r="P66"/>
      <c r="Q66"/>
      <c r="R66"/>
      <c r="S66"/>
      <c r="T66"/>
      <c r="U66"/>
      <c r="V66"/>
      <c r="W66"/>
      <c r="X66"/>
      <c r="Y66"/>
      <c r="Z66"/>
      <c r="AA66"/>
      <c r="AB66"/>
      <c r="AC66"/>
      <c r="AD66"/>
      <c r="AE66"/>
      <c r="AF66"/>
      <c r="AG66"/>
      <c r="AH66"/>
      <c r="AI66"/>
      <c r="AJ66"/>
      <c r="AK66"/>
      <c r="AL66"/>
      <c r="AM66"/>
      <c r="AN66"/>
      <c r="AO66"/>
      <c r="AP66"/>
      <c r="AQ66" s="224"/>
    </row>
    <row r="67" spans="2:43" ht="6.75" customHeight="1" thickBot="1" x14ac:dyDescent="0.35">
      <c r="B67" s="211"/>
      <c r="C67" s="212"/>
      <c r="D67" s="257"/>
      <c r="E67" s="238"/>
      <c r="F67" s="238"/>
      <c r="G67" s="215"/>
      <c r="H67" s="208"/>
      <c r="I67" s="208"/>
      <c r="J67" s="213"/>
    </row>
    <row r="68" spans="2:43" s="234" customFormat="1" ht="35.25" hidden="1" customHeight="1" thickBot="1" x14ac:dyDescent="0.35">
      <c r="B68" s="230"/>
      <c r="C68" s="215"/>
      <c r="D68" s="387">
        <v>977</v>
      </c>
      <c r="E68" s="1167" t="s">
        <v>1046</v>
      </c>
      <c r="F68" s="1168"/>
      <c r="G68" s="385"/>
      <c r="H68" s="301"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c r="AQ68" s="224"/>
    </row>
    <row r="69" spans="2:43" s="234" customFormat="1" ht="8.25" hidden="1"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c r="AQ69" s="224"/>
    </row>
    <row r="70" spans="2:43" s="234" customFormat="1" ht="30" hidden="1" customHeight="1" thickBot="1" x14ac:dyDescent="0.35">
      <c r="B70" s="230"/>
      <c r="C70" s="215"/>
      <c r="D70" s="387">
        <v>978</v>
      </c>
      <c r="E70" s="1167" t="s">
        <v>821</v>
      </c>
      <c r="F70" s="1168"/>
      <c r="G70" s="385"/>
      <c r="H70" s="301"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c r="AQ70" s="224"/>
    </row>
    <row r="71" spans="2:43" s="234" customFormat="1" ht="8.25" hidden="1"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c r="AQ71" s="224"/>
    </row>
    <row r="72" spans="2:43" s="234" customFormat="1" ht="36.75" customHeight="1" thickBot="1" x14ac:dyDescent="0.35">
      <c r="B72" s="230"/>
      <c r="C72" s="215"/>
      <c r="D72" s="387">
        <v>979</v>
      </c>
      <c r="E72" s="1167" t="s">
        <v>1385</v>
      </c>
      <c r="F72" s="1168"/>
      <c r="G72" s="385"/>
      <c r="H72" s="301"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c r="AQ72" s="224"/>
    </row>
    <row r="73" spans="2:43" s="266" customFormat="1" ht="6.75"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c r="AQ73" s="267"/>
    </row>
    <row r="74" spans="2:43" s="234" customFormat="1" ht="39" customHeight="1" thickBot="1" x14ac:dyDescent="0.35">
      <c r="B74" s="230"/>
      <c r="C74" s="215"/>
      <c r="D74" s="387">
        <v>980</v>
      </c>
      <c r="E74" s="1136" t="s">
        <v>820</v>
      </c>
      <c r="F74" s="1136"/>
      <c r="G74" s="386"/>
      <c r="H74" s="301"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c r="AO74"/>
      <c r="AP74"/>
      <c r="AQ74" s="224"/>
    </row>
    <row r="75" spans="2:43" ht="7.5" customHeight="1" thickBot="1" x14ac:dyDescent="0.35">
      <c r="B75" s="211"/>
      <c r="C75" s="212"/>
      <c r="D75" s="256"/>
      <c r="E75" s="302"/>
      <c r="F75" s="302"/>
      <c r="G75" s="221"/>
      <c r="H75" s="212"/>
      <c r="I75" s="212"/>
      <c r="J75" s="213"/>
    </row>
    <row r="76" spans="2:43" ht="32.25" customHeight="1" thickBot="1" x14ac:dyDescent="0.35">
      <c r="B76" s="211"/>
      <c r="C76" s="228"/>
      <c r="D76" s="256">
        <v>975</v>
      </c>
      <c r="E76" s="1133" t="s">
        <v>823</v>
      </c>
      <c r="F76" s="1166"/>
      <c r="G76" s="385"/>
      <c r="H76" s="300" t="str">
        <f>IF(G76="","This Question must be answered before uploading, the report will not be processed if left blank","")</f>
        <v>This Question must be answered before uploading, the report will not be processed if left blank</v>
      </c>
      <c r="I76" s="226"/>
      <c r="J76" s="227"/>
    </row>
    <row r="77" spans="2:43" ht="11.25" customHeight="1" thickBot="1" x14ac:dyDescent="0.35">
      <c r="B77" s="211"/>
      <c r="C77" s="228"/>
      <c r="D77" s="259"/>
      <c r="E77" s="1133"/>
      <c r="F77" s="1133"/>
      <c r="G77" s="277"/>
      <c r="H77" s="226"/>
      <c r="I77" s="212"/>
      <c r="J77" s="227"/>
    </row>
    <row r="78" spans="2:43" ht="61.5" customHeight="1" thickBot="1" x14ac:dyDescent="0.35">
      <c r="B78" s="211"/>
      <c r="C78" s="228"/>
      <c r="D78" s="256">
        <v>976</v>
      </c>
      <c r="E78" s="1133" t="s">
        <v>1018</v>
      </c>
      <c r="F78" s="1166"/>
      <c r="G78" s="220"/>
      <c r="H78" s="300"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9" customHeight="1" thickBot="1" x14ac:dyDescent="0.35">
      <c r="B81" s="211"/>
      <c r="C81" s="212"/>
      <c r="D81" s="257" t="s">
        <v>876</v>
      </c>
      <c r="E81" s="1251" t="str">
        <f>IF(G81="","This Question must be answered before uploading, the report will not be processed if left blank","")</f>
        <v>This Question must be answered before uploading, the report will not be processed if left blank</v>
      </c>
      <c r="F81" s="1108" t="s">
        <v>656</v>
      </c>
      <c r="G81" s="1127"/>
      <c r="H81" s="1128"/>
      <c r="I81" s="1129"/>
      <c r="J81" s="213"/>
    </row>
    <row r="82" spans="1:10" ht="6.75" customHeight="1" thickBot="1" x14ac:dyDescent="0.35">
      <c r="B82" s="211"/>
      <c r="C82" s="212"/>
      <c r="D82" s="257"/>
      <c r="E82" s="238"/>
      <c r="F82" s="238"/>
      <c r="G82" s="215"/>
      <c r="H82" s="215"/>
      <c r="I82" s="215"/>
      <c r="J82" s="213"/>
    </row>
    <row r="83" spans="1:10" ht="34.200000000000003" customHeight="1" thickBot="1" x14ac:dyDescent="0.35">
      <c r="B83" s="211"/>
      <c r="C83" s="212"/>
      <c r="D83" s="257" t="s">
        <v>877</v>
      </c>
      <c r="E83" s="1251" t="str">
        <f>IF(G83="","This Question must be answered before uploading, the report will not be processed if left blank","")</f>
        <v>This Question must be answered before uploading, the report will not be processed if left blank</v>
      </c>
      <c r="F83" s="1108" t="s">
        <v>657</v>
      </c>
      <c r="G83" s="1127"/>
      <c r="H83" s="1128"/>
      <c r="I83" s="1129"/>
      <c r="J83" s="213"/>
    </row>
    <row r="84" spans="1:10" ht="6.75" customHeight="1" thickBot="1" x14ac:dyDescent="0.35">
      <c r="B84" s="211"/>
      <c r="C84" s="212"/>
      <c r="D84" s="257"/>
      <c r="E84" s="238"/>
      <c r="F84" s="238"/>
      <c r="G84" s="239"/>
      <c r="H84" s="215"/>
      <c r="I84" s="215"/>
      <c r="J84" s="213"/>
    </row>
    <row r="85" spans="1:10" ht="34.200000000000003" customHeight="1" thickBot="1" x14ac:dyDescent="0.35">
      <c r="B85" s="211"/>
      <c r="C85" s="212"/>
      <c r="D85" s="257" t="s">
        <v>1491</v>
      </c>
      <c r="E85" s="1251" t="str">
        <f>IF(G85="","This Question must be answered before uploading, the report will not be processed if left blank","")</f>
        <v>This Question must be answered before uploading, the report will not be processed if left blank</v>
      </c>
      <c r="F85" s="1108" t="s">
        <v>1065</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69"/>
      <c r="F87" s="1169"/>
      <c r="G87" s="240" t="str">
        <f>CONCATENATE(G10," 2021 TD.xlsx")</f>
        <v xml:space="preserve"> 2021 TD.xlsx</v>
      </c>
      <c r="H87" s="240"/>
      <c r="I87" s="241"/>
      <c r="J87" s="213"/>
    </row>
    <row r="88" spans="1:10" ht="18.600000000000001" customHeight="1" x14ac:dyDescent="0.3">
      <c r="B88" s="211"/>
      <c r="C88" s="212"/>
      <c r="D88" s="1250"/>
      <c r="E88" s="1250"/>
      <c r="F88" s="1250"/>
      <c r="G88" s="1170" t="str">
        <f>IF(G11="","","Please review the Transmittal Instructions and your answer to Question 1")</f>
        <v/>
      </c>
      <c r="H88" s="1170"/>
      <c r="I88" s="1170"/>
      <c r="J88" s="213"/>
    </row>
    <row r="89" spans="1:10" ht="3" customHeight="1" x14ac:dyDescent="0.3">
      <c r="B89" s="211"/>
      <c r="C89" s="212"/>
      <c r="D89" s="1250"/>
      <c r="E89" s="1250"/>
      <c r="F89" s="1250"/>
      <c r="G89" s="1170" t="str">
        <f>IF(G88="Currently the file name is incorrect, please correct before uploading",CONCATENATE("File current name is ",O89),"")</f>
        <v/>
      </c>
      <c r="H89" s="1170"/>
      <c r="I89" s="242"/>
      <c r="J89" s="243"/>
    </row>
    <row r="90" spans="1:10" ht="6.75" customHeight="1" thickBot="1" x14ac:dyDescent="0.35">
      <c r="B90" s="244"/>
      <c r="C90" s="245"/>
      <c r="D90" s="260"/>
      <c r="E90" s="246"/>
      <c r="F90" s="246"/>
      <c r="G90" s="247"/>
      <c r="H90" s="247"/>
      <c r="I90" s="247"/>
      <c r="J90" s="248"/>
    </row>
    <row r="93" spans="1:10" x14ac:dyDescent="0.3">
      <c r="B93" s="194" t="s">
        <v>658</v>
      </c>
      <c r="D93" s="198"/>
      <c r="E93" s="250">
        <v>1.01</v>
      </c>
      <c r="F93" s="251"/>
    </row>
    <row r="94" spans="1:10" x14ac:dyDescent="0.3">
      <c r="A94" s="198"/>
      <c r="B94" s="194" t="s">
        <v>659</v>
      </c>
      <c r="D94" s="198"/>
      <c r="E94" s="252">
        <v>44427</v>
      </c>
      <c r="F94" s="253"/>
    </row>
    <row r="95" spans="1:10" x14ac:dyDescent="0.3">
      <c r="E95" s="251"/>
      <c r="F95" s="251"/>
    </row>
    <row r="96" spans="1:10" x14ac:dyDescent="0.3">
      <c r="E96" s="261">
        <f>SUBTOTAL(109,D41:D85)</f>
        <v>10513</v>
      </c>
    </row>
  </sheetData>
  <sheetProtection selectLockedCells="1"/>
  <mergeCells count="55">
    <mergeCell ref="G83:I83"/>
    <mergeCell ref="E87:F87"/>
    <mergeCell ref="G88:I88"/>
    <mergeCell ref="G89:H89"/>
    <mergeCell ref="E51:F51"/>
    <mergeCell ref="E53:F53"/>
    <mergeCell ref="G81:I81"/>
    <mergeCell ref="E76:F76"/>
    <mergeCell ref="E78:F78"/>
    <mergeCell ref="E57:F57"/>
    <mergeCell ref="E60:F60"/>
    <mergeCell ref="E68:F68"/>
    <mergeCell ref="E70:F70"/>
    <mergeCell ref="E72:F72"/>
    <mergeCell ref="E77:F77"/>
    <mergeCell ref="E41:F41"/>
    <mergeCell ref="E43:F43"/>
    <mergeCell ref="E45:F45"/>
    <mergeCell ref="E47:F47"/>
    <mergeCell ref="E49:F49"/>
    <mergeCell ref="E16:F16"/>
    <mergeCell ref="G16:I16"/>
    <mergeCell ref="E18:F18"/>
    <mergeCell ref="E32:F32"/>
    <mergeCell ref="B7:J7"/>
    <mergeCell ref="E10:F10"/>
    <mergeCell ref="G10:I10"/>
    <mergeCell ref="B5:J5"/>
    <mergeCell ref="E27:H27"/>
    <mergeCell ref="E28:F28"/>
    <mergeCell ref="H28:I28"/>
    <mergeCell ref="E30:F30"/>
    <mergeCell ref="H30:I30"/>
    <mergeCell ref="E22:F22"/>
    <mergeCell ref="B1:J1"/>
    <mergeCell ref="B2:J2"/>
    <mergeCell ref="B3:J3"/>
    <mergeCell ref="E12:F12"/>
    <mergeCell ref="E14:F14"/>
    <mergeCell ref="G18:I18"/>
    <mergeCell ref="G32:I32"/>
    <mergeCell ref="E26:F26"/>
    <mergeCell ref="G26:H26"/>
    <mergeCell ref="E74:F74"/>
    <mergeCell ref="E20:F20"/>
    <mergeCell ref="G20:I20"/>
    <mergeCell ref="G22:I22"/>
    <mergeCell ref="E24:F24"/>
    <mergeCell ref="G24:I24"/>
    <mergeCell ref="E55:F55"/>
    <mergeCell ref="G34:I34"/>
    <mergeCell ref="E36:F36"/>
    <mergeCell ref="G36:I36"/>
    <mergeCell ref="E37:H37"/>
    <mergeCell ref="B38:J38"/>
  </mergeCells>
  <conditionalFormatting sqref="G10 G41 G43 G45 G47 G49 G57 G66 G60 G51 G77:G78">
    <cfRule type="expression" dxfId="84"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83" priority="41">
      <formula>$T26</formula>
    </cfRule>
  </conditionalFormatting>
  <conditionalFormatting sqref="G41 G43 G45 G47 G49 G60 G62 G64 G66 G30 G32 G51:G57 G78">
    <cfRule type="expression" dxfId="82" priority="40">
      <formula>$G$26="Housing Authority"</formula>
    </cfRule>
  </conditionalFormatting>
  <conditionalFormatting sqref="G14">
    <cfRule type="expression" dxfId="81" priority="39">
      <formula>$T14</formula>
    </cfRule>
  </conditionalFormatting>
  <conditionalFormatting sqref="G12">
    <cfRule type="expression" dxfId="80" priority="38">
      <formula>$T12</formula>
    </cfRule>
  </conditionalFormatting>
  <conditionalFormatting sqref="G85">
    <cfRule type="expression" dxfId="79" priority="37">
      <formula>$T85</formula>
    </cfRule>
  </conditionalFormatting>
  <conditionalFormatting sqref="G81">
    <cfRule type="expression" dxfId="78"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77"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76"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75" priority="25">
      <formula>$G$26="Housing Authority"</formula>
    </cfRule>
  </conditionalFormatting>
  <conditionalFormatting sqref="G64">
    <cfRule type="expression" dxfId="74" priority="30">
      <formula>$T64</formula>
    </cfRule>
  </conditionalFormatting>
  <conditionalFormatting sqref="G64">
    <cfRule type="expression" dxfId="73" priority="29">
      <formula>$G$26="Housing Authority"</formula>
    </cfRule>
  </conditionalFormatting>
  <conditionalFormatting sqref="G66">
    <cfRule type="expression" dxfId="72" priority="28">
      <formula>$G$26="Housing Authority"</formula>
    </cfRule>
  </conditionalFormatting>
  <conditionalFormatting sqref="G62">
    <cfRule type="expression" dxfId="71" priority="27">
      <formula>$T62</formula>
    </cfRule>
  </conditionalFormatting>
  <conditionalFormatting sqref="G62">
    <cfRule type="expression" dxfId="70" priority="26">
      <formula>$G$26="Housing Authority"</formula>
    </cfRule>
  </conditionalFormatting>
  <conditionalFormatting sqref="G31">
    <cfRule type="expression" dxfId="69" priority="24">
      <formula>$T31</formula>
    </cfRule>
  </conditionalFormatting>
  <conditionalFormatting sqref="G28">
    <cfRule type="expression" dxfId="68" priority="23">
      <formula>$T28</formula>
    </cfRule>
  </conditionalFormatting>
  <conditionalFormatting sqref="G28">
    <cfRule type="expression" dxfId="67" priority="22">
      <formula>$G$26="Housing Authority"</formula>
    </cfRule>
  </conditionalFormatting>
  <conditionalFormatting sqref="G30">
    <cfRule type="expression" dxfId="66" priority="21">
      <formula>$T30</formula>
    </cfRule>
  </conditionalFormatting>
  <conditionalFormatting sqref="G16">
    <cfRule type="expression" dxfId="65"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64"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63"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62" priority="12">
      <formula>$G$26="Housing Authority"</formula>
    </cfRule>
  </conditionalFormatting>
  <conditionalFormatting sqref="G32">
    <cfRule type="expression" dxfId="61" priority="13">
      <formula>$P$32</formula>
    </cfRule>
    <cfRule type="expression" dxfId="60" priority="20">
      <formula>$T32</formula>
    </cfRule>
  </conditionalFormatting>
  <conditionalFormatting sqref="G36">
    <cfRule type="expression" dxfId="59" priority="9">
      <formula>$G$26="Housing Authority"</formula>
    </cfRule>
  </conditionalFormatting>
  <conditionalFormatting sqref="G36">
    <cfRule type="expression" dxfId="58" priority="10">
      <formula>$P$32</formula>
    </cfRule>
    <cfRule type="expression" dxfId="57" priority="11">
      <formula>$T36</formula>
    </cfRule>
  </conditionalFormatting>
  <conditionalFormatting sqref="G34">
    <cfRule type="expression" dxfId="56" priority="6">
      <formula>$G$26="Housing Authority"</formula>
    </cfRule>
  </conditionalFormatting>
  <conditionalFormatting sqref="G34">
    <cfRule type="expression" dxfId="55" priority="7">
      <formula>$P$32</formula>
    </cfRule>
    <cfRule type="expression" dxfId="54" priority="8">
      <formula>$T34</formula>
    </cfRule>
  </conditionalFormatting>
  <conditionalFormatting sqref="G24">
    <cfRule type="expression" dxfId="53"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52" priority="3">
      <formula>$T53</formula>
    </cfRule>
  </conditionalFormatting>
  <conditionalFormatting sqref="G77">
    <cfRule type="expression" dxfId="51" priority="1">
      <formula>$G$26="Housing Authority"</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6:H77 H73 H79:I80 I68:I78"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08B5EB3E-5EBA-4BC9-9EA3-4D034BE91EA7}">
      <formula1>"Yes.No"</formula1>
    </dataValidation>
    <dataValidation type="list" allowBlank="1" showInputMessage="1" showErrorMessage="1" sqref="G76" xr:uid="{DDB3C695-67AB-45AA-AFF6-F2010EDCDDD5}">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60" customWidth="1"/>
    <col min="4" max="4" width="20.88671875" style="3" bestFit="1" customWidth="1"/>
    <col min="5" max="5" width="17.5546875" style="3" customWidth="1"/>
    <col min="6" max="6" width="22.6640625" style="3" customWidth="1"/>
    <col min="7" max="7" width="17.44140625" style="557" bestFit="1" customWidth="1"/>
    <col min="8" max="8" width="9.6640625" style="3" bestFit="1" customWidth="1"/>
    <col min="9" max="9" width="1" style="591" customWidth="1"/>
    <col min="10" max="10" width="18.109375" style="5" customWidth="1"/>
    <col min="11" max="11" width="36.88671875" style="9" customWidth="1"/>
    <col min="12" max="12" width="15.44140625" style="668" bestFit="1" customWidth="1"/>
    <col min="13" max="13" width="1.44140625" style="3" customWidth="1"/>
    <col min="14" max="14" width="18.109375" style="3" customWidth="1"/>
    <col min="15" max="15" width="17.88671875" style="3" customWidth="1"/>
    <col min="16" max="16" width="8.6640625" style="297"/>
    <col min="17" max="17" width="10.33203125" style="56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540</v>
      </c>
      <c r="D1" s="13">
        <f>L65-(L52+L53-L57-L58-L233)-L61</f>
        <v>0</v>
      </c>
      <c r="I1" s="558"/>
      <c r="J1" s="48"/>
      <c r="K1" s="14" t="s">
        <v>47</v>
      </c>
      <c r="L1" s="63"/>
      <c r="M1" s="559"/>
      <c r="S1" s="3">
        <v>100</v>
      </c>
      <c r="T1" s="3">
        <v>1</v>
      </c>
    </row>
    <row r="2" spans="1:25" ht="36" x14ac:dyDescent="0.4">
      <c r="C2" s="74" t="str">
        <f>'Unit Data from Audit Worksheet'!D2</f>
        <v>Select Unit Name from Drop Down List</v>
      </c>
      <c r="D2" s="145">
        <v>2021</v>
      </c>
      <c r="E2" s="12">
        <v>2021</v>
      </c>
      <c r="F2" s="12"/>
      <c r="G2" s="70"/>
      <c r="H2" s="12"/>
      <c r="I2" s="558"/>
      <c r="J2" s="43" t="s">
        <v>43</v>
      </c>
      <c r="K2" s="8" t="s">
        <v>42</v>
      </c>
      <c r="L2" s="68" t="s">
        <v>30</v>
      </c>
      <c r="S2" s="3">
        <v>200</v>
      </c>
      <c r="T2" s="3">
        <v>2</v>
      </c>
    </row>
    <row r="3" spans="1:25" ht="31.2" x14ac:dyDescent="0.3">
      <c r="A3" s="561" t="s">
        <v>43</v>
      </c>
      <c r="B3" s="562"/>
      <c r="C3" s="46" t="s">
        <v>1</v>
      </c>
      <c r="D3" s="15" t="s">
        <v>44</v>
      </c>
      <c r="E3" s="15" t="s">
        <v>45</v>
      </c>
      <c r="F3" s="16" t="s">
        <v>49</v>
      </c>
      <c r="G3" s="75" t="s">
        <v>351</v>
      </c>
      <c r="H3" s="16" t="s">
        <v>435</v>
      </c>
      <c r="I3" s="558"/>
      <c r="J3" s="563"/>
      <c r="K3" s="146"/>
      <c r="L3" s="564"/>
      <c r="O3" s="3" t="s">
        <v>296</v>
      </c>
      <c r="Q3" s="86" t="s">
        <v>352</v>
      </c>
      <c r="S3" s="3">
        <v>300</v>
      </c>
      <c r="T3" s="3">
        <v>3</v>
      </c>
    </row>
    <row r="4" spans="1:25" ht="18" x14ac:dyDescent="0.35">
      <c r="A4" s="565"/>
      <c r="B4" s="566"/>
      <c r="C4" s="50"/>
      <c r="D4" s="7"/>
      <c r="E4" s="7"/>
      <c r="F4" s="7"/>
      <c r="G4" s="71"/>
      <c r="H4" s="7"/>
      <c r="I4" s="558"/>
      <c r="J4" s="45">
        <v>999</v>
      </c>
      <c r="K4" s="11" t="s">
        <v>293</v>
      </c>
      <c r="L4" s="134" t="e">
        <f>'Unit Data from Audit Worksheet'!D3</f>
        <v>#N/A</v>
      </c>
      <c r="S4" s="3">
        <v>400</v>
      </c>
      <c r="T4" s="3">
        <v>4</v>
      </c>
      <c r="W4" s="3" t="b">
        <f t="shared" ref="W4:W35" si="0">EXACT(A4,J4)</f>
        <v>0</v>
      </c>
      <c r="X4" s="567" t="e">
        <f>E4-L4</f>
        <v>#N/A</v>
      </c>
      <c r="Y4" s="567" t="e">
        <f>D4-L4</f>
        <v>#N/A</v>
      </c>
    </row>
    <row r="5" spans="1:25" ht="57" customHeight="1" x14ac:dyDescent="0.3">
      <c r="A5" s="568">
        <f>'Unit Data from Audit Worksheet'!A7</f>
        <v>333</v>
      </c>
      <c r="B5" s="54" t="str">
        <f>'Unit Data from Audit Worksheet'!C7</f>
        <v>Net Position-Governmental Activities</v>
      </c>
      <c r="C5" s="569"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70">
        <f>IF(D5="",E5,D5)</f>
        <v>0</v>
      </c>
      <c r="P5" s="315"/>
      <c r="S5" s="3">
        <v>500</v>
      </c>
      <c r="T5" s="3">
        <v>5</v>
      </c>
      <c r="W5" s="3" t="b">
        <f t="shared" si="0"/>
        <v>1</v>
      </c>
      <c r="X5" s="567">
        <f t="shared" ref="X5:X116" si="1">E5-L5</f>
        <v>0</v>
      </c>
      <c r="Y5" s="567">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70">
        <f>IF(D6="",E6,D6)</f>
        <v>0</v>
      </c>
      <c r="P6" s="316"/>
      <c r="T6" s="3">
        <v>6</v>
      </c>
      <c r="W6" s="3" t="b">
        <f t="shared" si="0"/>
        <v>1</v>
      </c>
      <c r="X6" s="567">
        <f t="shared" si="1"/>
        <v>0</v>
      </c>
      <c r="Y6" s="567">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1">
        <f>IF(D7="",E7,D7)+IF(D9="",E9,D9)</f>
        <v>0</v>
      </c>
      <c r="N7" s="78" t="s">
        <v>338</v>
      </c>
      <c r="P7" s="316"/>
      <c r="T7" s="3">
        <v>7</v>
      </c>
      <c r="W7" s="3" t="b">
        <f t="shared" si="0"/>
        <v>1</v>
      </c>
      <c r="X7" s="567">
        <f t="shared" si="1"/>
        <v>0</v>
      </c>
      <c r="Y7" s="567">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341</v>
      </c>
      <c r="L8" s="570">
        <f>IF(D8="",E8,D8)</f>
        <v>0</v>
      </c>
      <c r="N8" s="64"/>
      <c r="P8" s="316"/>
      <c r="W8" s="3" t="b">
        <f t="shared" si="0"/>
        <v>1</v>
      </c>
      <c r="X8" s="567">
        <f t="shared" si="1"/>
        <v>0</v>
      </c>
      <c r="Y8" s="567">
        <f t="shared" si="2"/>
        <v>0</v>
      </c>
    </row>
    <row r="9" spans="1:25" ht="103.5" customHeight="1" x14ac:dyDescent="0.3">
      <c r="A9" s="334">
        <f>'Unit Data from Audit Worksheet'!A11</f>
        <v>576</v>
      </c>
      <c r="B9" s="348" t="str">
        <f>'Unit Data from Audit Worksheet'!C11</f>
        <v>Net Position-Governmental Activities</v>
      </c>
      <c r="C9" s="572"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342</v>
      </c>
      <c r="L9" s="570">
        <f>IF(D9="",E9,D9)</f>
        <v>0</v>
      </c>
      <c r="N9" s="64"/>
      <c r="P9" s="317"/>
      <c r="W9" s="3" t="b">
        <f t="shared" si="0"/>
        <v>1</v>
      </c>
      <c r="X9" s="567">
        <f t="shared" si="1"/>
        <v>0</v>
      </c>
      <c r="Y9" s="567">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473</v>
      </c>
      <c r="L10" s="573">
        <f>IF(D10="",E10,D10)+IF(D9="",E9,D9)</f>
        <v>0</v>
      </c>
      <c r="M10" s="574"/>
      <c r="N10" s="182" t="s">
        <v>338</v>
      </c>
      <c r="O10" s="574"/>
      <c r="P10" s="318"/>
      <c r="Q10" s="575"/>
      <c r="R10" s="3"/>
      <c r="W10" s="18" t="b">
        <f t="shared" si="0"/>
        <v>1</v>
      </c>
      <c r="X10" s="576">
        <f t="shared" si="1"/>
        <v>0</v>
      </c>
      <c r="Y10" s="576">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465</v>
      </c>
      <c r="L11" s="577">
        <f t="shared" ref="L11:L16" si="3">IF(D11="",E11,D11)</f>
        <v>0</v>
      </c>
      <c r="M11" s="574"/>
      <c r="N11" s="181"/>
      <c r="O11" s="574"/>
      <c r="P11" s="318"/>
      <c r="Q11" s="575"/>
      <c r="R11" s="3"/>
      <c r="W11" s="18" t="b">
        <f t="shared" si="0"/>
        <v>1</v>
      </c>
      <c r="X11" s="576">
        <f t="shared" si="1"/>
        <v>0</v>
      </c>
      <c r="Y11" s="576">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470</v>
      </c>
      <c r="L12" s="577">
        <f t="shared" si="3"/>
        <v>0</v>
      </c>
      <c r="M12" s="574"/>
      <c r="N12" s="181"/>
      <c r="O12" s="574"/>
      <c r="P12" s="318"/>
      <c r="Q12" s="575"/>
      <c r="R12" s="3"/>
      <c r="W12" s="18" t="b">
        <f t="shared" si="0"/>
        <v>1</v>
      </c>
      <c r="X12" s="576">
        <f t="shared" si="1"/>
        <v>0</v>
      </c>
      <c r="Y12" s="576">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469</v>
      </c>
      <c r="L13" s="577">
        <f t="shared" si="3"/>
        <v>0</v>
      </c>
      <c r="M13" s="574"/>
      <c r="N13" s="181"/>
      <c r="O13" s="574"/>
      <c r="P13" s="318"/>
      <c r="Q13" s="575"/>
      <c r="R13" s="3"/>
      <c r="W13" s="18" t="b">
        <f t="shared" si="0"/>
        <v>1</v>
      </c>
      <c r="X13" s="576">
        <f t="shared" si="1"/>
        <v>0</v>
      </c>
      <c r="Y13" s="576">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468</v>
      </c>
      <c r="L14" s="577">
        <f t="shared" si="3"/>
        <v>0</v>
      </c>
      <c r="M14" s="574"/>
      <c r="N14" s="181"/>
      <c r="O14" s="574"/>
      <c r="P14" s="318"/>
      <c r="Q14" s="575"/>
      <c r="R14" s="3"/>
      <c r="W14" s="18" t="b">
        <f t="shared" si="0"/>
        <v>1</v>
      </c>
      <c r="X14" s="576">
        <f t="shared" si="1"/>
        <v>0</v>
      </c>
      <c r="Y14" s="576">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467</v>
      </c>
      <c r="L15" s="577">
        <f t="shared" si="3"/>
        <v>0</v>
      </c>
      <c r="M15" s="574"/>
      <c r="N15" s="181"/>
      <c r="O15" s="574"/>
      <c r="P15" s="318"/>
      <c r="Q15" s="575"/>
      <c r="R15" s="3"/>
      <c r="W15" s="18" t="b">
        <f t="shared" si="0"/>
        <v>1</v>
      </c>
      <c r="X15" s="576">
        <f t="shared" si="1"/>
        <v>0</v>
      </c>
      <c r="Y15" s="576">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466</v>
      </c>
      <c r="L16" s="577">
        <f t="shared" si="3"/>
        <v>0</v>
      </c>
      <c r="M16" s="574"/>
      <c r="N16" s="181"/>
      <c r="O16" s="574"/>
      <c r="P16" s="318"/>
      <c r="Q16" s="575"/>
      <c r="R16" s="3"/>
      <c r="W16" s="18" t="b">
        <f t="shared" si="0"/>
        <v>1</v>
      </c>
      <c r="X16" s="576">
        <f t="shared" si="1"/>
        <v>0</v>
      </c>
      <c r="Y16" s="576">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1">
        <f>IF(D17="",E17,D17)+IF(D9="",E9,D9)</f>
        <v>0</v>
      </c>
      <c r="N17" s="78" t="s">
        <v>338</v>
      </c>
      <c r="P17" s="315"/>
      <c r="W17" s="3" t="b">
        <f t="shared" si="0"/>
        <v>1</v>
      </c>
      <c r="X17" s="567">
        <f t="shared" si="1"/>
        <v>0</v>
      </c>
      <c r="Y17" s="567">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70">
        <f>IF(D18="",E18,D18)</f>
        <v>0</v>
      </c>
      <c r="P18" s="316"/>
      <c r="W18" s="3" t="b">
        <f t="shared" si="0"/>
        <v>1</v>
      </c>
      <c r="X18" s="567">
        <f t="shared" si="1"/>
        <v>0</v>
      </c>
      <c r="Y18" s="567">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70">
        <f t="shared" ref="L19:L51" si="4">IF(D19="",E19,D19)</f>
        <v>0</v>
      </c>
      <c r="O19" s="578" t="e">
        <f>'Unit Data from Audit Worksheet'!E21</f>
        <v>#N/A</v>
      </c>
      <c r="P19" s="316"/>
      <c r="W19" s="3" t="b">
        <f t="shared" si="0"/>
        <v>1</v>
      </c>
      <c r="X19" s="567">
        <f t="shared" si="1"/>
        <v>0</v>
      </c>
      <c r="Y19" s="567">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70">
        <f t="shared" si="4"/>
        <v>0</v>
      </c>
      <c r="O20" s="578" t="e">
        <f>'Unit Data from Audit Worksheet'!E22</f>
        <v>#N/A</v>
      </c>
      <c r="P20" s="316"/>
      <c r="W20" s="3" t="b">
        <f t="shared" si="0"/>
        <v>1</v>
      </c>
      <c r="X20" s="567">
        <f t="shared" si="1"/>
        <v>0</v>
      </c>
      <c r="Y20" s="567">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70">
        <f t="shared" si="4"/>
        <v>0</v>
      </c>
      <c r="O21" s="578" t="e">
        <f>'Unit Data from Audit Worksheet'!E23</f>
        <v>#N/A</v>
      </c>
      <c r="P21" s="316"/>
      <c r="Q21" s="560">
        <f>IF(G21&lt;&gt;0,1,0)</f>
        <v>0</v>
      </c>
      <c r="W21" s="3" t="b">
        <f t="shared" si="0"/>
        <v>1</v>
      </c>
      <c r="X21" s="567">
        <f t="shared" si="1"/>
        <v>0</v>
      </c>
      <c r="Y21" s="567">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186</v>
      </c>
      <c r="L22" s="570">
        <f t="shared" si="4"/>
        <v>0</v>
      </c>
      <c r="P22" s="316"/>
      <c r="W22" s="3" t="b">
        <f t="shared" si="0"/>
        <v>1</v>
      </c>
      <c r="X22" s="567">
        <f t="shared" si="1"/>
        <v>0</v>
      </c>
      <c r="Y22" s="567">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187</v>
      </c>
      <c r="L23" s="570">
        <f t="shared" si="4"/>
        <v>0</v>
      </c>
      <c r="P23" s="316"/>
      <c r="W23" s="3" t="b">
        <f t="shared" si="0"/>
        <v>1</v>
      </c>
      <c r="X23" s="567">
        <f t="shared" si="1"/>
        <v>0</v>
      </c>
      <c r="Y23" s="567">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188</v>
      </c>
      <c r="L24" s="570">
        <f t="shared" si="4"/>
        <v>0</v>
      </c>
      <c r="P24" s="316"/>
      <c r="W24" s="3" t="b">
        <f t="shared" si="0"/>
        <v>1</v>
      </c>
      <c r="X24" s="567">
        <f t="shared" si="1"/>
        <v>0</v>
      </c>
      <c r="Y24" s="567">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189</v>
      </c>
      <c r="L25" s="570">
        <f t="shared" si="4"/>
        <v>0</v>
      </c>
      <c r="P25" s="316"/>
      <c r="W25" s="3" t="b">
        <f t="shared" si="0"/>
        <v>1</v>
      </c>
      <c r="X25" s="567">
        <f t="shared" si="1"/>
        <v>0</v>
      </c>
      <c r="Y25" s="567">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190</v>
      </c>
      <c r="L26" s="570">
        <f t="shared" si="4"/>
        <v>0</v>
      </c>
      <c r="P26" s="316"/>
      <c r="W26" s="3" t="b">
        <f t="shared" si="0"/>
        <v>1</v>
      </c>
      <c r="X26" s="567">
        <f t="shared" si="1"/>
        <v>0</v>
      </c>
      <c r="Y26" s="567">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191</v>
      </c>
      <c r="L27" s="570">
        <f t="shared" si="4"/>
        <v>0</v>
      </c>
      <c r="P27" s="316"/>
      <c r="W27" s="3" t="b">
        <f t="shared" si="0"/>
        <v>1</v>
      </c>
      <c r="X27" s="567">
        <f t="shared" si="1"/>
        <v>0</v>
      </c>
      <c r="Y27" s="567">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192</v>
      </c>
      <c r="L28" s="570">
        <f t="shared" si="4"/>
        <v>0</v>
      </c>
      <c r="P28" s="316"/>
      <c r="W28" s="3" t="b">
        <f t="shared" si="0"/>
        <v>1</v>
      </c>
      <c r="X28" s="567">
        <f t="shared" si="1"/>
        <v>0</v>
      </c>
      <c r="Y28" s="567">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193</v>
      </c>
      <c r="L29" s="570">
        <f t="shared" si="4"/>
        <v>0</v>
      </c>
      <c r="P29" s="316"/>
      <c r="W29" s="3" t="b">
        <f t="shared" si="0"/>
        <v>1</v>
      </c>
      <c r="X29" s="567">
        <f t="shared" si="1"/>
        <v>0</v>
      </c>
      <c r="Y29" s="567">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194</v>
      </c>
      <c r="L30" s="570">
        <f t="shared" si="4"/>
        <v>0</v>
      </c>
      <c r="P30" s="316"/>
      <c r="W30" s="3" t="b">
        <f t="shared" si="0"/>
        <v>1</v>
      </c>
      <c r="X30" s="567">
        <f t="shared" si="1"/>
        <v>0</v>
      </c>
      <c r="Y30" s="567">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195</v>
      </c>
      <c r="L31" s="570">
        <f t="shared" si="4"/>
        <v>0</v>
      </c>
      <c r="P31" s="316"/>
      <c r="W31" s="3" t="b">
        <f t="shared" si="0"/>
        <v>1</v>
      </c>
      <c r="X31" s="567">
        <f t="shared" si="1"/>
        <v>0</v>
      </c>
      <c r="Y31" s="567">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196</v>
      </c>
      <c r="L32" s="570">
        <f t="shared" si="4"/>
        <v>0</v>
      </c>
      <c r="N32" s="579"/>
      <c r="P32" s="316"/>
      <c r="W32" s="3" t="b">
        <f t="shared" si="0"/>
        <v>1</v>
      </c>
      <c r="X32" s="567">
        <f t="shared" si="1"/>
        <v>0</v>
      </c>
      <c r="Y32" s="567">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197</v>
      </c>
      <c r="L33" s="570">
        <f t="shared" si="4"/>
        <v>0</v>
      </c>
      <c r="O33" s="578" t="e">
        <f>'Unit Data from Audit Worksheet'!E37</f>
        <v>#N/A</v>
      </c>
      <c r="P33" s="316"/>
      <c r="Q33" s="560">
        <f>IF(G33&lt;&gt;0,1,0)</f>
        <v>0</v>
      </c>
      <c r="W33" s="3" t="b">
        <f t="shared" si="0"/>
        <v>1</v>
      </c>
      <c r="X33" s="567">
        <f t="shared" si="1"/>
        <v>0</v>
      </c>
      <c r="Y33" s="567">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e">
        <f>'Unit Data from Audit Worksheet'!I38</f>
        <v>#N/A</v>
      </c>
      <c r="I34" s="38"/>
      <c r="J34" s="345">
        <v>376</v>
      </c>
      <c r="K34" s="344" t="s">
        <v>108</v>
      </c>
      <c r="L34" s="570">
        <f t="shared" si="4"/>
        <v>0</v>
      </c>
      <c r="O34" s="578" t="e">
        <f>'Unit Data from Audit Worksheet'!E38</f>
        <v>#N/A</v>
      </c>
      <c r="P34" s="316"/>
      <c r="Q34" s="560" t="e">
        <f>IF(G34&lt;&gt;0,1,0)</f>
        <v>#N/A</v>
      </c>
      <c r="W34" s="3" t="b">
        <f t="shared" si="0"/>
        <v>1</v>
      </c>
      <c r="X34" s="567">
        <f t="shared" si="1"/>
        <v>0</v>
      </c>
      <c r="Y34" s="567">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414</v>
      </c>
      <c r="L35" s="570">
        <f t="shared" si="4"/>
        <v>0</v>
      </c>
      <c r="O35" s="578"/>
      <c r="P35" s="316"/>
      <c r="W35" s="3" t="b">
        <f t="shared" si="0"/>
        <v>1</v>
      </c>
      <c r="X35" s="567">
        <f t="shared" si="1"/>
        <v>0</v>
      </c>
      <c r="Y35" s="567">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376</v>
      </c>
      <c r="L36" s="570">
        <f t="shared" si="4"/>
        <v>0</v>
      </c>
      <c r="O36" s="578"/>
      <c r="P36" s="316"/>
      <c r="W36" s="3" t="b">
        <f t="shared" ref="W36:W66" si="6">EXACT(A36,J36)</f>
        <v>1</v>
      </c>
      <c r="X36" s="567">
        <f t="shared" si="1"/>
        <v>0</v>
      </c>
      <c r="Y36" s="567">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375</v>
      </c>
      <c r="L37" s="570">
        <f t="shared" si="4"/>
        <v>0</v>
      </c>
      <c r="O37" s="578"/>
      <c r="P37" s="316"/>
      <c r="W37" s="3" t="b">
        <f t="shared" si="6"/>
        <v>1</v>
      </c>
      <c r="X37" s="567">
        <f t="shared" si="1"/>
        <v>0</v>
      </c>
      <c r="Y37" s="567">
        <f t="shared" si="2"/>
        <v>0</v>
      </c>
    </row>
    <row r="38" spans="1:25" s="706"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8"/>
      <c r="J38" s="345">
        <v>593</v>
      </c>
      <c r="K38" s="711" t="s">
        <v>1132</v>
      </c>
      <c r="L38" s="570">
        <f t="shared" si="4"/>
        <v>0</v>
      </c>
      <c r="O38" s="578"/>
      <c r="P38" s="316"/>
      <c r="Q38" s="560"/>
      <c r="X38" s="567"/>
      <c r="Y38" s="567"/>
    </row>
    <row r="39" spans="1:25" s="706"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8"/>
      <c r="J39" s="345">
        <v>594</v>
      </c>
      <c r="K39" s="711" t="s">
        <v>1133</v>
      </c>
      <c r="L39" s="570">
        <f t="shared" si="4"/>
        <v>0</v>
      </c>
      <c r="O39" s="578"/>
      <c r="P39" s="316"/>
      <c r="Q39" s="560"/>
      <c r="X39" s="567"/>
      <c r="Y39" s="567"/>
    </row>
    <row r="40" spans="1:25" s="706"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8"/>
      <c r="J40" s="345">
        <v>558</v>
      </c>
      <c r="K40" s="707" t="s">
        <v>1134</v>
      </c>
      <c r="L40" s="570">
        <f t="shared" si="4"/>
        <v>0</v>
      </c>
      <c r="O40" s="578"/>
      <c r="P40" s="316"/>
      <c r="Q40" s="560"/>
      <c r="X40" s="567"/>
      <c r="Y40" s="567"/>
    </row>
    <row r="41" spans="1:25" s="706"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8"/>
      <c r="J41" s="345">
        <v>559</v>
      </c>
      <c r="K41" s="707" t="s">
        <v>1135</v>
      </c>
      <c r="L41" s="570">
        <f t="shared" si="4"/>
        <v>0</v>
      </c>
      <c r="O41" s="578"/>
      <c r="P41" s="316"/>
      <c r="Q41" s="560"/>
      <c r="X41" s="567"/>
      <c r="Y41" s="567"/>
    </row>
    <row r="42" spans="1:25" s="706"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8"/>
      <c r="J42" s="345">
        <v>560</v>
      </c>
      <c r="K42" s="707" t="s">
        <v>1136</v>
      </c>
      <c r="L42" s="570">
        <f t="shared" si="4"/>
        <v>0</v>
      </c>
      <c r="O42" s="578"/>
      <c r="P42" s="316"/>
      <c r="Q42" s="560"/>
      <c r="X42" s="567"/>
      <c r="Y42" s="567"/>
    </row>
    <row r="43" spans="1:25" s="706"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8"/>
      <c r="J43" s="345">
        <v>561</v>
      </c>
      <c r="K43" s="707" t="s">
        <v>1137</v>
      </c>
      <c r="L43" s="570">
        <f t="shared" si="4"/>
        <v>0</v>
      </c>
      <c r="O43" s="578"/>
      <c r="P43" s="316"/>
      <c r="Q43" s="560"/>
      <c r="X43" s="567"/>
      <c r="Y43" s="567"/>
    </row>
    <row r="44" spans="1:25" s="706"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8"/>
      <c r="J44" s="345">
        <v>563</v>
      </c>
      <c r="K44" s="707" t="s">
        <v>1138</v>
      </c>
      <c r="L44" s="570">
        <f t="shared" si="4"/>
        <v>0</v>
      </c>
      <c r="O44" s="578"/>
      <c r="P44" s="316"/>
      <c r="Q44" s="560"/>
      <c r="X44" s="567"/>
      <c r="Y44" s="567"/>
    </row>
    <row r="45" spans="1:25" s="706"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8"/>
      <c r="J45" s="345">
        <v>564</v>
      </c>
      <c r="K45" s="707" t="s">
        <v>1139</v>
      </c>
      <c r="L45" s="570">
        <f t="shared" si="4"/>
        <v>0</v>
      </c>
      <c r="O45" s="578"/>
      <c r="P45" s="316"/>
      <c r="Q45" s="560"/>
      <c r="X45" s="567"/>
      <c r="Y45" s="567"/>
    </row>
    <row r="46" spans="1:25" s="706"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8"/>
      <c r="J46" s="345">
        <v>568</v>
      </c>
      <c r="K46" s="707" t="s">
        <v>1140</v>
      </c>
      <c r="L46" s="570">
        <f t="shared" si="4"/>
        <v>0</v>
      </c>
      <c r="O46" s="578"/>
      <c r="P46" s="316"/>
      <c r="Q46" s="560"/>
      <c r="X46" s="567"/>
      <c r="Y46" s="567"/>
    </row>
    <row r="47" spans="1:25" s="710"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2"/>
      <c r="J47" s="345">
        <v>565</v>
      </c>
      <c r="K47" s="707" t="s">
        <v>1274</v>
      </c>
      <c r="L47" s="570">
        <f t="shared" si="4"/>
        <v>0</v>
      </c>
      <c r="O47" s="578"/>
      <c r="P47" s="316"/>
      <c r="Q47" s="560"/>
      <c r="X47" s="567"/>
      <c r="Y47" s="567"/>
    </row>
    <row r="48" spans="1:25" s="706"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8"/>
      <c r="J48" s="345">
        <v>566</v>
      </c>
      <c r="K48" s="707" t="s">
        <v>1141</v>
      </c>
      <c r="L48" s="570">
        <f t="shared" si="4"/>
        <v>0</v>
      </c>
      <c r="O48" s="578"/>
      <c r="P48" s="316"/>
      <c r="Q48" s="560"/>
      <c r="X48" s="567"/>
      <c r="Y48" s="567"/>
    </row>
    <row r="49" spans="1:25" s="706"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8"/>
      <c r="J49" s="345">
        <v>567</v>
      </c>
      <c r="K49" s="707" t="s">
        <v>1142</v>
      </c>
      <c r="L49" s="570">
        <f t="shared" si="4"/>
        <v>0</v>
      </c>
      <c r="O49" s="578"/>
      <c r="P49" s="316"/>
      <c r="Q49" s="560"/>
      <c r="X49" s="567"/>
      <c r="Y49" s="567"/>
    </row>
    <row r="50" spans="1:25" s="706"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8"/>
      <c r="J50" s="345">
        <v>562</v>
      </c>
      <c r="K50" s="707" t="s">
        <v>1143</v>
      </c>
      <c r="L50" s="570">
        <f t="shared" si="4"/>
        <v>0</v>
      </c>
      <c r="O50" s="578"/>
      <c r="P50" s="316"/>
      <c r="Q50" s="560"/>
      <c r="X50" s="567"/>
      <c r="Y50" s="567"/>
    </row>
    <row r="51" spans="1:25" s="706"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8"/>
      <c r="J51" s="345">
        <v>569</v>
      </c>
      <c r="K51" s="707" t="s">
        <v>1144</v>
      </c>
      <c r="L51" s="570">
        <f t="shared" si="4"/>
        <v>0</v>
      </c>
      <c r="O51" s="578"/>
      <c r="P51" s="316"/>
      <c r="Q51" s="560"/>
      <c r="X51" s="567"/>
      <c r="Y51" s="567"/>
    </row>
    <row r="52" spans="1:25" ht="54" customHeight="1" x14ac:dyDescent="0.3">
      <c r="A52" s="334">
        <f>'Unit Data from Audit Worksheet'!A59</f>
        <v>506</v>
      </c>
      <c r="B52" s="53" t="str">
        <f>'Unit Data from Audit Worksheet'!C59</f>
        <v>General Fund-Balance Sheet</v>
      </c>
      <c r="C52" s="58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198</v>
      </c>
      <c r="L52" s="581">
        <f t="shared" ref="L52:L65" si="7">IF(D52="",E52,D52)</f>
        <v>0</v>
      </c>
      <c r="P52" s="316"/>
      <c r="W52" s="3" t="b">
        <f t="shared" si="6"/>
        <v>1</v>
      </c>
      <c r="X52" s="567">
        <f t="shared" si="1"/>
        <v>0</v>
      </c>
      <c r="Y52" s="567">
        <f t="shared" si="2"/>
        <v>0</v>
      </c>
    </row>
    <row r="53" spans="1:25" ht="45.75" customHeight="1" x14ac:dyDescent="0.3">
      <c r="A53" s="334">
        <f>'Unit Data from Audit Worksheet'!A60</f>
        <v>536</v>
      </c>
      <c r="B53" s="53" t="str">
        <f>'Unit Data from Audit Worksheet'!C60</f>
        <v>General Fund-Balance Sheet</v>
      </c>
      <c r="C53" s="580"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199</v>
      </c>
      <c r="L53" s="581">
        <f t="shared" si="7"/>
        <v>0</v>
      </c>
      <c r="P53" s="316"/>
      <c r="W53" s="3" t="b">
        <f t="shared" si="6"/>
        <v>1</v>
      </c>
      <c r="X53" s="567">
        <f t="shared" si="1"/>
        <v>0</v>
      </c>
      <c r="Y53" s="567">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356</v>
      </c>
      <c r="L54" s="570">
        <f t="shared" si="7"/>
        <v>0</v>
      </c>
      <c r="P54" s="316"/>
      <c r="W54" s="3" t="b">
        <f t="shared" si="6"/>
        <v>1</v>
      </c>
      <c r="X54" s="567">
        <f t="shared" si="1"/>
        <v>0</v>
      </c>
      <c r="Y54" s="567">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70">
        <f t="shared" si="7"/>
        <v>0</v>
      </c>
      <c r="P55" s="316"/>
      <c r="Q55" s="560">
        <f>IF(L52+L53&gt;L55,1,0)</f>
        <v>0</v>
      </c>
      <c r="W55" s="3" t="b">
        <f t="shared" si="6"/>
        <v>1</v>
      </c>
      <c r="X55" s="567">
        <f t="shared" si="1"/>
        <v>0</v>
      </c>
      <c r="Y55" s="567">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200</v>
      </c>
      <c r="L56" s="570">
        <f t="shared" si="7"/>
        <v>0</v>
      </c>
      <c r="P56" s="316"/>
      <c r="W56" s="3" t="b">
        <f t="shared" si="6"/>
        <v>1</v>
      </c>
      <c r="X56" s="567">
        <f t="shared" si="1"/>
        <v>0</v>
      </c>
      <c r="Y56" s="567">
        <f t="shared" si="2"/>
        <v>0</v>
      </c>
    </row>
    <row r="57" spans="1:25" ht="90.75" customHeight="1" x14ac:dyDescent="0.3">
      <c r="A57" s="334">
        <f>'Unit Data from Audit Worksheet'!A64</f>
        <v>4</v>
      </c>
      <c r="B57" s="53" t="str">
        <f>'Unit Data from Audit Worksheet'!C64</f>
        <v>General Fund-Balance Sheet</v>
      </c>
      <c r="C57" s="58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1">
        <f t="shared" si="7"/>
        <v>0</v>
      </c>
      <c r="P57" s="316"/>
      <c r="W57" s="3" t="b">
        <f t="shared" si="6"/>
        <v>1</v>
      </c>
      <c r="X57" s="567">
        <f t="shared" si="1"/>
        <v>0</v>
      </c>
      <c r="Y57" s="567">
        <f t="shared" si="2"/>
        <v>0</v>
      </c>
    </row>
    <row r="58" spans="1:25" ht="131.25" customHeight="1" x14ac:dyDescent="0.3">
      <c r="A58" s="334">
        <f>'Unit Data from Audit Worksheet'!A65</f>
        <v>5</v>
      </c>
      <c r="B58" s="53" t="str">
        <f>'Unit Data from Audit Worksheet'!C65</f>
        <v>General Fund-Balance Sheet</v>
      </c>
      <c r="C58" s="58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1">
        <f t="shared" si="7"/>
        <v>0</v>
      </c>
      <c r="P58" s="316"/>
      <c r="W58" s="3" t="b">
        <f t="shared" si="6"/>
        <v>1</v>
      </c>
      <c r="X58" s="567">
        <f t="shared" si="1"/>
        <v>0</v>
      </c>
      <c r="Y58" s="567">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70">
        <f t="shared" si="7"/>
        <v>0</v>
      </c>
      <c r="P59" s="316"/>
      <c r="W59" s="3" t="b">
        <f t="shared" si="6"/>
        <v>1</v>
      </c>
      <c r="X59" s="567">
        <f t="shared" si="1"/>
        <v>0</v>
      </c>
      <c r="Y59" s="567">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201</v>
      </c>
      <c r="L60" s="570">
        <f t="shared" si="7"/>
        <v>0</v>
      </c>
      <c r="P60" s="316"/>
      <c r="W60" s="3" t="b">
        <f t="shared" si="6"/>
        <v>1</v>
      </c>
      <c r="X60" s="567">
        <f t="shared" si="1"/>
        <v>0</v>
      </c>
      <c r="Y60" s="567">
        <f t="shared" si="2"/>
        <v>0</v>
      </c>
    </row>
    <row r="61" spans="1:25" ht="28.8" x14ac:dyDescent="0.3">
      <c r="A61" s="334">
        <f>'Unit Data from Audit Worksheet'!A68</f>
        <v>7</v>
      </c>
      <c r="B61" s="53" t="str">
        <f>'Unit Data from Audit Worksheet'!C68</f>
        <v>General Fund-Balance Sheet</v>
      </c>
      <c r="C61" s="580"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202</v>
      </c>
      <c r="L61" s="581">
        <f t="shared" si="7"/>
        <v>0</v>
      </c>
      <c r="P61" s="316"/>
      <c r="W61" s="3" t="b">
        <f t="shared" si="6"/>
        <v>1</v>
      </c>
      <c r="X61" s="567">
        <f t="shared" si="1"/>
        <v>0</v>
      </c>
      <c r="Y61" s="567">
        <f t="shared" si="2"/>
        <v>0</v>
      </c>
    </row>
    <row r="62" spans="1:25" ht="89.25" customHeight="1" x14ac:dyDescent="0.3">
      <c r="A62" s="582">
        <f>'Unit Data from Audit Worksheet'!A69</f>
        <v>11</v>
      </c>
      <c r="B62" s="117" t="str">
        <f>'Unit Data from Audit Worksheet'!C69</f>
        <v>General Fund-Balance Sheet</v>
      </c>
      <c r="C62" s="57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70">
        <f t="shared" si="7"/>
        <v>0</v>
      </c>
      <c r="P62" s="317"/>
      <c r="W62" s="3" t="b">
        <f t="shared" si="6"/>
        <v>1</v>
      </c>
      <c r="X62" s="567">
        <f t="shared" si="1"/>
        <v>0</v>
      </c>
      <c r="Y62" s="567">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3"/>
      <c r="J63" s="341">
        <v>645</v>
      </c>
      <c r="K63" s="306" t="s">
        <v>484</v>
      </c>
      <c r="L63" s="584">
        <f t="shared" si="7"/>
        <v>0</v>
      </c>
      <c r="M63" s="574"/>
      <c r="N63" s="574"/>
      <c r="O63" s="574"/>
      <c r="P63" s="318"/>
      <c r="Q63" s="575"/>
      <c r="R63" s="3"/>
      <c r="S63" s="574"/>
      <c r="T63" s="574"/>
      <c r="U63" s="574"/>
      <c r="V63" s="574"/>
      <c r="W63" s="18" t="b">
        <f t="shared" si="6"/>
        <v>1</v>
      </c>
      <c r="X63" s="576">
        <f t="shared" si="1"/>
        <v>0</v>
      </c>
      <c r="Y63" s="576">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3"/>
      <c r="J64" s="341">
        <v>646</v>
      </c>
      <c r="K64" s="306" t="s">
        <v>485</v>
      </c>
      <c r="L64" s="584">
        <f t="shared" si="7"/>
        <v>0</v>
      </c>
      <c r="M64" s="574"/>
      <c r="N64" s="574"/>
      <c r="O64" s="574"/>
      <c r="P64" s="318"/>
      <c r="Q64" s="575"/>
      <c r="R64" s="3"/>
      <c r="S64" s="574"/>
      <c r="T64" s="574"/>
      <c r="U64" s="574"/>
      <c r="V64" s="574"/>
      <c r="W64" s="18" t="b">
        <f t="shared" si="6"/>
        <v>1</v>
      </c>
      <c r="X64" s="576">
        <f t="shared" si="1"/>
        <v>0</v>
      </c>
      <c r="Y64" s="576">
        <f t="shared" si="2"/>
        <v>0</v>
      </c>
    </row>
    <row r="65" spans="1:27" ht="55.5" customHeight="1" x14ac:dyDescent="0.3">
      <c r="A65" s="568">
        <f>'Unit Data from Audit Worksheet'!A72</f>
        <v>9</v>
      </c>
      <c r="B65" s="118" t="str">
        <f>'Unit Data from Audit Worksheet'!C72</f>
        <v>General Fund-Balance Sheet</v>
      </c>
      <c r="C65" s="58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204</v>
      </c>
      <c r="L65" s="581">
        <f t="shared" si="7"/>
        <v>0</v>
      </c>
      <c r="O65" s="578" t="e">
        <f>'Unit Data from Audit Worksheet'!E72</f>
        <v>#N/A</v>
      </c>
      <c r="P65" s="315"/>
      <c r="Q65" s="560">
        <f>IF(G65&lt;&gt;0,1,0)</f>
        <v>0</v>
      </c>
      <c r="W65" s="3" t="b">
        <f t="shared" si="6"/>
        <v>1</v>
      </c>
      <c r="X65" s="567">
        <f t="shared" si="1"/>
        <v>0</v>
      </c>
      <c r="Y65" s="567">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267</v>
      </c>
      <c r="L66" s="570">
        <f t="shared" ref="L66:L123" si="9">IF(D66="",E66,D66)</f>
        <v>0</v>
      </c>
      <c r="P66" s="316"/>
      <c r="Q66" s="560"/>
      <c r="R66" s="3"/>
      <c r="W66" s="3" t="b">
        <f t="shared" si="6"/>
        <v>1</v>
      </c>
      <c r="X66" s="567">
        <f t="shared" si="1"/>
        <v>0</v>
      </c>
      <c r="Y66" s="567">
        <f t="shared" si="2"/>
        <v>0</v>
      </c>
      <c r="AA66" s="3"/>
    </row>
    <row r="67" spans="1:27" s="18" customFormat="1" ht="73.5" customHeight="1" x14ac:dyDescent="0.3">
      <c r="A67" s="586">
        <f>'Unit Data from Audit Worksheet'!A75</f>
        <v>984</v>
      </c>
      <c r="B67" s="352" t="str">
        <f>'Unit Data from Audit Worksheet'!C75</f>
        <v>General Fund - Budget Actual Statement</v>
      </c>
      <c r="C67" s="587"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853</v>
      </c>
      <c r="L67" s="588">
        <f t="shared" si="9"/>
        <v>0</v>
      </c>
      <c r="P67" s="316"/>
      <c r="Q67" s="560"/>
      <c r="R67" s="3"/>
      <c r="W67" s="3"/>
      <c r="X67" s="567"/>
      <c r="Y67" s="567"/>
      <c r="AA67" s="3"/>
    </row>
    <row r="68" spans="1:27" s="18" customFormat="1" ht="73.5" customHeight="1" x14ac:dyDescent="0.3">
      <c r="A68" s="586">
        <f>'Unit Data from Audit Worksheet'!A76</f>
        <v>985</v>
      </c>
      <c r="B68" s="352" t="str">
        <f>'Unit Data from Audit Worksheet'!C76</f>
        <v>General Fund - Budget Actual Statement</v>
      </c>
      <c r="C68" s="587"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854</v>
      </c>
      <c r="L68" s="588">
        <f t="shared" si="9"/>
        <v>0</v>
      </c>
      <c r="P68" s="316"/>
      <c r="Q68" s="560"/>
      <c r="R68" s="3"/>
      <c r="W68" s="3"/>
      <c r="X68" s="567"/>
      <c r="Y68" s="567"/>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205</v>
      </c>
      <c r="L69" s="570">
        <f t="shared" si="9"/>
        <v>0</v>
      </c>
      <c r="P69" s="316"/>
      <c r="W69" s="3" t="b">
        <f t="shared" ref="W69:W132" si="10">EXACT(A69,J69)</f>
        <v>1</v>
      </c>
      <c r="X69" s="567">
        <f t="shared" si="1"/>
        <v>0</v>
      </c>
      <c r="Y69" s="567">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206</v>
      </c>
      <c r="L70" s="570">
        <f t="shared" si="9"/>
        <v>0</v>
      </c>
      <c r="P70" s="316"/>
      <c r="W70" s="3" t="b">
        <f t="shared" si="10"/>
        <v>1</v>
      </c>
      <c r="X70" s="567">
        <f t="shared" si="1"/>
        <v>0</v>
      </c>
      <c r="Y70" s="567">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207</v>
      </c>
      <c r="L71" s="570">
        <f t="shared" si="9"/>
        <v>0</v>
      </c>
      <c r="P71" s="316"/>
      <c r="W71" s="3" t="b">
        <f t="shared" si="10"/>
        <v>1</v>
      </c>
      <c r="X71" s="567">
        <f t="shared" si="1"/>
        <v>0</v>
      </c>
      <c r="Y71" s="567">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9" t="s">
        <v>208</v>
      </c>
      <c r="L72" s="570">
        <f t="shared" si="9"/>
        <v>0</v>
      </c>
      <c r="P72" s="316"/>
      <c r="W72" s="3" t="b">
        <f t="shared" si="10"/>
        <v>1</v>
      </c>
      <c r="X72" s="567">
        <f t="shared" si="1"/>
        <v>0</v>
      </c>
      <c r="Y72" s="567">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209</v>
      </c>
      <c r="L73" s="570">
        <f t="shared" si="9"/>
        <v>0</v>
      </c>
      <c r="P73" s="316"/>
      <c r="W73" s="3" t="b">
        <f t="shared" si="10"/>
        <v>1</v>
      </c>
      <c r="X73" s="567">
        <f t="shared" si="1"/>
        <v>0</v>
      </c>
      <c r="Y73" s="567">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210</v>
      </c>
      <c r="L74" s="570">
        <f t="shared" si="9"/>
        <v>0</v>
      </c>
      <c r="P74" s="316"/>
      <c r="W74" s="3" t="b">
        <f t="shared" si="10"/>
        <v>1</v>
      </c>
      <c r="X74" s="567">
        <f t="shared" si="1"/>
        <v>0</v>
      </c>
      <c r="Y74" s="567">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9" t="s">
        <v>211</v>
      </c>
      <c r="L75" s="570">
        <f t="shared" si="9"/>
        <v>0</v>
      </c>
      <c r="P75" s="316"/>
      <c r="W75" s="3" t="b">
        <f t="shared" si="10"/>
        <v>1</v>
      </c>
      <c r="X75" s="567">
        <f t="shared" si="1"/>
        <v>0</v>
      </c>
      <c r="Y75" s="567">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213</v>
      </c>
      <c r="L76" s="570">
        <f t="shared" si="9"/>
        <v>0</v>
      </c>
      <c r="P76" s="316"/>
      <c r="W76" s="3" t="b">
        <f t="shared" si="10"/>
        <v>1</v>
      </c>
      <c r="X76" s="567">
        <f t="shared" si="1"/>
        <v>0</v>
      </c>
      <c r="Y76" s="567">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214</v>
      </c>
      <c r="L77" s="570">
        <f t="shared" si="9"/>
        <v>0</v>
      </c>
      <c r="P77" s="316"/>
      <c r="W77" s="3" t="b">
        <f t="shared" si="10"/>
        <v>1</v>
      </c>
      <c r="X77" s="567">
        <f t="shared" si="1"/>
        <v>0</v>
      </c>
      <c r="Y77" s="567">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212</v>
      </c>
      <c r="L78" s="570">
        <f t="shared" si="9"/>
        <v>0</v>
      </c>
      <c r="P78" s="316"/>
      <c r="W78" s="3" t="b">
        <f t="shared" si="10"/>
        <v>1</v>
      </c>
      <c r="X78" s="567">
        <f t="shared" si="1"/>
        <v>0</v>
      </c>
      <c r="Y78" s="567">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215</v>
      </c>
      <c r="L79" s="570">
        <f t="shared" si="9"/>
        <v>0</v>
      </c>
      <c r="P79" s="316"/>
      <c r="Q79" s="560">
        <f>IF(G79&lt;&gt;0,1,0)</f>
        <v>0</v>
      </c>
      <c r="W79" s="3" t="b">
        <f t="shared" si="10"/>
        <v>1</v>
      </c>
      <c r="X79" s="567">
        <f t="shared" si="1"/>
        <v>0</v>
      </c>
      <c r="Y79" s="567">
        <f t="shared" si="2"/>
        <v>0</v>
      </c>
    </row>
    <row r="80" spans="1:27" ht="123" customHeight="1" x14ac:dyDescent="0.3">
      <c r="A80" s="582">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70">
        <f t="shared" si="9"/>
        <v>0</v>
      </c>
      <c r="N80" s="579"/>
      <c r="O80" s="578"/>
      <c r="P80" s="317"/>
      <c r="Q80" s="560" t="e">
        <f>IF(G80&lt;&gt;0,1,0)</f>
        <v>#N/A</v>
      </c>
      <c r="W80" s="3" t="b">
        <f t="shared" si="10"/>
        <v>1</v>
      </c>
      <c r="X80" s="567">
        <f t="shared" si="1"/>
        <v>0</v>
      </c>
      <c r="Y80" s="567">
        <f t="shared" si="2"/>
        <v>0</v>
      </c>
    </row>
    <row r="81" spans="1:26" ht="123" customHeight="1" x14ac:dyDescent="0.3">
      <c r="A81" s="582">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307</v>
      </c>
      <c r="L81" s="570">
        <f t="shared" si="9"/>
        <v>0</v>
      </c>
      <c r="N81" s="579"/>
      <c r="O81" s="578"/>
      <c r="P81" s="325"/>
      <c r="W81" s="3" t="b">
        <f t="shared" si="10"/>
        <v>1</v>
      </c>
      <c r="X81" s="567"/>
      <c r="Y81" s="567"/>
    </row>
    <row r="82" spans="1:26" ht="123" customHeight="1" x14ac:dyDescent="0.3">
      <c r="A82" s="582">
        <f>'Unit Data from Audit Worksheet'!A91</f>
        <v>585</v>
      </c>
      <c r="B82" s="117" t="str">
        <f>'Unit Data from Audit Worksheet'!C91</f>
        <v>General Fund-Rev, Exp. Change in Fund Balance or General Fund Budget Actual</v>
      </c>
      <c r="C82" s="572"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405</v>
      </c>
      <c r="L82" s="570">
        <f t="shared" si="9"/>
        <v>0</v>
      </c>
      <c r="N82" s="579"/>
      <c r="O82" s="578"/>
      <c r="P82" s="325"/>
      <c r="W82" s="3" t="b">
        <f t="shared" si="10"/>
        <v>1</v>
      </c>
      <c r="X82" s="567"/>
      <c r="Y82" s="567"/>
    </row>
    <row r="83" spans="1:26" ht="123" customHeight="1" x14ac:dyDescent="0.3">
      <c r="A83" s="582">
        <f>'Unit Data from Audit Worksheet'!A92</f>
        <v>546</v>
      </c>
      <c r="B83" s="117" t="str">
        <f>'Unit Data from Audit Worksheet'!C92</f>
        <v>General Fund-Rev, Exp. Change in Fund Balance or General Fund Budget Actual</v>
      </c>
      <c r="C83" s="572" t="str">
        <f>'Unit Data from Audit Worksheet'!D92</f>
        <v>Amount of Supplemental School Tax revenue recorded in the governmental funds.</v>
      </c>
      <c r="D83" s="357"/>
      <c r="E83" s="155">
        <f>'Unit Data from Audit Worksheet'!F92</f>
        <v>0</v>
      </c>
      <c r="F83" s="350"/>
      <c r="G83" s="358"/>
      <c r="H83" s="350"/>
      <c r="I83" s="38"/>
      <c r="J83" s="359">
        <v>546</v>
      </c>
      <c r="K83" s="362" t="s">
        <v>598</v>
      </c>
      <c r="L83" s="570">
        <f t="shared" si="9"/>
        <v>0</v>
      </c>
      <c r="N83" s="579"/>
      <c r="O83" s="578"/>
      <c r="P83" s="325"/>
      <c r="W83" s="3" t="b">
        <f t="shared" si="10"/>
        <v>1</v>
      </c>
      <c r="X83" s="567"/>
      <c r="Y83" s="567"/>
    </row>
    <row r="84" spans="1:26" ht="123" customHeight="1" x14ac:dyDescent="0.3">
      <c r="A84" s="582">
        <f>'Unit Data from Audit Worksheet'!A93</f>
        <v>589</v>
      </c>
      <c r="B84" s="117" t="str">
        <f>'Unit Data from Audit Worksheet'!C93</f>
        <v>General Fund-Rev, Exp. Change in Fund Balance or General Fund Budget Actual</v>
      </c>
      <c r="C84" s="572" t="str">
        <f>'Unit Data from Audit Worksheet'!D93</f>
        <v>Amount of Supplemental School Tax revenue recorded in agency funds.</v>
      </c>
      <c r="D84" s="357"/>
      <c r="E84" s="155">
        <f>'Unit Data from Audit Worksheet'!F93</f>
        <v>0</v>
      </c>
      <c r="F84" s="350"/>
      <c r="G84" s="358"/>
      <c r="H84" s="350"/>
      <c r="I84" s="38"/>
      <c r="J84" s="359">
        <v>589</v>
      </c>
      <c r="K84" s="124" t="s">
        <v>1016</v>
      </c>
      <c r="L84" s="570">
        <f t="shared" si="9"/>
        <v>0</v>
      </c>
      <c r="N84" s="579"/>
      <c r="O84" s="578"/>
      <c r="P84" s="325"/>
      <c r="W84" s="3" t="b">
        <f t="shared" si="10"/>
        <v>1</v>
      </c>
      <c r="X84" s="567"/>
      <c r="Y84" s="567"/>
    </row>
    <row r="85" spans="1:26" ht="123" customHeight="1" x14ac:dyDescent="0.3">
      <c r="A85" s="582">
        <f>'Unit Data from Audit Worksheet'!A94</f>
        <v>149</v>
      </c>
      <c r="B85" s="117" t="str">
        <f>'Unit Data from Audit Worksheet'!C94</f>
        <v>General Fund-Rev, Exp. Change in Fund Balance or General Fund Budget Actual</v>
      </c>
      <c r="C85" s="57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4" t="s">
        <v>309</v>
      </c>
      <c r="L85" s="570">
        <f t="shared" si="9"/>
        <v>0</v>
      </c>
      <c r="N85" s="579"/>
      <c r="O85" s="578"/>
      <c r="P85" s="325"/>
      <c r="W85" s="3" t="b">
        <f t="shared" si="10"/>
        <v>1</v>
      </c>
      <c r="X85" s="567"/>
      <c r="Y85" s="567"/>
      <c r="Z85" s="3" t="s">
        <v>1088</v>
      </c>
    </row>
    <row r="86" spans="1:26" ht="123" customHeight="1" x14ac:dyDescent="0.3">
      <c r="A86" s="582">
        <f>'Unit Data from Audit Worksheet'!A95</f>
        <v>150</v>
      </c>
      <c r="B86" s="117" t="str">
        <f>'Unit Data from Audit Worksheet'!C95</f>
        <v>General Fund-Rev, Exp. Change in Fund Balance or General Fund Budget Actual</v>
      </c>
      <c r="C86" s="57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4" t="s">
        <v>598</v>
      </c>
      <c r="L86" s="570">
        <f t="shared" si="9"/>
        <v>0</v>
      </c>
      <c r="N86" s="579"/>
      <c r="O86" s="578"/>
      <c r="P86" s="325"/>
      <c r="W86" s="3" t="b">
        <f t="shared" si="10"/>
        <v>1</v>
      </c>
      <c r="X86" s="567"/>
      <c r="Y86" s="567"/>
      <c r="Z86" s="3" t="s">
        <v>1088</v>
      </c>
    </row>
    <row r="87" spans="1:26" ht="123" customHeight="1" x14ac:dyDescent="0.3">
      <c r="A87" s="582">
        <f>'Unit Data from Audit Worksheet'!A96</f>
        <v>587</v>
      </c>
      <c r="B87" s="117" t="str">
        <f>'Unit Data from Audit Worksheet'!C96</f>
        <v xml:space="preserve">Fund 8 Rev, Exp. Change in Fund Balance Rpt. </v>
      </c>
      <c r="C87" s="572"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4" t="s">
        <v>407</v>
      </c>
      <c r="L87" s="570">
        <f t="shared" si="9"/>
        <v>0</v>
      </c>
      <c r="N87" s="579"/>
      <c r="O87" s="578"/>
      <c r="P87" s="325"/>
      <c r="W87" s="3" t="b">
        <f t="shared" si="10"/>
        <v>1</v>
      </c>
      <c r="X87" s="567"/>
      <c r="Y87" s="567"/>
      <c r="Z87" s="3" t="s">
        <v>1088</v>
      </c>
    </row>
    <row r="88" spans="1:26" ht="123" customHeight="1" x14ac:dyDescent="0.3">
      <c r="A88" s="582">
        <f>'Unit Data from Audit Worksheet'!A97</f>
        <v>588</v>
      </c>
      <c r="B88" s="117" t="str">
        <f>'Unit Data from Audit Worksheet'!C97</f>
        <v xml:space="preserve">Fund 8 Rev, Exp. Change in Fund Balance Rpt. </v>
      </c>
      <c r="C88" s="572" t="str">
        <f>'Unit Data from Audit Worksheet'!D97</f>
        <v>Amount of Capital Outlay Funds received from the County transferred to Fund 8 this year.</v>
      </c>
      <c r="D88" s="357"/>
      <c r="E88" s="155">
        <f>'Unit Data from Audit Worksheet'!F97</f>
        <v>0</v>
      </c>
      <c r="F88" s="350"/>
      <c r="G88" s="358"/>
      <c r="H88" s="350"/>
      <c r="I88" s="38"/>
      <c r="J88" s="359">
        <v>588</v>
      </c>
      <c r="K88" s="254" t="s">
        <v>408</v>
      </c>
      <c r="L88" s="570">
        <f t="shared" si="9"/>
        <v>0</v>
      </c>
      <c r="N88" s="579"/>
      <c r="O88" s="578"/>
      <c r="P88" s="325"/>
      <c r="W88" s="3" t="b">
        <f t="shared" si="10"/>
        <v>1</v>
      </c>
      <c r="X88" s="567"/>
      <c r="Y88" s="567"/>
      <c r="Z88" s="3" t="s">
        <v>1088</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3"/>
      <c r="J89" s="341">
        <v>647</v>
      </c>
      <c r="K89" s="309" t="s">
        <v>1301</v>
      </c>
      <c r="L89" s="584">
        <f>IF(D89="",E89,D89)</f>
        <v>0</v>
      </c>
      <c r="M89" s="574"/>
      <c r="N89" s="574"/>
      <c r="O89" s="590"/>
      <c r="P89" s="318"/>
      <c r="Q89" s="575"/>
      <c r="R89" s="3"/>
      <c r="S89" s="574"/>
      <c r="T89" s="574"/>
      <c r="U89" s="574"/>
      <c r="V89" s="574"/>
      <c r="W89" s="18" t="b">
        <f t="shared" si="10"/>
        <v>1</v>
      </c>
      <c r="X89" s="576">
        <f t="shared" si="1"/>
        <v>0</v>
      </c>
      <c r="Y89" s="576">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308</v>
      </c>
      <c r="L90" s="570">
        <f t="shared" si="9"/>
        <v>0</v>
      </c>
      <c r="M90" s="591"/>
      <c r="N90" s="591"/>
      <c r="O90" s="592"/>
      <c r="P90" s="325"/>
      <c r="Q90" s="593"/>
      <c r="R90" s="3"/>
      <c r="S90" s="591"/>
      <c r="T90" s="591"/>
      <c r="U90" s="591"/>
      <c r="V90" s="591"/>
      <c r="W90" s="591" t="b">
        <f t="shared" si="10"/>
        <v>1</v>
      </c>
      <c r="X90" s="576"/>
      <c r="Y90" s="576"/>
    </row>
    <row r="91" spans="1:26" ht="60" customHeight="1" x14ac:dyDescent="0.3">
      <c r="A91" s="568">
        <f>'Unit Data from Audit Worksheet'!A101</f>
        <v>171</v>
      </c>
      <c r="B91" s="54" t="str">
        <f>'Unit Data from Audit Worksheet'!C101</f>
        <v>Fund Statements - all Governmental Funds</v>
      </c>
      <c r="C91" s="569"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217</v>
      </c>
      <c r="L91" s="570">
        <f t="shared" si="9"/>
        <v>0</v>
      </c>
      <c r="P91" s="315"/>
      <c r="W91" s="3" t="b">
        <f t="shared" si="10"/>
        <v>1</v>
      </c>
      <c r="X91" s="567">
        <f t="shared" si="1"/>
        <v>0</v>
      </c>
      <c r="Y91" s="567">
        <f t="shared" si="2"/>
        <v>0</v>
      </c>
    </row>
    <row r="92" spans="1:26" s="710" customFormat="1" ht="60" customHeight="1" x14ac:dyDescent="0.3">
      <c r="A92" s="568">
        <f>'Unit Data from Audit Worksheet'!A103</f>
        <v>36</v>
      </c>
      <c r="B92" s="54" t="str">
        <f>'Unit Data from Audit Worksheet'!C103</f>
        <v>Net Position</v>
      </c>
      <c r="C92" s="569" t="str">
        <f>'Unit Data from Audit Worksheet'!D103</f>
        <v>Total Gross Capital Assets - without accumulated depreciation</v>
      </c>
      <c r="D92" s="353"/>
      <c r="E92" s="152">
        <f>'Unit Data from Audit Worksheet'!F103</f>
        <v>0</v>
      </c>
      <c r="F92" s="47"/>
      <c r="G92" s="72"/>
      <c r="H92" s="346"/>
      <c r="I92" s="712"/>
      <c r="J92" s="42">
        <v>36</v>
      </c>
      <c r="K92" s="51" t="s">
        <v>1145</v>
      </c>
      <c r="L92" s="570">
        <f t="shared" si="9"/>
        <v>0</v>
      </c>
      <c r="P92" s="315"/>
      <c r="Q92" s="560"/>
      <c r="W92" s="591" t="b">
        <f t="shared" si="10"/>
        <v>1</v>
      </c>
      <c r="X92" s="567"/>
      <c r="Y92" s="567"/>
    </row>
    <row r="93" spans="1:26" s="710" customFormat="1" ht="60" customHeight="1" x14ac:dyDescent="0.3">
      <c r="A93" s="568">
        <f>'Unit Data from Audit Worksheet'!A104</f>
        <v>534</v>
      </c>
      <c r="B93" s="54" t="str">
        <f>'Unit Data from Audit Worksheet'!C104</f>
        <v>Net Position</v>
      </c>
      <c r="C93" s="569" t="str">
        <f>'Unit Data from Audit Worksheet'!D104</f>
        <v>Combined Totals of all Proprietary Funds - Amount of Inventories and Prepaids in current assets</v>
      </c>
      <c r="D93" s="353"/>
      <c r="E93" s="152">
        <f>'Unit Data from Audit Worksheet'!F104</f>
        <v>0</v>
      </c>
      <c r="F93" s="47"/>
      <c r="G93" s="72"/>
      <c r="H93" s="346"/>
      <c r="I93" s="712"/>
      <c r="J93" s="42">
        <v>534</v>
      </c>
      <c r="K93" s="51" t="s">
        <v>275</v>
      </c>
      <c r="L93" s="570">
        <f t="shared" si="9"/>
        <v>0</v>
      </c>
      <c r="P93" s="315"/>
      <c r="Q93" s="560"/>
      <c r="W93" s="591" t="b">
        <f t="shared" si="10"/>
        <v>1</v>
      </c>
      <c r="X93" s="567"/>
      <c r="Y93" s="567"/>
    </row>
    <row r="94" spans="1:26" ht="60" customHeight="1" x14ac:dyDescent="0.3">
      <c r="A94" s="568">
        <f>'Unit Data from Audit Worksheet'!A105</f>
        <v>13</v>
      </c>
      <c r="B94" s="54" t="str">
        <f>'Unit Data from Audit Worksheet'!C105</f>
        <v>Combined Proprietary Funds - Net Position</v>
      </c>
      <c r="C94" s="569" t="str">
        <f>'Unit Data from Audit Worksheet'!D105</f>
        <v>Comb-Proprietary Funds-Current Assets 
Exclude: any restricted assets
                  deferred outflows</v>
      </c>
      <c r="D94" s="353"/>
      <c r="E94" s="152">
        <f>'Unit Data from Audit Worksheet'!F105</f>
        <v>0</v>
      </c>
      <c r="F94" s="47"/>
      <c r="G94" s="72"/>
      <c r="H94" s="346"/>
      <c r="I94" s="38"/>
      <c r="J94" s="42">
        <v>13</v>
      </c>
      <c r="K94" s="51" t="s">
        <v>1078</v>
      </c>
      <c r="L94" s="570">
        <f t="shared" si="9"/>
        <v>0</v>
      </c>
      <c r="P94" s="315"/>
      <c r="X94" s="567"/>
      <c r="Y94" s="567"/>
    </row>
    <row r="95" spans="1:26" ht="60" customHeight="1" x14ac:dyDescent="0.3">
      <c r="A95" s="568">
        <f>'Unit Data from Audit Worksheet'!A106</f>
        <v>14</v>
      </c>
      <c r="B95" s="54" t="str">
        <f>'Unit Data from Audit Worksheet'!C106</f>
        <v>Combined Proprietary Funds - Net Position</v>
      </c>
      <c r="C95" s="56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1079</v>
      </c>
      <c r="L95" s="570">
        <f t="shared" si="9"/>
        <v>0</v>
      </c>
      <c r="P95" s="315"/>
      <c r="X95" s="567"/>
      <c r="Y95" s="567"/>
    </row>
    <row r="96" spans="1:26" s="710" customFormat="1" ht="60" customHeight="1" x14ac:dyDescent="0.3">
      <c r="A96" s="568">
        <f>'Unit Data from Audit Worksheet'!A107</f>
        <v>571</v>
      </c>
      <c r="B96" s="54" t="str">
        <f>'Unit Data from Audit Worksheet'!C107</f>
        <v>Statement of Net Position - combined totals from all Proprietary Funds</v>
      </c>
      <c r="C96" s="569" t="str">
        <f>'Unit Data from Audit Worksheet'!D107</f>
        <v>Mental Health Net Position - Net Investment in Capital Assets</v>
      </c>
      <c r="D96" s="353"/>
      <c r="E96" s="152">
        <f>'Unit Data from Audit Worksheet'!F107</f>
        <v>0</v>
      </c>
      <c r="F96" s="47"/>
      <c r="G96" s="72"/>
      <c r="H96" s="346"/>
      <c r="I96" s="712"/>
      <c r="J96" s="42">
        <v>571</v>
      </c>
      <c r="K96" s="51" t="s">
        <v>1116</v>
      </c>
      <c r="L96" s="570">
        <f t="shared" si="9"/>
        <v>0</v>
      </c>
      <c r="P96" s="315"/>
      <c r="Q96" s="560"/>
      <c r="X96" s="567"/>
      <c r="Y96" s="567"/>
    </row>
    <row r="97" spans="1:26" s="710" customFormat="1" ht="60" customHeight="1" x14ac:dyDescent="0.3">
      <c r="A97" s="568">
        <f>'Unit Data from Audit Worksheet'!A108</f>
        <v>572</v>
      </c>
      <c r="B97" s="54" t="str">
        <f>'Unit Data from Audit Worksheet'!C108</f>
        <v>Statement of Net Position - combined totals from all Proprietary Funds</v>
      </c>
      <c r="C97" s="569" t="str">
        <f>'Unit Data from Audit Worksheet'!D108</f>
        <v>Mental Health Net Position - Restricted Net Position</v>
      </c>
      <c r="D97" s="353"/>
      <c r="E97" s="152">
        <f>'Unit Data from Audit Worksheet'!F108</f>
        <v>0</v>
      </c>
      <c r="F97" s="47"/>
      <c r="G97" s="72"/>
      <c r="H97" s="346"/>
      <c r="I97" s="712"/>
      <c r="J97" s="42">
        <v>572</v>
      </c>
      <c r="K97" s="51" t="s">
        <v>1117</v>
      </c>
      <c r="L97" s="570">
        <f t="shared" si="9"/>
        <v>0</v>
      </c>
      <c r="P97" s="315"/>
      <c r="Q97" s="560"/>
      <c r="X97" s="567"/>
      <c r="Y97" s="567"/>
    </row>
    <row r="98" spans="1:26" s="710" customFormat="1" ht="60" customHeight="1" x14ac:dyDescent="0.3">
      <c r="A98" s="568">
        <f>'Unit Data from Audit Worksheet'!A109</f>
        <v>573</v>
      </c>
      <c r="B98" s="54" t="str">
        <f>'Unit Data from Audit Worksheet'!C109</f>
        <v>Statement of Net Position - combined totals from all Proprietary Funds</v>
      </c>
      <c r="C98" s="569" t="str">
        <f>'Unit Data from Audit Worksheet'!D109</f>
        <v>Mental Health Net Position - Unrestricted Net Position</v>
      </c>
      <c r="D98" s="353"/>
      <c r="E98" s="152">
        <f>'Unit Data from Audit Worksheet'!F109</f>
        <v>0</v>
      </c>
      <c r="F98" s="47"/>
      <c r="G98" s="72"/>
      <c r="H98" s="346"/>
      <c r="I98" s="712"/>
      <c r="J98" s="42">
        <v>573</v>
      </c>
      <c r="K98" s="51" t="s">
        <v>1275</v>
      </c>
      <c r="L98" s="570">
        <f t="shared" si="9"/>
        <v>0</v>
      </c>
      <c r="P98" s="315"/>
      <c r="Q98" s="560"/>
      <c r="X98" s="567"/>
      <c r="Y98" s="567"/>
    </row>
    <row r="99" spans="1:26" ht="60" customHeight="1" x14ac:dyDescent="0.3">
      <c r="A99" s="568">
        <f>'Unit Data from Audit Worksheet'!A110</f>
        <v>34</v>
      </c>
      <c r="B99" s="54" t="str">
        <f>'Unit Data from Audit Worksheet'!C110</f>
        <v>Net Position</v>
      </c>
      <c r="C99" s="569"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1091</v>
      </c>
      <c r="L99" s="570">
        <f t="shared" si="9"/>
        <v>0</v>
      </c>
      <c r="P99" s="315"/>
      <c r="X99" s="567"/>
      <c r="Y99" s="567"/>
      <c r="Z99" s="3" t="s">
        <v>1089</v>
      </c>
    </row>
    <row r="100" spans="1:26" ht="60" customHeight="1" x14ac:dyDescent="0.3">
      <c r="A100" s="568">
        <f>'Unit Data from Audit Worksheet'!A111</f>
        <v>35</v>
      </c>
      <c r="B100" s="54" t="str">
        <f>'Unit Data from Audit Worksheet'!C111</f>
        <v>Net Position</v>
      </c>
      <c r="C100" s="569"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1092</v>
      </c>
      <c r="L100" s="570">
        <f t="shared" si="9"/>
        <v>0</v>
      </c>
      <c r="P100" s="315"/>
      <c r="X100" s="567"/>
      <c r="Y100" s="567"/>
      <c r="Z100" s="3" t="s">
        <v>1089</v>
      </c>
    </row>
    <row r="101" spans="1:26" ht="60" customHeight="1" x14ac:dyDescent="0.3">
      <c r="A101" s="568">
        <f>'Unit Data from Audit Worksheet'!A112</f>
        <v>37</v>
      </c>
      <c r="B101" s="54" t="str">
        <f>'Unit Data from Audit Worksheet'!C112</f>
        <v>Net Position</v>
      </c>
      <c r="C101" s="569" t="str">
        <f>'Unit Data from Audit Worksheet'!D112</f>
        <v>Total Long-term debt (non current portion only) - enter as a positive</v>
      </c>
      <c r="D101" s="353"/>
      <c r="E101" s="152">
        <f>'Unit Data from Audit Worksheet'!F112</f>
        <v>0</v>
      </c>
      <c r="F101" s="47"/>
      <c r="G101" s="72"/>
      <c r="H101" s="346"/>
      <c r="I101" s="38"/>
      <c r="J101" s="42">
        <v>37</v>
      </c>
      <c r="K101" s="51" t="s">
        <v>1102</v>
      </c>
      <c r="L101" s="570">
        <f t="shared" si="9"/>
        <v>0</v>
      </c>
      <c r="P101" s="315"/>
      <c r="X101" s="567"/>
      <c r="Y101" s="567"/>
      <c r="Z101" s="3" t="s">
        <v>1089</v>
      </c>
    </row>
    <row r="102" spans="1:26" ht="60" customHeight="1" x14ac:dyDescent="0.3">
      <c r="A102" s="568">
        <f>'Unit Data from Audit Worksheet'!A113</f>
        <v>38</v>
      </c>
      <c r="B102" s="54" t="str">
        <f>'Unit Data from Audit Worksheet'!C113</f>
        <v>Net Position</v>
      </c>
      <c r="C102" s="569" t="str">
        <f>'Unit Data from Audit Worksheet'!D113</f>
        <v>Unrestricted fund equity or net position</v>
      </c>
      <c r="D102" s="353"/>
      <c r="E102" s="152">
        <f>'Unit Data from Audit Worksheet'!F113</f>
        <v>0</v>
      </c>
      <c r="F102" s="47"/>
      <c r="G102" s="72"/>
      <c r="H102" s="346"/>
      <c r="I102" s="38"/>
      <c r="J102" s="42">
        <v>38</v>
      </c>
      <c r="K102" s="51" t="s">
        <v>1093</v>
      </c>
      <c r="L102" s="570">
        <f t="shared" si="9"/>
        <v>0</v>
      </c>
      <c r="P102" s="315"/>
      <c r="X102" s="567"/>
      <c r="Y102" s="567"/>
      <c r="Z102" s="3" t="s">
        <v>1089</v>
      </c>
    </row>
    <row r="103" spans="1:26" ht="60" customHeight="1" x14ac:dyDescent="0.3">
      <c r="A103" s="568">
        <f>'Unit Data from Audit Worksheet'!A114</f>
        <v>32</v>
      </c>
      <c r="B103" s="54" t="str">
        <f>'Unit Data from Audit Worksheet'!C114</f>
        <v>Combined Totals of all Proprietary Funds - Revenue, Expenses, Changes in Net Position</v>
      </c>
      <c r="C103" s="569"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1081</v>
      </c>
      <c r="L103" s="570">
        <f t="shared" si="9"/>
        <v>0</v>
      </c>
      <c r="P103" s="315"/>
      <c r="X103" s="567"/>
      <c r="Y103" s="567"/>
      <c r="Z103" s="3" t="s">
        <v>1089</v>
      </c>
    </row>
    <row r="104" spans="1:26" ht="60" customHeight="1" x14ac:dyDescent="0.3">
      <c r="A104" s="568">
        <f>'Unit Data from Audit Worksheet'!A115</f>
        <v>40</v>
      </c>
      <c r="B104" s="54" t="str">
        <f>'Unit Data from Audit Worksheet'!C115</f>
        <v>Revenue, Expenses, Changes in Net Position</v>
      </c>
      <c r="C104" s="569" t="str">
        <f>'Unit Data from Audit Worksheet'!D115</f>
        <v>Net Patient Revenues</v>
      </c>
      <c r="D104" s="353"/>
      <c r="E104" s="152">
        <f>'Unit Data from Audit Worksheet'!F115</f>
        <v>0</v>
      </c>
      <c r="F104" s="47"/>
      <c r="G104" s="72"/>
      <c r="H104" s="346"/>
      <c r="I104" s="38"/>
      <c r="J104" s="42">
        <v>40</v>
      </c>
      <c r="K104" s="51" t="s">
        <v>1095</v>
      </c>
      <c r="L104" s="570">
        <f t="shared" si="9"/>
        <v>0</v>
      </c>
      <c r="P104" s="315"/>
      <c r="X104" s="567"/>
      <c r="Y104" s="567"/>
      <c r="Z104" s="3" t="s">
        <v>1089</v>
      </c>
    </row>
    <row r="105" spans="1:26" ht="60" customHeight="1" x14ac:dyDescent="0.3">
      <c r="A105" s="568">
        <f>'Unit Data from Audit Worksheet'!A116</f>
        <v>107</v>
      </c>
      <c r="B105" s="54" t="str">
        <f>'Unit Data from Audit Worksheet'!C116</f>
        <v>Revenue, Expenses, Changes in Net Position</v>
      </c>
      <c r="C105" s="569" t="str">
        <f>'Unit Data from Audit Worksheet'!D116</f>
        <v>Total Operating Revenues</v>
      </c>
      <c r="D105" s="353"/>
      <c r="E105" s="152">
        <f>'Unit Data from Audit Worksheet'!F116</f>
        <v>0</v>
      </c>
      <c r="F105" s="47"/>
      <c r="G105" s="72"/>
      <c r="H105" s="346"/>
      <c r="I105" s="38"/>
      <c r="J105" s="42">
        <v>107</v>
      </c>
      <c r="K105" s="51" t="s">
        <v>1096</v>
      </c>
      <c r="L105" s="570">
        <f t="shared" si="9"/>
        <v>0</v>
      </c>
      <c r="P105" s="315"/>
      <c r="X105" s="567"/>
      <c r="Y105" s="567"/>
      <c r="Z105" s="3" t="s">
        <v>1089</v>
      </c>
    </row>
    <row r="106" spans="1:26" ht="60" customHeight="1" x14ac:dyDescent="0.3">
      <c r="A106" s="568">
        <f>'Unit Data from Audit Worksheet'!A117</f>
        <v>108</v>
      </c>
      <c r="B106" s="54" t="str">
        <f>'Unit Data from Audit Worksheet'!C117</f>
        <v>Revenue, Expenses, Changes in Net Position</v>
      </c>
      <c r="C106" s="569" t="str">
        <f>'Unit Data from Audit Worksheet'!D117</f>
        <v>Total Operating Expenses. May include Interest Expense - Enter as a positive</v>
      </c>
      <c r="D106" s="353"/>
      <c r="E106" s="152">
        <f>'Unit Data from Audit Worksheet'!F117</f>
        <v>0</v>
      </c>
      <c r="F106" s="47"/>
      <c r="G106" s="72"/>
      <c r="H106" s="346"/>
      <c r="I106" s="38"/>
      <c r="J106" s="42">
        <v>108</v>
      </c>
      <c r="K106" s="51" t="s">
        <v>1103</v>
      </c>
      <c r="L106" s="570">
        <f t="shared" si="9"/>
        <v>0</v>
      </c>
      <c r="P106" s="315"/>
      <c r="X106" s="567"/>
      <c r="Y106" s="567"/>
      <c r="Z106" s="3" t="s">
        <v>1089</v>
      </c>
    </row>
    <row r="107" spans="1:26" ht="60" customHeight="1" x14ac:dyDescent="0.3">
      <c r="A107" s="568">
        <f>'Unit Data from Audit Worksheet'!A118</f>
        <v>41</v>
      </c>
      <c r="B107" s="54" t="str">
        <f>'Unit Data from Audit Worksheet'!C118</f>
        <v>Revenue, Expenses, Changes in Net Position</v>
      </c>
      <c r="C107" s="569" t="str">
        <f>'Unit Data from Audit Worksheet'!D118</f>
        <v xml:space="preserve">Interest Expense - Enter as a positive </v>
      </c>
      <c r="D107" s="353"/>
      <c r="E107" s="152">
        <f>'Unit Data from Audit Worksheet'!F118</f>
        <v>0</v>
      </c>
      <c r="F107" s="47"/>
      <c r="G107" s="72"/>
      <c r="H107" s="346"/>
      <c r="I107" s="38"/>
      <c r="J107" s="42">
        <v>41</v>
      </c>
      <c r="K107" s="51" t="s">
        <v>1104</v>
      </c>
      <c r="L107" s="570">
        <f t="shared" si="9"/>
        <v>0</v>
      </c>
      <c r="P107" s="315"/>
      <c r="X107" s="567"/>
      <c r="Y107" s="567"/>
      <c r="Z107" s="3" t="s">
        <v>1089</v>
      </c>
    </row>
    <row r="108" spans="1:26" ht="60" customHeight="1" x14ac:dyDescent="0.3">
      <c r="A108" s="568">
        <f>'Unit Data from Audit Worksheet'!A119</f>
        <v>194</v>
      </c>
      <c r="B108" s="54" t="str">
        <f>'Unit Data from Audit Worksheet'!C119</f>
        <v>Revenue, Expenses, Changes in Net Position</v>
      </c>
      <c r="C108" s="569" t="str">
        <f>'Unit Data from Audit Worksheet'!D119</f>
        <v xml:space="preserve">Capital Contributions </v>
      </c>
      <c r="D108" s="353"/>
      <c r="E108" s="152">
        <f>'Unit Data from Audit Worksheet'!F119</f>
        <v>0</v>
      </c>
      <c r="F108" s="47"/>
      <c r="G108" s="72"/>
      <c r="H108" s="346"/>
      <c r="I108" s="38"/>
      <c r="J108" s="42">
        <v>194</v>
      </c>
      <c r="K108" s="51" t="s">
        <v>1097</v>
      </c>
      <c r="L108" s="570">
        <f t="shared" si="9"/>
        <v>0</v>
      </c>
      <c r="P108" s="315"/>
      <c r="X108" s="567"/>
      <c r="Y108" s="567"/>
      <c r="Z108" s="3" t="s">
        <v>1089</v>
      </c>
    </row>
    <row r="109" spans="1:26" ht="60" customHeight="1" x14ac:dyDescent="0.3">
      <c r="A109" s="568">
        <f>'Unit Data from Audit Worksheet'!A120</f>
        <v>294</v>
      </c>
      <c r="B109" s="54" t="str">
        <f>'Unit Data from Audit Worksheet'!C120</f>
        <v>Revenue, Expenses, Changes in Net Position</v>
      </c>
      <c r="C109" s="569" t="str">
        <f>'Unit Data from Audit Worksheet'!D120</f>
        <v>Change in Net Position</v>
      </c>
      <c r="D109" s="353"/>
      <c r="E109" s="152">
        <f>'Unit Data from Audit Worksheet'!F120</f>
        <v>0</v>
      </c>
      <c r="F109" s="47"/>
      <c r="G109" s="72"/>
      <c r="H109" s="346"/>
      <c r="I109" s="38"/>
      <c r="J109" s="42">
        <v>294</v>
      </c>
      <c r="K109" s="51" t="s">
        <v>1098</v>
      </c>
      <c r="L109" s="570">
        <f t="shared" si="9"/>
        <v>0</v>
      </c>
      <c r="P109" s="315"/>
      <c r="X109" s="567"/>
      <c r="Y109" s="567"/>
      <c r="Z109" s="3" t="s">
        <v>1089</v>
      </c>
    </row>
    <row r="110" spans="1:26" ht="60" customHeight="1" x14ac:dyDescent="0.3">
      <c r="A110" s="568">
        <f>'Unit Data from Audit Worksheet'!A123</f>
        <v>31</v>
      </c>
      <c r="B110" s="54" t="str">
        <f>'Unit Data from Audit Worksheet'!C123</f>
        <v>Combined Totals of all Proprietary Funds - Revenue, Expenses, Changes in Net Position</v>
      </c>
      <c r="C110" s="569"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Worksheet'!F121</f>
        <v>0</v>
      </c>
      <c r="F110" s="47"/>
      <c r="G110" s="72"/>
      <c r="H110" s="346"/>
      <c r="I110" s="38"/>
      <c r="J110" s="42">
        <v>31</v>
      </c>
      <c r="K110" s="51" t="s">
        <v>1082</v>
      </c>
      <c r="L110" s="570">
        <f t="shared" si="9"/>
        <v>0</v>
      </c>
      <c r="P110" s="315"/>
      <c r="X110" s="567"/>
      <c r="Y110" s="567"/>
    </row>
    <row r="111" spans="1:26" ht="60" customHeight="1" x14ac:dyDescent="0.3">
      <c r="A111" s="568">
        <f>'Unit Data from Audit Worksheet'!A124</f>
        <v>193</v>
      </c>
      <c r="B111" s="54" t="str">
        <f>'Unit Data from Audit Worksheet'!C124</f>
        <v>Combined Proprietary Funds - Change in Cash Flow Statement</v>
      </c>
      <c r="C111" s="569" t="str">
        <f>'Unit Data from Audit Worksheet'!D124</f>
        <v>Combined Totals of all Proprietary Funds - Capital Contributions</v>
      </c>
      <c r="D111" s="353"/>
      <c r="E111" s="152">
        <f>'Unit Data from Audit Worksheet'!F124</f>
        <v>0</v>
      </c>
      <c r="F111" s="47"/>
      <c r="G111" s="72"/>
      <c r="H111" s="346"/>
      <c r="I111" s="38"/>
      <c r="J111" s="42">
        <v>193</v>
      </c>
      <c r="K111" s="51" t="s">
        <v>311</v>
      </c>
      <c r="L111" s="570">
        <f t="shared" si="9"/>
        <v>0</v>
      </c>
      <c r="P111" s="315"/>
      <c r="X111" s="567"/>
      <c r="Y111" s="567"/>
    </row>
    <row r="112" spans="1:26" ht="60" customHeight="1" x14ac:dyDescent="0.3">
      <c r="A112" s="568">
        <f>'Unit Data from Audit Worksheet'!A125</f>
        <v>33</v>
      </c>
      <c r="B112" s="54" t="str">
        <f>'Unit Data from Audit Worksheet'!C125</f>
        <v>Combined Proprietary Funds - Change in Cash Flow Statement</v>
      </c>
      <c r="C112" s="569" t="str">
        <f>'Unit Data from Audit Worksheet'!D125</f>
        <v>Combined Totals of all Proprietary Funds - Cash Flow from Operating</v>
      </c>
      <c r="D112" s="353"/>
      <c r="E112" s="152">
        <f>'Unit Data from Audit Worksheet'!F125</f>
        <v>0</v>
      </c>
      <c r="F112" s="47"/>
      <c r="G112" s="72"/>
      <c r="H112" s="346"/>
      <c r="I112" s="38"/>
      <c r="J112" s="42">
        <v>33</v>
      </c>
      <c r="K112" s="51" t="s">
        <v>299</v>
      </c>
      <c r="L112" s="570">
        <f t="shared" si="9"/>
        <v>0</v>
      </c>
      <c r="P112" s="315"/>
      <c r="X112" s="567"/>
      <c r="Y112" s="567"/>
    </row>
    <row r="113" spans="1:26" ht="60" customHeight="1" x14ac:dyDescent="0.3">
      <c r="A113" s="568">
        <f>'Unit Data from Audit Worksheet'!A126</f>
        <v>104</v>
      </c>
      <c r="B113" s="54" t="str">
        <f>'Unit Data from Audit Worksheet'!C126</f>
        <v>Cash Flows</v>
      </c>
      <c r="C113" s="569" t="str">
        <f>'Unit Data from Audit Worksheet'!D126</f>
        <v>Capital Outlays</v>
      </c>
      <c r="D113" s="144"/>
      <c r="E113" s="152">
        <f>'Unit Data from Audit Worksheet'!F126</f>
        <v>0</v>
      </c>
      <c r="F113" s="47"/>
      <c r="G113" s="72"/>
      <c r="H113" s="346"/>
      <c r="I113" s="38"/>
      <c r="J113" s="42">
        <v>104</v>
      </c>
      <c r="K113" s="51" t="s">
        <v>1100</v>
      </c>
      <c r="L113" s="570">
        <f t="shared" si="9"/>
        <v>0</v>
      </c>
      <c r="P113" s="315"/>
      <c r="X113" s="567"/>
      <c r="Y113" s="567"/>
      <c r="Z113" s="3" t="s">
        <v>1089</v>
      </c>
    </row>
    <row r="114" spans="1:26" ht="60" customHeight="1" x14ac:dyDescent="0.3">
      <c r="A114" s="568">
        <f>'Unit Data from Audit Worksheet'!A127</f>
        <v>39</v>
      </c>
      <c r="B114" s="54" t="str">
        <f>'Unit Data from Audit Worksheet'!C127</f>
        <v>Cash Flows</v>
      </c>
      <c r="C114" s="569" t="str">
        <f>'Unit Data from Audit Worksheet'!D127</f>
        <v>Principal Paid - Long-term Debt</v>
      </c>
      <c r="D114" s="144"/>
      <c r="E114" s="152">
        <f>'Unit Data from Audit Worksheet'!F127</f>
        <v>0</v>
      </c>
      <c r="F114" s="47"/>
      <c r="G114" s="72"/>
      <c r="H114" s="346"/>
      <c r="I114" s="38"/>
      <c r="J114" s="42">
        <v>39</v>
      </c>
      <c r="K114" s="51" t="s">
        <v>1101</v>
      </c>
      <c r="L114" s="570">
        <f t="shared" si="9"/>
        <v>0</v>
      </c>
      <c r="P114" s="315"/>
      <c r="X114" s="567"/>
      <c r="Y114" s="567"/>
      <c r="Z114" s="3" t="s">
        <v>1089</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382</v>
      </c>
      <c r="L115" s="570">
        <f t="shared" si="9"/>
        <v>0</v>
      </c>
      <c r="P115" s="316"/>
      <c r="W115" s="3" t="b">
        <f t="shared" si="10"/>
        <v>1</v>
      </c>
      <c r="X115" s="567">
        <f t="shared" si="1"/>
        <v>0</v>
      </c>
      <c r="Y115" s="567">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218</v>
      </c>
      <c r="L116" s="570">
        <f t="shared" si="9"/>
        <v>0</v>
      </c>
      <c r="P116" s="316"/>
      <c r="W116" s="3" t="b">
        <f t="shared" si="10"/>
        <v>1</v>
      </c>
      <c r="X116" s="567">
        <f t="shared" si="1"/>
        <v>0</v>
      </c>
      <c r="Y116" s="567">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219</v>
      </c>
      <c r="L117" s="570">
        <f t="shared" si="9"/>
        <v>0</v>
      </c>
      <c r="P117" s="316"/>
      <c r="W117" s="3" t="b">
        <f t="shared" si="10"/>
        <v>1</v>
      </c>
      <c r="X117" s="567">
        <f t="shared" ref="X117:X181" si="12">E117-L117</f>
        <v>0</v>
      </c>
      <c r="Y117" s="567">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357</v>
      </c>
      <c r="L118" s="570">
        <f t="shared" si="9"/>
        <v>0</v>
      </c>
      <c r="N118" s="594"/>
      <c r="P118" s="316"/>
      <c r="W118" s="3" t="b">
        <f t="shared" si="10"/>
        <v>1</v>
      </c>
      <c r="X118" s="567">
        <f t="shared" si="12"/>
        <v>0</v>
      </c>
      <c r="Y118" s="567">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220</v>
      </c>
      <c r="L119" s="570">
        <f t="shared" si="9"/>
        <v>0</v>
      </c>
      <c r="P119" s="316"/>
      <c r="W119" s="3" t="b">
        <f t="shared" si="10"/>
        <v>1</v>
      </c>
      <c r="X119" s="567">
        <f t="shared" si="12"/>
        <v>0</v>
      </c>
      <c r="Y119" s="567">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541</v>
      </c>
      <c r="L120" s="570">
        <f t="shared" si="9"/>
        <v>0</v>
      </c>
      <c r="P120" s="316"/>
      <c r="Q120" s="560">
        <f>IF((+L116+L117+L119)&gt;L120,1,0)</f>
        <v>0</v>
      </c>
      <c r="W120" s="3" t="b">
        <f t="shared" si="10"/>
        <v>1</v>
      </c>
      <c r="X120" s="567">
        <f t="shared" si="12"/>
        <v>0</v>
      </c>
      <c r="Y120" s="567">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606</v>
      </c>
      <c r="L121" s="570">
        <f t="shared" si="9"/>
        <v>0</v>
      </c>
      <c r="P121" s="316"/>
      <c r="W121" s="3" t="b">
        <f t="shared" si="10"/>
        <v>1</v>
      </c>
      <c r="X121" s="567">
        <f t="shared" si="12"/>
        <v>0</v>
      </c>
      <c r="Y121" s="567">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70">
        <f t="shared" si="9"/>
        <v>0</v>
      </c>
      <c r="P122" s="316"/>
      <c r="Q122" s="560">
        <f>IF(L122&lt;L120,1,0)</f>
        <v>0</v>
      </c>
      <c r="W122" s="3" t="b">
        <f t="shared" si="10"/>
        <v>1</v>
      </c>
      <c r="X122" s="567">
        <f t="shared" si="12"/>
        <v>0</v>
      </c>
      <c r="Y122" s="567">
        <f t="shared" si="13"/>
        <v>0</v>
      </c>
    </row>
    <row r="123" spans="1:26" ht="60.75" customHeight="1" x14ac:dyDescent="0.3">
      <c r="A123" s="582">
        <f>'Unit Data from Audit Worksheet'!A139</f>
        <v>578</v>
      </c>
      <c r="B123" s="117" t="str">
        <f>'Unit Data from Audit Worksheet'!C139</f>
        <v>Water Sewer Net Position Statement</v>
      </c>
      <c r="C123" s="57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358</v>
      </c>
      <c r="L123" s="570">
        <f t="shared" si="9"/>
        <v>0</v>
      </c>
      <c r="P123" s="317"/>
      <c r="Q123" s="350"/>
      <c r="W123" s="3" t="b">
        <f t="shared" si="10"/>
        <v>1</v>
      </c>
      <c r="X123" s="567">
        <f t="shared" si="12"/>
        <v>0</v>
      </c>
      <c r="Y123" s="567">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3"/>
      <c r="J124" s="341">
        <v>633</v>
      </c>
      <c r="K124" s="309" t="s">
        <v>474</v>
      </c>
      <c r="L124" s="584">
        <f>IF(D124="",E124,D124)</f>
        <v>0</v>
      </c>
      <c r="M124" s="574"/>
      <c r="N124" s="574"/>
      <c r="O124" s="574"/>
      <c r="P124" s="318"/>
      <c r="Q124" s="575"/>
      <c r="R124" s="3"/>
      <c r="S124" s="574"/>
      <c r="T124" s="574"/>
      <c r="U124" s="574"/>
      <c r="V124" s="574"/>
      <c r="W124" s="18" t="b">
        <f t="shared" si="10"/>
        <v>1</v>
      </c>
      <c r="X124" s="576">
        <f t="shared" si="12"/>
        <v>0</v>
      </c>
      <c r="Y124" s="576">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3"/>
      <c r="J125" s="341">
        <v>634</v>
      </c>
      <c r="K125" s="309" t="s">
        <v>475</v>
      </c>
      <c r="L125" s="584">
        <f>IF(D125="",E125,D125)</f>
        <v>0</v>
      </c>
      <c r="M125" s="574"/>
      <c r="N125" s="574"/>
      <c r="O125" s="574"/>
      <c r="P125" s="318"/>
      <c r="Q125" s="575"/>
      <c r="R125" s="3"/>
      <c r="S125" s="574"/>
      <c r="T125" s="574"/>
      <c r="U125" s="574"/>
      <c r="V125" s="574"/>
      <c r="W125" s="18" t="b">
        <f t="shared" si="10"/>
        <v>1</v>
      </c>
      <c r="X125" s="576">
        <f t="shared" si="12"/>
        <v>0</v>
      </c>
      <c r="Y125" s="576">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3"/>
      <c r="J126" s="341">
        <v>635</v>
      </c>
      <c r="K126" s="309" t="s">
        <v>476</v>
      </c>
      <c r="L126" s="584">
        <f>IF(D126="",E126,D126)</f>
        <v>0</v>
      </c>
      <c r="M126" s="574"/>
      <c r="N126" s="574"/>
      <c r="O126" s="574"/>
      <c r="P126" s="318"/>
      <c r="Q126" s="575"/>
      <c r="R126" s="3"/>
      <c r="S126" s="574"/>
      <c r="T126" s="574"/>
      <c r="U126" s="574"/>
      <c r="V126" s="574"/>
      <c r="W126" s="18" t="b">
        <f t="shared" si="10"/>
        <v>1</v>
      </c>
      <c r="X126" s="576">
        <f t="shared" si="12"/>
        <v>0</v>
      </c>
      <c r="Y126" s="576">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3"/>
      <c r="J127" s="341">
        <v>636</v>
      </c>
      <c r="K127" s="309" t="s">
        <v>471</v>
      </c>
      <c r="L127" s="584">
        <f t="shared" ref="L127:L137" si="14">IF(D127="",E127,D127)</f>
        <v>0</v>
      </c>
      <c r="M127" s="574"/>
      <c r="N127" s="574"/>
      <c r="O127" s="574"/>
      <c r="P127" s="318"/>
      <c r="Q127" s="575"/>
      <c r="R127" s="3"/>
      <c r="S127" s="574"/>
      <c r="T127" s="574"/>
      <c r="U127" s="574"/>
      <c r="V127" s="574"/>
      <c r="W127" s="18" t="b">
        <f t="shared" si="10"/>
        <v>1</v>
      </c>
      <c r="X127" s="576">
        <f t="shared" si="12"/>
        <v>0</v>
      </c>
      <c r="Y127" s="576">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3"/>
      <c r="J128" s="341">
        <v>637</v>
      </c>
      <c r="K128" s="309" t="s">
        <v>472</v>
      </c>
      <c r="L128" s="584">
        <f t="shared" si="14"/>
        <v>0</v>
      </c>
      <c r="M128" s="574"/>
      <c r="N128" s="574"/>
      <c r="O128" s="574"/>
      <c r="P128" s="318"/>
      <c r="Q128" s="575"/>
      <c r="R128" s="3"/>
      <c r="S128" s="574"/>
      <c r="T128" s="574"/>
      <c r="U128" s="574"/>
      <c r="V128" s="574"/>
      <c r="W128" s="18" t="b">
        <f t="shared" si="10"/>
        <v>1</v>
      </c>
      <c r="X128" s="576">
        <f t="shared" si="12"/>
        <v>0</v>
      </c>
      <c r="Y128" s="576">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3"/>
      <c r="J129" s="341">
        <v>638</v>
      </c>
      <c r="K129" s="309" t="s">
        <v>477</v>
      </c>
      <c r="L129" s="584">
        <f t="shared" si="14"/>
        <v>0</v>
      </c>
      <c r="M129" s="574"/>
      <c r="N129" s="574"/>
      <c r="O129" s="574"/>
      <c r="P129" s="318"/>
      <c r="Q129" s="575"/>
      <c r="R129" s="3"/>
      <c r="S129" s="574"/>
      <c r="T129" s="574"/>
      <c r="U129" s="574"/>
      <c r="V129" s="574"/>
      <c r="W129" s="18" t="b">
        <f t="shared" si="10"/>
        <v>1</v>
      </c>
      <c r="X129" s="576">
        <f t="shared" si="12"/>
        <v>0</v>
      </c>
      <c r="Y129" s="576">
        <f t="shared" si="13"/>
        <v>0</v>
      </c>
    </row>
    <row r="130" spans="1:25" ht="76.5" customHeight="1" x14ac:dyDescent="0.3">
      <c r="A130" s="568">
        <f>'Unit Data from Audit Worksheet'!A146</f>
        <v>383</v>
      </c>
      <c r="B130" s="54" t="str">
        <f>'Unit Data from Audit Worksheet'!C146</f>
        <v>Water Sewer Net Position Statement</v>
      </c>
      <c r="C130" s="56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221</v>
      </c>
      <c r="L130" s="570">
        <f t="shared" si="14"/>
        <v>0</v>
      </c>
      <c r="P130" s="315"/>
      <c r="W130" s="3" t="b">
        <f t="shared" si="10"/>
        <v>1</v>
      </c>
      <c r="X130" s="567">
        <f t="shared" si="12"/>
        <v>0</v>
      </c>
      <c r="Y130" s="567">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70">
        <f t="shared" si="14"/>
        <v>0</v>
      </c>
      <c r="P131" s="316"/>
      <c r="Q131" s="560">
        <f>IF(L124&gt;L131,1,0)</f>
        <v>0</v>
      </c>
      <c r="W131" s="3" t="b">
        <f t="shared" si="10"/>
        <v>1</v>
      </c>
      <c r="X131" s="567">
        <f t="shared" si="12"/>
        <v>0</v>
      </c>
      <c r="Y131" s="567">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222</v>
      </c>
      <c r="L132" s="570">
        <f t="shared" si="14"/>
        <v>0</v>
      </c>
      <c r="P132" s="316"/>
      <c r="W132" s="3" t="b">
        <f t="shared" si="10"/>
        <v>1</v>
      </c>
      <c r="X132" s="567">
        <f t="shared" si="12"/>
        <v>0</v>
      </c>
      <c r="Y132" s="567">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70">
        <f t="shared" si="14"/>
        <v>0</v>
      </c>
      <c r="O133" s="578" t="e">
        <f>'Unit Data from Audit Worksheet'!E149</f>
        <v>#N/A</v>
      </c>
      <c r="P133" s="316"/>
      <c r="Q133" s="560">
        <f>IF(G133&lt;&gt;0,1,0)</f>
        <v>0</v>
      </c>
      <c r="W133" s="3" t="b">
        <f t="shared" ref="W133:W164" si="15">EXACT(A133,J133)</f>
        <v>1</v>
      </c>
      <c r="X133" s="567">
        <f t="shared" si="12"/>
        <v>0</v>
      </c>
      <c r="Y133" s="567">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223</v>
      </c>
      <c r="L134" s="570">
        <f t="shared" si="14"/>
        <v>0</v>
      </c>
      <c r="P134" s="316"/>
      <c r="W134" s="3" t="b">
        <f t="shared" si="15"/>
        <v>1</v>
      </c>
      <c r="X134" s="567">
        <f t="shared" si="12"/>
        <v>0</v>
      </c>
      <c r="Y134" s="567">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224</v>
      </c>
      <c r="L135" s="570">
        <f t="shared" si="14"/>
        <v>0</v>
      </c>
      <c r="P135" s="316"/>
      <c r="W135" s="3" t="b">
        <f t="shared" si="15"/>
        <v>1</v>
      </c>
      <c r="X135" s="567">
        <f t="shared" si="12"/>
        <v>0</v>
      </c>
      <c r="Y135" s="567">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359</v>
      </c>
      <c r="L136" s="570">
        <f t="shared" si="14"/>
        <v>0</v>
      </c>
      <c r="P136" s="316"/>
      <c r="W136" s="3" t="b">
        <f t="shared" si="15"/>
        <v>1</v>
      </c>
      <c r="X136" s="567">
        <f t="shared" si="12"/>
        <v>0</v>
      </c>
      <c r="Y136" s="567">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225</v>
      </c>
      <c r="L137" s="570">
        <f t="shared" si="14"/>
        <v>0</v>
      </c>
      <c r="P137" s="316"/>
      <c r="W137" s="3" t="b">
        <f t="shared" si="15"/>
        <v>1</v>
      </c>
      <c r="X137" s="567">
        <f t="shared" si="12"/>
        <v>0</v>
      </c>
      <c r="Y137" s="567">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546</v>
      </c>
      <c r="L138" s="584">
        <f>IF(D138="",E138,D138)</f>
        <v>0</v>
      </c>
      <c r="P138" s="316"/>
      <c r="Q138" s="560">
        <f>IF((L134+L135+L137)&gt;L140,1,0)</f>
        <v>0</v>
      </c>
      <c r="W138" s="3" t="b">
        <f t="shared" si="15"/>
        <v>1</v>
      </c>
      <c r="X138" s="567">
        <f t="shared" si="12"/>
        <v>0</v>
      </c>
      <c r="Y138" s="567">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605</v>
      </c>
      <c r="L139" s="584">
        <f>IF(D139="",E139,D139)</f>
        <v>0</v>
      </c>
      <c r="P139" s="316"/>
      <c r="W139" s="3" t="b">
        <f t="shared" si="15"/>
        <v>1</v>
      </c>
      <c r="X139" s="567">
        <f t="shared" si="12"/>
        <v>0</v>
      </c>
      <c r="Y139" s="567">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70">
        <f>IF(D140="",E140,D140)</f>
        <v>0</v>
      </c>
      <c r="P140" s="316"/>
      <c r="W140" s="3" t="b">
        <f t="shared" si="15"/>
        <v>1</v>
      </c>
      <c r="X140" s="567">
        <f t="shared" si="12"/>
        <v>0</v>
      </c>
      <c r="Y140" s="567">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70">
        <f>IF(D141="",E141,D141)</f>
        <v>0</v>
      </c>
      <c r="P141" s="316"/>
      <c r="W141" s="3" t="b">
        <f t="shared" si="15"/>
        <v>1</v>
      </c>
      <c r="X141" s="567">
        <f t="shared" si="12"/>
        <v>0</v>
      </c>
      <c r="Y141" s="567">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360</v>
      </c>
      <c r="L142" s="570">
        <f>IF(D142="",E142,D142)</f>
        <v>0</v>
      </c>
      <c r="N142" s="579"/>
      <c r="P142" s="316"/>
      <c r="W142" s="3" t="b">
        <f t="shared" si="15"/>
        <v>1</v>
      </c>
      <c r="X142" s="567">
        <f t="shared" si="12"/>
        <v>0</v>
      </c>
      <c r="Y142" s="567">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478</v>
      </c>
      <c r="L143" s="584">
        <f t="shared" ref="L143:L164" si="17">IF(D143="",E143,D143)</f>
        <v>0</v>
      </c>
      <c r="P143" s="316"/>
      <c r="Q143" s="560"/>
      <c r="R143" s="3"/>
      <c r="W143" s="18" t="b">
        <f t="shared" si="15"/>
        <v>1</v>
      </c>
      <c r="X143" s="576">
        <f t="shared" si="12"/>
        <v>0</v>
      </c>
      <c r="Y143" s="576">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479</v>
      </c>
      <c r="L144" s="584">
        <f t="shared" si="17"/>
        <v>0</v>
      </c>
      <c r="P144" s="316"/>
      <c r="Q144" s="560"/>
      <c r="R144" s="3"/>
      <c r="W144" s="18" t="b">
        <f t="shared" si="15"/>
        <v>1</v>
      </c>
      <c r="X144" s="576">
        <f t="shared" si="12"/>
        <v>0</v>
      </c>
      <c r="Y144" s="576">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480</v>
      </c>
      <c r="L145" s="584">
        <f t="shared" si="17"/>
        <v>0</v>
      </c>
      <c r="P145" s="316"/>
      <c r="Q145" s="560"/>
      <c r="R145" s="3"/>
      <c r="W145" s="18" t="b">
        <f t="shared" si="15"/>
        <v>1</v>
      </c>
      <c r="X145" s="576">
        <f t="shared" si="12"/>
        <v>0</v>
      </c>
      <c r="Y145" s="576">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481</v>
      </c>
      <c r="L146" s="584">
        <f t="shared" si="17"/>
        <v>0</v>
      </c>
      <c r="P146" s="316"/>
      <c r="Q146" s="560"/>
      <c r="R146" s="3"/>
      <c r="W146" s="18" t="b">
        <f t="shared" si="15"/>
        <v>1</v>
      </c>
      <c r="X146" s="576">
        <f t="shared" si="12"/>
        <v>0</v>
      </c>
      <c r="Y146" s="576">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482</v>
      </c>
      <c r="L147" s="584">
        <f t="shared" si="17"/>
        <v>0</v>
      </c>
      <c r="P147" s="316"/>
      <c r="Q147" s="560"/>
      <c r="R147" s="3"/>
      <c r="W147" s="18" t="b">
        <f t="shared" si="15"/>
        <v>1</v>
      </c>
      <c r="X147" s="576">
        <f t="shared" si="12"/>
        <v>0</v>
      </c>
      <c r="Y147" s="576">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8">
        <v>644</v>
      </c>
      <c r="K148" s="344" t="s">
        <v>483</v>
      </c>
      <c r="L148" s="584">
        <f t="shared" si="17"/>
        <v>0</v>
      </c>
      <c r="P148" s="319"/>
      <c r="Q148" s="560"/>
      <c r="R148" s="3"/>
      <c r="W148" s="18" t="b">
        <f t="shared" si="15"/>
        <v>1</v>
      </c>
      <c r="X148" s="576">
        <f t="shared" si="12"/>
        <v>0</v>
      </c>
      <c r="Y148" s="576">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70">
        <f t="shared" si="17"/>
        <v>0</v>
      </c>
      <c r="P149" s="316"/>
      <c r="W149" s="3" t="b">
        <f t="shared" si="15"/>
        <v>1</v>
      </c>
      <c r="X149" s="567">
        <f t="shared" si="12"/>
        <v>0</v>
      </c>
      <c r="Y149" s="567">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70">
        <f t="shared" si="17"/>
        <v>0</v>
      </c>
      <c r="P150" s="316"/>
      <c r="W150" s="3" t="b">
        <f t="shared" si="15"/>
        <v>1</v>
      </c>
      <c r="X150" s="567">
        <f t="shared" si="12"/>
        <v>0</v>
      </c>
      <c r="Y150" s="567">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70">
        <f t="shared" si="17"/>
        <v>0</v>
      </c>
      <c r="O151" s="578" t="e">
        <f>'Unit Data from Audit Worksheet'!E168</f>
        <v>#N/A</v>
      </c>
      <c r="P151" s="316"/>
      <c r="Q151" s="560">
        <f>IF(+L140-L141-L151=0,0,1)</f>
        <v>0</v>
      </c>
      <c r="W151" s="3" t="b">
        <f t="shared" si="15"/>
        <v>1</v>
      </c>
      <c r="X151" s="567">
        <f t="shared" si="12"/>
        <v>0</v>
      </c>
      <c r="Y151" s="567">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226</v>
      </c>
      <c r="L152" s="570">
        <f t="shared" si="17"/>
        <v>0</v>
      </c>
      <c r="P152" s="316"/>
      <c r="Q152" s="350"/>
      <c r="W152" s="3" t="b">
        <f t="shared" si="15"/>
        <v>1</v>
      </c>
      <c r="X152" s="567">
        <f t="shared" si="12"/>
        <v>0</v>
      </c>
      <c r="Y152" s="567">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227</v>
      </c>
      <c r="L153" s="570">
        <f t="shared" si="17"/>
        <v>0</v>
      </c>
      <c r="P153" s="316"/>
      <c r="Q153" s="560">
        <f>IF(L152&gt;L153,1,0)</f>
        <v>0</v>
      </c>
      <c r="W153" s="3" t="b">
        <f t="shared" si="15"/>
        <v>1</v>
      </c>
      <c r="X153" s="567">
        <f t="shared" si="12"/>
        <v>0</v>
      </c>
      <c r="Y153" s="567">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228</v>
      </c>
      <c r="L154" s="570">
        <f t="shared" si="17"/>
        <v>0</v>
      </c>
      <c r="O154" s="578"/>
      <c r="P154" s="316"/>
      <c r="W154" s="3" t="b">
        <f t="shared" si="15"/>
        <v>1</v>
      </c>
      <c r="X154" s="567">
        <f t="shared" si="12"/>
        <v>0</v>
      </c>
      <c r="Y154" s="567">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229</v>
      </c>
      <c r="L155" s="570">
        <f t="shared" si="17"/>
        <v>0</v>
      </c>
      <c r="P155" s="316"/>
      <c r="W155" s="3" t="b">
        <f t="shared" si="15"/>
        <v>1</v>
      </c>
      <c r="X155" s="567">
        <f t="shared" si="12"/>
        <v>0</v>
      </c>
      <c r="Y155" s="567">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230</v>
      </c>
      <c r="L156" s="570">
        <f t="shared" si="17"/>
        <v>0</v>
      </c>
      <c r="P156" s="316"/>
      <c r="W156" s="3" t="b">
        <f t="shared" si="15"/>
        <v>1</v>
      </c>
      <c r="X156" s="567">
        <f t="shared" si="12"/>
        <v>0</v>
      </c>
      <c r="Y156" s="567">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231</v>
      </c>
      <c r="L157" s="570">
        <f t="shared" si="17"/>
        <v>0</v>
      </c>
      <c r="P157" s="316"/>
      <c r="W157" s="3" t="b">
        <f t="shared" si="15"/>
        <v>1</v>
      </c>
      <c r="X157" s="567">
        <f t="shared" si="12"/>
        <v>0</v>
      </c>
      <c r="Y157" s="567">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232</v>
      </c>
      <c r="L158" s="570">
        <f t="shared" si="17"/>
        <v>0</v>
      </c>
      <c r="P158" s="316"/>
      <c r="W158" s="3" t="b">
        <f t="shared" si="15"/>
        <v>1</v>
      </c>
      <c r="X158" s="567">
        <f t="shared" si="12"/>
        <v>0</v>
      </c>
      <c r="Y158" s="567">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233</v>
      </c>
      <c r="L159" s="570">
        <f t="shared" si="17"/>
        <v>0</v>
      </c>
      <c r="P159" s="316"/>
      <c r="W159" s="3" t="b">
        <f t="shared" si="15"/>
        <v>1</v>
      </c>
      <c r="X159" s="567">
        <f t="shared" si="12"/>
        <v>0</v>
      </c>
      <c r="Y159" s="567">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234</v>
      </c>
      <c r="L160" s="570">
        <f t="shared" si="17"/>
        <v>0</v>
      </c>
      <c r="P160" s="316"/>
      <c r="W160" s="3" t="b">
        <f t="shared" si="15"/>
        <v>1</v>
      </c>
      <c r="X160" s="567">
        <f t="shared" si="12"/>
        <v>0</v>
      </c>
      <c r="Y160" s="567">
        <f t="shared" si="13"/>
        <v>0</v>
      </c>
    </row>
    <row r="161" spans="1:25" ht="70.5" customHeight="1" x14ac:dyDescent="0.3">
      <c r="A161" s="586">
        <f>'Unit Data from Audit Worksheet'!A180</f>
        <v>986</v>
      </c>
      <c r="B161" s="352" t="str">
        <f>'Unit Data from Audit Worksheet'!C180</f>
        <v>Water Sewer Revenue, Expenses &amp; Changes in Fund Net Position</v>
      </c>
      <c r="C161" s="587"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7" t="s">
        <v>826</v>
      </c>
      <c r="L161" s="588">
        <f t="shared" si="17"/>
        <v>0</v>
      </c>
      <c r="P161" s="316"/>
      <c r="W161" s="3" t="b">
        <f t="shared" si="15"/>
        <v>1</v>
      </c>
      <c r="X161" s="567"/>
      <c r="Y161" s="567"/>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235</v>
      </c>
      <c r="L162" s="570">
        <f t="shared" si="17"/>
        <v>0</v>
      </c>
      <c r="P162" s="320"/>
      <c r="W162" s="3" t="b">
        <f t="shared" si="15"/>
        <v>1</v>
      </c>
      <c r="X162" s="567">
        <f t="shared" si="12"/>
        <v>0</v>
      </c>
      <c r="Y162" s="567">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70">
        <f t="shared" si="17"/>
        <v>0</v>
      </c>
      <c r="P163" s="316"/>
      <c r="Q163" s="560">
        <f>IF(G163&lt;&gt;0,1,0)</f>
        <v>0</v>
      </c>
      <c r="W163" s="3" t="b">
        <f t="shared" si="15"/>
        <v>1</v>
      </c>
      <c r="X163" s="567">
        <f t="shared" si="12"/>
        <v>0</v>
      </c>
      <c r="Y163" s="567">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f>'Unit Data from Audit Worksheet'!I183</f>
        <v>0</v>
      </c>
      <c r="I164" s="38"/>
      <c r="J164" s="345">
        <v>377</v>
      </c>
      <c r="K164" s="344" t="s">
        <v>109</v>
      </c>
      <c r="L164" s="570">
        <f t="shared" si="17"/>
        <v>0</v>
      </c>
      <c r="P164" s="316"/>
      <c r="Q164" s="560" t="e">
        <f>IF(G164&lt;&gt;0,1,0)</f>
        <v>#N/A</v>
      </c>
      <c r="W164" s="3" t="b">
        <f t="shared" si="15"/>
        <v>1</v>
      </c>
      <c r="X164" s="567">
        <f t="shared" si="12"/>
        <v>0</v>
      </c>
      <c r="Y164" s="567">
        <f t="shared" si="13"/>
        <v>0</v>
      </c>
    </row>
    <row r="165" spans="1:25" ht="63" customHeight="1" x14ac:dyDescent="0.3">
      <c r="A165" s="595">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350</v>
      </c>
      <c r="G165" s="349"/>
      <c r="H165" s="346">
        <f>'Unit Data from Audit Worksheet'!I184</f>
        <v>0</v>
      </c>
      <c r="I165" s="38"/>
      <c r="J165" s="67">
        <v>537</v>
      </c>
      <c r="K165" s="65" t="s">
        <v>295</v>
      </c>
      <c r="L165" s="596">
        <f>IF(E165="Yes",1,IF(E165="No",2,0))</f>
        <v>0</v>
      </c>
      <c r="N165" s="61" t="s">
        <v>340</v>
      </c>
      <c r="P165" s="321"/>
      <c r="W165" s="3" t="b">
        <f t="shared" ref="W165:W196" si="19">EXACT(A165,J165)</f>
        <v>1</v>
      </c>
      <c r="X165" s="567">
        <f t="shared" si="12"/>
        <v>0</v>
      </c>
      <c r="Y165" s="567">
        <f t="shared" si="13"/>
        <v>0</v>
      </c>
    </row>
    <row r="166" spans="1:25" ht="63.75" customHeight="1" x14ac:dyDescent="0.3">
      <c r="A166" s="595">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350</v>
      </c>
      <c r="G166" s="349"/>
      <c r="H166" s="346">
        <f>'Unit Data from Audit Worksheet'!I185</f>
        <v>0</v>
      </c>
      <c r="I166" s="38"/>
      <c r="J166" s="67">
        <v>538</v>
      </c>
      <c r="K166" s="65" t="s">
        <v>294</v>
      </c>
      <c r="L166" s="596">
        <f>IF(E166="Yes",1,IF(E166="No",2,0))</f>
        <v>0</v>
      </c>
      <c r="N166" s="61" t="s">
        <v>340</v>
      </c>
      <c r="P166" s="321"/>
      <c r="W166" s="3" t="b">
        <f t="shared" si="19"/>
        <v>1</v>
      </c>
      <c r="X166" s="567">
        <f t="shared" si="12"/>
        <v>0</v>
      </c>
      <c r="Y166" s="567">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236</v>
      </c>
      <c r="L167" s="570">
        <f t="shared" ref="L167:L234" si="20">IF(D167="",E167,D167)</f>
        <v>0</v>
      </c>
      <c r="P167" s="316"/>
      <c r="W167" s="3" t="b">
        <f t="shared" si="19"/>
        <v>1</v>
      </c>
      <c r="X167" s="567">
        <f t="shared" si="12"/>
        <v>0</v>
      </c>
      <c r="Y167" s="567">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237</v>
      </c>
      <c r="L168" s="570">
        <f t="shared" si="20"/>
        <v>0</v>
      </c>
      <c r="P168" s="316"/>
      <c r="Q168" s="560">
        <f>IF(L167&gt;L168,1,0)</f>
        <v>0</v>
      </c>
      <c r="W168" s="3" t="b">
        <f t="shared" si="19"/>
        <v>1</v>
      </c>
      <c r="X168" s="567">
        <f t="shared" si="12"/>
        <v>0</v>
      </c>
      <c r="Y168" s="567">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238</v>
      </c>
      <c r="L169" s="570">
        <f t="shared" si="20"/>
        <v>0</v>
      </c>
      <c r="P169" s="316"/>
      <c r="W169" s="3" t="b">
        <f t="shared" si="19"/>
        <v>1</v>
      </c>
      <c r="X169" s="567">
        <f t="shared" si="12"/>
        <v>0</v>
      </c>
      <c r="Y169" s="567">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239</v>
      </c>
      <c r="L170" s="570">
        <f t="shared" si="20"/>
        <v>0</v>
      </c>
      <c r="P170" s="316"/>
      <c r="W170" s="3" t="b">
        <f t="shared" si="19"/>
        <v>1</v>
      </c>
      <c r="X170" s="567">
        <f t="shared" si="12"/>
        <v>0</v>
      </c>
      <c r="Y170" s="567">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240</v>
      </c>
      <c r="L171" s="570">
        <f t="shared" si="20"/>
        <v>0</v>
      </c>
      <c r="P171" s="316"/>
      <c r="W171" s="3" t="b">
        <f t="shared" si="19"/>
        <v>1</v>
      </c>
      <c r="X171" s="567">
        <f t="shared" si="12"/>
        <v>0</v>
      </c>
      <c r="Y171" s="567">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241</v>
      </c>
      <c r="L172" s="570">
        <f t="shared" si="20"/>
        <v>0</v>
      </c>
      <c r="P172" s="316"/>
      <c r="W172" s="3" t="b">
        <f t="shared" si="19"/>
        <v>1</v>
      </c>
      <c r="X172" s="567">
        <f t="shared" si="12"/>
        <v>0</v>
      </c>
      <c r="Y172" s="567">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242</v>
      </c>
      <c r="L173" s="570">
        <f t="shared" si="20"/>
        <v>0</v>
      </c>
      <c r="P173" s="316"/>
      <c r="W173" s="3" t="b">
        <f t="shared" si="19"/>
        <v>1</v>
      </c>
      <c r="X173" s="567">
        <f t="shared" si="12"/>
        <v>0</v>
      </c>
      <c r="Y173" s="567">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243</v>
      </c>
      <c r="L174" s="570">
        <f t="shared" si="20"/>
        <v>0</v>
      </c>
      <c r="P174" s="316"/>
      <c r="W174" s="3" t="b">
        <f t="shared" si="19"/>
        <v>1</v>
      </c>
      <c r="X174" s="567">
        <f t="shared" si="12"/>
        <v>0</v>
      </c>
      <c r="Y174" s="567">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244</v>
      </c>
      <c r="L175" s="570">
        <f t="shared" si="20"/>
        <v>0</v>
      </c>
      <c r="P175" s="316"/>
      <c r="W175" s="3" t="b">
        <f t="shared" si="19"/>
        <v>1</v>
      </c>
      <c r="X175" s="567">
        <f t="shared" si="12"/>
        <v>0</v>
      </c>
      <c r="Y175" s="567">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245</v>
      </c>
      <c r="L176" s="570">
        <f t="shared" si="20"/>
        <v>0</v>
      </c>
      <c r="P176" s="316"/>
      <c r="W176" s="3" t="b">
        <f t="shared" si="19"/>
        <v>1</v>
      </c>
      <c r="X176" s="567">
        <f t="shared" si="12"/>
        <v>0</v>
      </c>
      <c r="Y176" s="567">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330</v>
      </c>
      <c r="L177" s="570">
        <f t="shared" si="20"/>
        <v>0</v>
      </c>
      <c r="P177" s="316"/>
      <c r="W177" s="3" t="b">
        <f t="shared" si="19"/>
        <v>1</v>
      </c>
      <c r="X177" s="567">
        <f t="shared" si="12"/>
        <v>0</v>
      </c>
      <c r="Y177" s="567">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70">
        <f t="shared" si="20"/>
        <v>0</v>
      </c>
      <c r="P178" s="316"/>
      <c r="Q178" s="560">
        <f>IF(G178&lt;&gt;0,1,0)</f>
        <v>0</v>
      </c>
      <c r="R178" s="3"/>
      <c r="W178" s="3" t="b">
        <f t="shared" si="19"/>
        <v>1</v>
      </c>
      <c r="X178" s="567">
        <f t="shared" si="12"/>
        <v>0</v>
      </c>
      <c r="Y178" s="567">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f>'Unit Data from Audit Worksheet'!I199</f>
        <v>0</v>
      </c>
      <c r="I179" s="38"/>
      <c r="J179" s="345">
        <v>378</v>
      </c>
      <c r="K179" s="344" t="s">
        <v>110</v>
      </c>
      <c r="L179" s="570">
        <f t="shared" si="20"/>
        <v>0</v>
      </c>
      <c r="P179" s="316"/>
      <c r="Q179" s="560" t="e">
        <f>IF(G179&lt;&gt;0,1,0)</f>
        <v>#N/A</v>
      </c>
      <c r="W179" s="3" t="b">
        <f t="shared" si="19"/>
        <v>1</v>
      </c>
      <c r="X179" s="567">
        <f t="shared" si="12"/>
        <v>0</v>
      </c>
      <c r="Y179" s="567">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246</v>
      </c>
      <c r="L180" s="570">
        <f t="shared" si="20"/>
        <v>0</v>
      </c>
      <c r="P180" s="316"/>
      <c r="W180" s="3" t="b">
        <f t="shared" si="19"/>
        <v>1</v>
      </c>
      <c r="X180" s="567">
        <f t="shared" si="12"/>
        <v>0</v>
      </c>
      <c r="Y180" s="567">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248</v>
      </c>
      <c r="L181" s="570">
        <f t="shared" si="20"/>
        <v>0</v>
      </c>
      <c r="O181" s="578"/>
      <c r="P181" s="316"/>
      <c r="W181" s="3" t="b">
        <f t="shared" si="19"/>
        <v>1</v>
      </c>
      <c r="X181" s="567">
        <f t="shared" si="12"/>
        <v>0</v>
      </c>
      <c r="Y181" s="567">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247</v>
      </c>
      <c r="L182" s="570">
        <f t="shared" si="20"/>
        <v>0</v>
      </c>
      <c r="O182" s="578"/>
      <c r="P182" s="316"/>
      <c r="W182" s="3" t="b">
        <f t="shared" si="19"/>
        <v>1</v>
      </c>
      <c r="X182" s="567">
        <f t="shared" ref="X182:X276" si="21">E182-L182</f>
        <v>0</v>
      </c>
      <c r="Y182" s="567">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249</v>
      </c>
      <c r="L183" s="570">
        <f t="shared" si="20"/>
        <v>0</v>
      </c>
      <c r="P183" s="316"/>
      <c r="W183" s="3" t="b">
        <f t="shared" si="19"/>
        <v>1</v>
      </c>
      <c r="X183" s="567">
        <f t="shared" si="21"/>
        <v>0</v>
      </c>
      <c r="Y183" s="567">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250</v>
      </c>
      <c r="L184" s="570">
        <f t="shared" si="20"/>
        <v>0</v>
      </c>
      <c r="P184" s="316"/>
      <c r="W184" s="3" t="b">
        <f t="shared" si="19"/>
        <v>1</v>
      </c>
      <c r="X184" s="567">
        <f t="shared" si="21"/>
        <v>0</v>
      </c>
      <c r="Y184" s="567">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251</v>
      </c>
      <c r="L185" s="570">
        <f t="shared" si="20"/>
        <v>0</v>
      </c>
      <c r="P185" s="316"/>
      <c r="W185" s="3" t="b">
        <f t="shared" si="19"/>
        <v>1</v>
      </c>
      <c r="X185" s="567">
        <f t="shared" si="21"/>
        <v>0</v>
      </c>
      <c r="Y185" s="567">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252</v>
      </c>
      <c r="L186" s="570">
        <f t="shared" si="20"/>
        <v>0</v>
      </c>
      <c r="P186" s="316"/>
      <c r="W186" s="3" t="b">
        <f t="shared" si="19"/>
        <v>1</v>
      </c>
      <c r="X186" s="567">
        <f t="shared" si="21"/>
        <v>0</v>
      </c>
      <c r="Y186" s="567">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549</v>
      </c>
      <c r="L187" s="596">
        <f>E187</f>
        <v>0</v>
      </c>
      <c r="M187" s="18"/>
      <c r="N187" s="18"/>
      <c r="O187" s="18"/>
      <c r="P187" s="316"/>
      <c r="W187" s="3" t="b">
        <f t="shared" si="19"/>
        <v>1</v>
      </c>
      <c r="X187" s="567">
        <f t="shared" si="21"/>
        <v>0</v>
      </c>
      <c r="Y187" s="567">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253</v>
      </c>
      <c r="L188" s="570">
        <f t="shared" si="20"/>
        <v>0</v>
      </c>
      <c r="P188" s="316"/>
      <c r="Q188" s="560"/>
      <c r="R188" s="3"/>
      <c r="W188" s="3" t="b">
        <f t="shared" si="19"/>
        <v>1</v>
      </c>
      <c r="X188" s="567">
        <f t="shared" si="21"/>
        <v>0</v>
      </c>
      <c r="Y188" s="567">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276</v>
      </c>
      <c r="L189" s="570">
        <f t="shared" si="20"/>
        <v>0</v>
      </c>
      <c r="P189" s="316"/>
      <c r="W189" s="3" t="b">
        <f t="shared" si="19"/>
        <v>1</v>
      </c>
      <c r="X189" s="567">
        <f t="shared" si="21"/>
        <v>0</v>
      </c>
      <c r="Y189" s="567">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343</v>
      </c>
      <c r="L190" s="570">
        <f t="shared" si="20"/>
        <v>0</v>
      </c>
      <c r="P190" s="316"/>
      <c r="W190" s="3" t="b">
        <f t="shared" si="19"/>
        <v>1</v>
      </c>
      <c r="X190" s="567">
        <f t="shared" si="21"/>
        <v>0</v>
      </c>
      <c r="Y190" s="567">
        <f t="shared" si="22"/>
        <v>0</v>
      </c>
    </row>
    <row r="191" spans="1:25" ht="102.75" customHeight="1" x14ac:dyDescent="0.3">
      <c r="A191" s="586">
        <f>'Unit Data from Audit Worksheet'!A222</f>
        <v>987</v>
      </c>
      <c r="B191" s="352">
        <f>'Unit Data from Audit Worksheet'!C222</f>
        <v>0</v>
      </c>
      <c r="C191" s="587"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7" t="s">
        <v>1047</v>
      </c>
      <c r="L191" s="588">
        <f t="shared" si="20"/>
        <v>0</v>
      </c>
      <c r="P191" s="316"/>
      <c r="W191" s="3" t="b">
        <f t="shared" si="19"/>
        <v>1</v>
      </c>
      <c r="X191" s="567"/>
      <c r="Y191" s="567"/>
    </row>
    <row r="192" spans="1:25" ht="69" customHeight="1" x14ac:dyDescent="0.3">
      <c r="A192" s="586">
        <f>'Unit Data from Audit Worksheet'!A223</f>
        <v>988</v>
      </c>
      <c r="B192" s="352">
        <f>'Unit Data from Audit Worksheet'!C223</f>
        <v>0</v>
      </c>
      <c r="C192" s="587"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7" t="s">
        <v>1492</v>
      </c>
      <c r="L192" s="588">
        <f t="shared" si="20"/>
        <v>0</v>
      </c>
      <c r="P192" s="316"/>
      <c r="W192" s="3" t="b">
        <f t="shared" si="19"/>
        <v>1</v>
      </c>
      <c r="X192" s="567"/>
      <c r="Y192" s="567"/>
    </row>
    <row r="193" spans="1:25" ht="95.25" customHeight="1" x14ac:dyDescent="0.3">
      <c r="A193" s="586">
        <f>'Unit Data from Audit Worksheet'!A224</f>
        <v>989</v>
      </c>
      <c r="B193" s="352">
        <f>'Unit Data from Audit Worksheet'!C224</f>
        <v>0</v>
      </c>
      <c r="C193" s="587"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7" t="s">
        <v>1306</v>
      </c>
      <c r="L193" s="588">
        <f t="shared" si="20"/>
        <v>0</v>
      </c>
      <c r="P193" s="316"/>
      <c r="W193" s="3" t="b">
        <f t="shared" si="19"/>
        <v>1</v>
      </c>
      <c r="X193" s="567"/>
      <c r="Y193" s="567"/>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344</v>
      </c>
      <c r="L194" s="570">
        <f t="shared" si="20"/>
        <v>0</v>
      </c>
      <c r="P194" s="316"/>
      <c r="W194" s="3" t="b">
        <f t="shared" si="19"/>
        <v>1</v>
      </c>
      <c r="X194" s="567">
        <f t="shared" si="21"/>
        <v>0</v>
      </c>
      <c r="Y194" s="567">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345</v>
      </c>
      <c r="L195" s="570">
        <f t="shared" si="20"/>
        <v>0</v>
      </c>
      <c r="P195" s="316"/>
      <c r="W195" s="3" t="b">
        <f t="shared" si="19"/>
        <v>1</v>
      </c>
      <c r="X195" s="567">
        <f t="shared" si="21"/>
        <v>0</v>
      </c>
      <c r="Y195" s="567">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277</v>
      </c>
      <c r="L196" s="570">
        <f t="shared" si="20"/>
        <v>0</v>
      </c>
      <c r="P196" s="316"/>
      <c r="W196" s="3" t="b">
        <f t="shared" si="19"/>
        <v>1</v>
      </c>
      <c r="X196" s="567">
        <f t="shared" si="21"/>
        <v>0</v>
      </c>
      <c r="Y196" s="567">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278</v>
      </c>
      <c r="L197" s="570">
        <f t="shared" si="20"/>
        <v>0</v>
      </c>
      <c r="P197" s="316"/>
      <c r="W197" s="3" t="b">
        <f t="shared" ref="W197:W228" si="23">EXACT(A197,J197)</f>
        <v>1</v>
      </c>
      <c r="X197" s="567">
        <f t="shared" si="21"/>
        <v>0</v>
      </c>
      <c r="Y197" s="567">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8" t="s">
        <v>279</v>
      </c>
      <c r="L198" s="570">
        <f t="shared" si="20"/>
        <v>0</v>
      </c>
      <c r="P198" s="316"/>
      <c r="W198" s="3" t="b">
        <f t="shared" si="23"/>
        <v>1</v>
      </c>
      <c r="X198" s="567">
        <f t="shared" si="21"/>
        <v>0</v>
      </c>
      <c r="Y198" s="567">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8" t="s">
        <v>280</v>
      </c>
      <c r="L199" s="570">
        <f t="shared" si="20"/>
        <v>0</v>
      </c>
      <c r="P199" s="316"/>
      <c r="W199" s="3" t="b">
        <f t="shared" si="23"/>
        <v>1</v>
      </c>
      <c r="X199" s="567">
        <f t="shared" si="21"/>
        <v>0</v>
      </c>
      <c r="Y199" s="567">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8" t="s">
        <v>281</v>
      </c>
      <c r="L200" s="570">
        <f t="shared" si="20"/>
        <v>0</v>
      </c>
      <c r="P200" s="316"/>
      <c r="W200" s="3" t="b">
        <f t="shared" si="23"/>
        <v>1</v>
      </c>
      <c r="X200" s="567">
        <f t="shared" si="21"/>
        <v>0</v>
      </c>
      <c r="Y200" s="567">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8" t="s">
        <v>282</v>
      </c>
      <c r="L201" s="570">
        <f t="shared" si="20"/>
        <v>0</v>
      </c>
      <c r="P201" s="316"/>
      <c r="W201" s="3" t="b">
        <f t="shared" si="23"/>
        <v>1</v>
      </c>
      <c r="X201" s="567">
        <f t="shared" si="21"/>
        <v>0</v>
      </c>
      <c r="Y201" s="567">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283</v>
      </c>
      <c r="L202" s="570">
        <f t="shared" si="20"/>
        <v>0</v>
      </c>
      <c r="P202" s="316"/>
      <c r="W202" s="3" t="b">
        <f t="shared" si="23"/>
        <v>1</v>
      </c>
      <c r="X202" s="567">
        <f t="shared" si="21"/>
        <v>0</v>
      </c>
      <c r="Y202" s="567">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284</v>
      </c>
      <c r="L203" s="570">
        <f t="shared" si="20"/>
        <v>0</v>
      </c>
      <c r="P203" s="316"/>
      <c r="W203" s="3" t="b">
        <f t="shared" si="23"/>
        <v>1</v>
      </c>
      <c r="X203" s="567">
        <f t="shared" si="21"/>
        <v>0</v>
      </c>
      <c r="Y203" s="567">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285</v>
      </c>
      <c r="L204" s="570">
        <f t="shared" si="20"/>
        <v>0</v>
      </c>
      <c r="P204" s="316"/>
      <c r="W204" s="3" t="b">
        <f t="shared" si="23"/>
        <v>1</v>
      </c>
      <c r="X204" s="567">
        <f t="shared" si="21"/>
        <v>0</v>
      </c>
      <c r="Y204" s="567">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286</v>
      </c>
      <c r="L205" s="570">
        <f t="shared" si="20"/>
        <v>0</v>
      </c>
      <c r="P205" s="316"/>
      <c r="W205" s="3" t="b">
        <f t="shared" si="23"/>
        <v>1</v>
      </c>
      <c r="X205" s="567">
        <f t="shared" si="21"/>
        <v>0</v>
      </c>
      <c r="Y205" s="567">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287</v>
      </c>
      <c r="L206" s="570">
        <f t="shared" si="20"/>
        <v>0</v>
      </c>
      <c r="P206" s="316"/>
      <c r="W206" s="3" t="b">
        <f t="shared" si="23"/>
        <v>1</v>
      </c>
      <c r="X206" s="567">
        <f t="shared" si="21"/>
        <v>0</v>
      </c>
      <c r="Y206" s="567">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288</v>
      </c>
      <c r="L207" s="570">
        <f t="shared" si="20"/>
        <v>0</v>
      </c>
      <c r="P207" s="316"/>
      <c r="W207" s="3" t="b">
        <f t="shared" si="23"/>
        <v>1</v>
      </c>
      <c r="X207" s="567">
        <f t="shared" si="21"/>
        <v>0</v>
      </c>
      <c r="Y207" s="567">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289</v>
      </c>
      <c r="L208" s="570">
        <f t="shared" si="20"/>
        <v>0</v>
      </c>
      <c r="P208" s="316"/>
      <c r="W208" s="3" t="b">
        <f t="shared" si="23"/>
        <v>1</v>
      </c>
      <c r="X208" s="567">
        <f t="shared" si="21"/>
        <v>0</v>
      </c>
      <c r="Y208" s="567">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346</v>
      </c>
      <c r="L209" s="570">
        <f t="shared" si="20"/>
        <v>0</v>
      </c>
      <c r="P209" s="316"/>
      <c r="W209" s="3" t="b">
        <f t="shared" si="23"/>
        <v>1</v>
      </c>
      <c r="X209" s="567">
        <f t="shared" si="21"/>
        <v>0</v>
      </c>
      <c r="Y209" s="567">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347</v>
      </c>
      <c r="L210" s="570">
        <f t="shared" si="20"/>
        <v>0</v>
      </c>
      <c r="P210" s="316"/>
      <c r="W210" s="3" t="b">
        <f t="shared" si="23"/>
        <v>1</v>
      </c>
      <c r="X210" s="567">
        <f t="shared" si="21"/>
        <v>0</v>
      </c>
      <c r="Y210" s="567">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254</v>
      </c>
      <c r="L211" s="570">
        <f t="shared" si="20"/>
        <v>0</v>
      </c>
      <c r="P211" s="316"/>
      <c r="W211" s="3" t="b">
        <f t="shared" si="23"/>
        <v>1</v>
      </c>
      <c r="X211" s="567">
        <f t="shared" si="21"/>
        <v>0</v>
      </c>
      <c r="Y211" s="567">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255</v>
      </c>
      <c r="L212" s="570">
        <f t="shared" si="20"/>
        <v>0</v>
      </c>
      <c r="P212" s="316"/>
      <c r="W212" s="3" t="b">
        <f t="shared" si="23"/>
        <v>1</v>
      </c>
      <c r="X212" s="567">
        <f t="shared" si="21"/>
        <v>0</v>
      </c>
      <c r="Y212" s="567">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348</v>
      </c>
      <c r="L213" s="570">
        <f t="shared" si="20"/>
        <v>0</v>
      </c>
      <c r="P213" s="316"/>
      <c r="W213" s="3" t="b">
        <f t="shared" si="23"/>
        <v>1</v>
      </c>
      <c r="X213" s="567">
        <f t="shared" si="21"/>
        <v>0</v>
      </c>
      <c r="Y213" s="567">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256</v>
      </c>
      <c r="L214" s="570">
        <f t="shared" si="20"/>
        <v>0</v>
      </c>
      <c r="P214" s="316"/>
      <c r="W214" s="3" t="b">
        <f t="shared" si="23"/>
        <v>1</v>
      </c>
      <c r="X214" s="567">
        <f t="shared" si="21"/>
        <v>0</v>
      </c>
      <c r="Y214" s="567">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454</v>
      </c>
      <c r="L215" s="570">
        <f t="shared" si="20"/>
        <v>0</v>
      </c>
      <c r="P215" s="316"/>
      <c r="W215" s="3" t="b">
        <f t="shared" si="23"/>
        <v>1</v>
      </c>
      <c r="X215" s="567">
        <f t="shared" si="21"/>
        <v>0</v>
      </c>
      <c r="Y215" s="567">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377</v>
      </c>
      <c r="L216" s="570" t="str">
        <f t="shared" si="20"/>
        <v/>
      </c>
      <c r="P216" s="316"/>
      <c r="W216" s="3" t="b">
        <f t="shared" si="23"/>
        <v>1</v>
      </c>
      <c r="X216" s="567" t="e">
        <f t="shared" si="21"/>
        <v>#VALUE!</v>
      </c>
      <c r="Y216" s="567" t="e">
        <f t="shared" si="22"/>
        <v>#VALUE!</v>
      </c>
    </row>
    <row r="217" spans="1:27" ht="115.5" customHeight="1" x14ac:dyDescent="0.3">
      <c r="A217" s="599">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419</v>
      </c>
      <c r="L217" s="570">
        <f t="shared" si="20"/>
        <v>0</v>
      </c>
      <c r="P217" s="316"/>
      <c r="W217" s="3" t="b">
        <f t="shared" si="23"/>
        <v>1</v>
      </c>
      <c r="X217" s="567">
        <f t="shared" si="21"/>
        <v>0</v>
      </c>
      <c r="Y217" s="567">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418</v>
      </c>
      <c r="L218" s="570">
        <f t="shared" si="20"/>
        <v>0</v>
      </c>
      <c r="M218" s="600"/>
      <c r="P218" s="316"/>
      <c r="W218" s="3" t="b">
        <f t="shared" si="23"/>
        <v>1</v>
      </c>
      <c r="X218" s="567">
        <f t="shared" si="21"/>
        <v>0</v>
      </c>
      <c r="Y218" s="567">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420</v>
      </c>
      <c r="L219" s="570">
        <f t="shared" si="20"/>
        <v>0</v>
      </c>
      <c r="M219" s="600"/>
      <c r="P219" s="316"/>
      <c r="W219" s="3" t="b">
        <f t="shared" si="23"/>
        <v>1</v>
      </c>
      <c r="X219" s="567">
        <f t="shared" si="21"/>
        <v>0</v>
      </c>
      <c r="Y219" s="567">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607</v>
      </c>
      <c r="L220" s="909">
        <f t="shared" si="20"/>
        <v>0</v>
      </c>
      <c r="M220" s="600"/>
      <c r="P220" s="601"/>
      <c r="Q220" s="602">
        <f>IF(H220=L220,0,1)</f>
        <v>0</v>
      </c>
      <c r="W220" s="3" t="b">
        <f t="shared" si="23"/>
        <v>1</v>
      </c>
      <c r="X220" s="567">
        <f t="shared" si="21"/>
        <v>0</v>
      </c>
      <c r="Y220" s="567">
        <f t="shared" si="22"/>
        <v>0</v>
      </c>
    </row>
    <row r="221" spans="1:27" ht="113.25" customHeight="1" x14ac:dyDescent="0.3">
      <c r="A221" s="334">
        <v>621</v>
      </c>
      <c r="B221" s="57" t="s">
        <v>445</v>
      </c>
      <c r="C221" s="603"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4">
        <v>621</v>
      </c>
      <c r="K221" s="129" t="s">
        <v>612</v>
      </c>
      <c r="L221" s="570">
        <f t="shared" si="20"/>
        <v>0</v>
      </c>
      <c r="M221" s="600"/>
      <c r="P221" s="604"/>
      <c r="Q221" s="295"/>
      <c r="W221" s="3" t="b">
        <f t="shared" si="23"/>
        <v>1</v>
      </c>
      <c r="X221" s="567">
        <f t="shared" si="21"/>
        <v>0</v>
      </c>
      <c r="Y221" s="567">
        <f t="shared" si="22"/>
        <v>0</v>
      </c>
    </row>
    <row r="222" spans="1:27" s="18" customFormat="1" ht="127.5" customHeight="1" x14ac:dyDescent="0.3">
      <c r="A222" s="599">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5" t="s">
        <v>335</v>
      </c>
      <c r="L222" s="570">
        <f t="shared" si="20"/>
        <v>0</v>
      </c>
      <c r="M222" s="591"/>
      <c r="P222" s="316"/>
      <c r="Q222" s="560"/>
      <c r="R222" s="3"/>
      <c r="W222" s="3" t="b">
        <f t="shared" si="23"/>
        <v>1</v>
      </c>
      <c r="X222" s="567">
        <f t="shared" si="21"/>
        <v>0</v>
      </c>
      <c r="Y222" s="567">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6" t="s">
        <v>1057</v>
      </c>
      <c r="H223" s="346">
        <f>'Unit Data from Audit Worksheet'!I272</f>
        <v>0</v>
      </c>
      <c r="I223" s="38"/>
      <c r="J223" s="336">
        <v>659</v>
      </c>
      <c r="K223" s="335" t="s">
        <v>544</v>
      </c>
      <c r="L223" s="584">
        <f t="shared" si="20"/>
        <v>0</v>
      </c>
      <c r="M223" s="591"/>
      <c r="P223" s="601"/>
      <c r="Q223" s="560"/>
      <c r="R223" s="3"/>
      <c r="W223" s="3" t="b">
        <f t="shared" si="23"/>
        <v>1</v>
      </c>
      <c r="X223" s="567">
        <f t="shared" si="21"/>
        <v>0</v>
      </c>
      <c r="Y223" s="567">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6" t="s">
        <v>1057</v>
      </c>
      <c r="H224" s="346">
        <f>'Unit Data from Audit Worksheet'!I273</f>
        <v>0</v>
      </c>
      <c r="I224" s="38"/>
      <c r="J224" s="336">
        <v>660</v>
      </c>
      <c r="K224" s="335" t="s">
        <v>545</v>
      </c>
      <c r="L224" s="584">
        <f t="shared" si="20"/>
        <v>0</v>
      </c>
      <c r="M224" s="591"/>
      <c r="P224" s="601"/>
      <c r="Q224" s="560"/>
      <c r="R224" s="3"/>
      <c r="W224" s="3" t="b">
        <f t="shared" si="23"/>
        <v>1</v>
      </c>
      <c r="X224" s="567">
        <f t="shared" si="21"/>
        <v>0</v>
      </c>
      <c r="Y224" s="567">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6" t="s">
        <v>1057</v>
      </c>
      <c r="H225" s="175">
        <f>ROUND(IFERROR((L224/L223)*100,0),1)</f>
        <v>0</v>
      </c>
      <c r="I225" s="38"/>
      <c r="J225" s="336">
        <v>661</v>
      </c>
      <c r="K225" s="351" t="s">
        <v>548</v>
      </c>
      <c r="L225" s="607">
        <f>IF(D225="",E225,D225)</f>
        <v>0</v>
      </c>
      <c r="P225" s="601"/>
      <c r="Q225" s="602">
        <f>IF(H225=L225,0,1)</f>
        <v>0</v>
      </c>
      <c r="W225" s="3" t="b">
        <f t="shared" si="23"/>
        <v>1</v>
      </c>
      <c r="X225" s="567">
        <f t="shared" si="21"/>
        <v>0</v>
      </c>
      <c r="Y225" s="567">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262</v>
      </c>
      <c r="L226" s="570">
        <f t="shared" si="20"/>
        <v>0</v>
      </c>
      <c r="P226" s="322"/>
      <c r="Q226" s="3"/>
      <c r="W226" s="3" t="b">
        <f t="shared" si="23"/>
        <v>1</v>
      </c>
      <c r="X226" s="567">
        <f t="shared" si="21"/>
        <v>0</v>
      </c>
      <c r="Y226" s="567">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263</v>
      </c>
      <c r="L227" s="570">
        <f t="shared" si="20"/>
        <v>0</v>
      </c>
      <c r="P227" s="316"/>
      <c r="W227" s="3" t="b">
        <f t="shared" si="23"/>
        <v>1</v>
      </c>
      <c r="X227" s="567">
        <f t="shared" si="21"/>
        <v>0</v>
      </c>
      <c r="Y227" s="567">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264</v>
      </c>
      <c r="L228" s="570">
        <f t="shared" si="20"/>
        <v>0</v>
      </c>
      <c r="P228" s="316"/>
      <c r="W228" s="3" t="b">
        <f t="shared" si="23"/>
        <v>1</v>
      </c>
      <c r="X228" s="567">
        <f t="shared" si="21"/>
        <v>0</v>
      </c>
      <c r="Y228" s="567">
        <f t="shared" si="22"/>
        <v>0</v>
      </c>
    </row>
    <row r="229" spans="1:27" ht="89.25" customHeight="1" x14ac:dyDescent="0.3">
      <c r="A229" s="586">
        <f>'Unit Data from Audit Worksheet'!A280</f>
        <v>990</v>
      </c>
      <c r="B229" s="352" t="str">
        <f>'Unit Data from Audit Worksheet'!C280</f>
        <v>Transfer Note</v>
      </c>
      <c r="C229" s="587"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792</v>
      </c>
      <c r="L229" s="570">
        <f t="shared" si="20"/>
        <v>0</v>
      </c>
      <c r="P229" s="316"/>
      <c r="X229" s="567"/>
      <c r="Y229" s="567"/>
    </row>
    <row r="230" spans="1:27" ht="84.75" customHeight="1" x14ac:dyDescent="0.3">
      <c r="A230" s="608">
        <f>'Unit Data from Audit Worksheet'!A282</f>
        <v>6</v>
      </c>
      <c r="B230" s="53" t="str">
        <f>'Unit Data from Audit Worksheet'!C282</f>
        <v>Fund Balance Note</v>
      </c>
      <c r="C230" s="580"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265</v>
      </c>
      <c r="L230" s="570">
        <f t="shared" si="20"/>
        <v>0</v>
      </c>
      <c r="P230" s="316"/>
      <c r="W230" s="3" t="b">
        <f t="shared" ref="W230:W258" si="24">EXACT(A230,J230)</f>
        <v>1</v>
      </c>
      <c r="X230" s="567">
        <f t="shared" si="21"/>
        <v>0</v>
      </c>
      <c r="Y230" s="567">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349</v>
      </c>
      <c r="L231" s="570">
        <f t="shared" si="20"/>
        <v>0</v>
      </c>
      <c r="P231" s="316"/>
      <c r="W231" s="3" t="b">
        <f t="shared" si="24"/>
        <v>1</v>
      </c>
      <c r="X231" s="567">
        <f t="shared" si="21"/>
        <v>0</v>
      </c>
      <c r="Y231" s="567">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266</v>
      </c>
      <c r="L232" s="570">
        <f t="shared" si="20"/>
        <v>0</v>
      </c>
      <c r="N232" s="61" t="s">
        <v>340</v>
      </c>
      <c r="P232" s="316"/>
      <c r="W232" s="3" t="b">
        <f t="shared" si="24"/>
        <v>1</v>
      </c>
      <c r="X232" s="567">
        <f t="shared" si="21"/>
        <v>0</v>
      </c>
      <c r="Y232" s="567">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9" t="s">
        <v>271</v>
      </c>
      <c r="L233" s="570">
        <f t="shared" si="20"/>
        <v>0</v>
      </c>
      <c r="N233" s="83"/>
      <c r="P233" s="316"/>
      <c r="W233" s="3" t="b">
        <f t="shared" si="24"/>
        <v>1</v>
      </c>
      <c r="X233" s="567">
        <f t="shared" si="21"/>
        <v>0</v>
      </c>
      <c r="Y233" s="567">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9" t="s">
        <v>272</v>
      </c>
      <c r="L234" s="570">
        <f t="shared" si="20"/>
        <v>0</v>
      </c>
      <c r="N234" s="83"/>
      <c r="P234" s="316"/>
      <c r="Q234" s="560"/>
      <c r="R234" s="3"/>
      <c r="W234" s="3" t="b">
        <f t="shared" si="24"/>
        <v>1</v>
      </c>
      <c r="X234" s="567">
        <f t="shared" si="21"/>
        <v>0</v>
      </c>
      <c r="Y234" s="567">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9" t="s">
        <v>273</v>
      </c>
      <c r="L235" s="570">
        <f t="shared" ref="L235:L241" si="25">IF(D235="",E235,D235)</f>
        <v>0</v>
      </c>
      <c r="N235" s="83"/>
      <c r="P235" s="316"/>
      <c r="Q235" s="560"/>
      <c r="R235" s="3"/>
      <c r="W235" s="3" t="b">
        <f t="shared" si="24"/>
        <v>1</v>
      </c>
      <c r="X235" s="567">
        <f t="shared" si="21"/>
        <v>0</v>
      </c>
      <c r="Y235" s="567">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9" t="s">
        <v>274</v>
      </c>
      <c r="L236" s="570">
        <f t="shared" si="25"/>
        <v>0</v>
      </c>
      <c r="N236" s="83" t="str">
        <f>IF(T240=0,"Must be completed if unit levys taxes, zero acceptable if Motor Vehicle collection rate is 100%","")</f>
        <v>Must be completed if unit levys taxes, zero acceptable if Motor Vehicle collection rate is 100%</v>
      </c>
      <c r="P236" s="316"/>
      <c r="Q236" s="560"/>
      <c r="R236" s="3"/>
      <c r="W236" s="3" t="b">
        <f t="shared" si="24"/>
        <v>1</v>
      </c>
      <c r="X236" s="567">
        <f t="shared" si="21"/>
        <v>0</v>
      </c>
      <c r="Y236" s="567">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268</v>
      </c>
      <c r="L237" s="610">
        <f t="shared" si="25"/>
        <v>0</v>
      </c>
      <c r="N237" s="83"/>
      <c r="P237" s="316"/>
      <c r="Q237" s="560">
        <f>IF(L237-H237&lt;&gt;0,1,0)</f>
        <v>0</v>
      </c>
      <c r="W237" s="3" t="b">
        <f t="shared" si="24"/>
        <v>1</v>
      </c>
      <c r="X237" s="567">
        <f t="shared" si="21"/>
        <v>0</v>
      </c>
      <c r="Y237" s="567">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269</v>
      </c>
      <c r="L238" s="610">
        <f t="shared" si="25"/>
        <v>0</v>
      </c>
      <c r="N238" s="83"/>
      <c r="P238" s="316"/>
      <c r="Q238" s="560">
        <f>IF(L238-H238&lt;&gt;0,1,0)</f>
        <v>0</v>
      </c>
      <c r="W238" s="3" t="b">
        <f t="shared" si="24"/>
        <v>1</v>
      </c>
      <c r="X238" s="567">
        <f t="shared" si="21"/>
        <v>0</v>
      </c>
      <c r="Y238" s="567">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270</v>
      </c>
      <c r="L239" s="610">
        <f t="shared" si="25"/>
        <v>0</v>
      </c>
      <c r="N239" s="83"/>
      <c r="P239" s="316"/>
      <c r="Q239" s="560">
        <f>IF(L239-H239&lt;&gt;0,1,0)</f>
        <v>0</v>
      </c>
      <c r="W239" s="3" t="b">
        <f t="shared" si="24"/>
        <v>1</v>
      </c>
      <c r="X239" s="567">
        <f t="shared" si="21"/>
        <v>0</v>
      </c>
      <c r="Y239" s="567">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1">
        <f t="shared" si="25"/>
        <v>0</v>
      </c>
      <c r="N240" s="61" t="s">
        <v>340</v>
      </c>
      <c r="P240" s="316"/>
      <c r="W240" s="3" t="b">
        <f t="shared" si="24"/>
        <v>1</v>
      </c>
      <c r="X240" s="567">
        <f t="shared" si="21"/>
        <v>0</v>
      </c>
      <c r="Y240" s="567">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1">
        <f t="shared" si="25"/>
        <v>0</v>
      </c>
      <c r="N241" s="61" t="s">
        <v>340</v>
      </c>
      <c r="O241" s="579"/>
      <c r="P241" s="317"/>
      <c r="W241" s="3" t="b">
        <f t="shared" si="24"/>
        <v>1</v>
      </c>
      <c r="X241" s="567">
        <f t="shared" si="21"/>
        <v>0</v>
      </c>
      <c r="Y241" s="567">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453</v>
      </c>
      <c r="L242" s="570">
        <f t="shared" ref="L242:L258" si="26">IF(D242="",E242,D242)</f>
        <v>0</v>
      </c>
      <c r="P242" s="317"/>
      <c r="W242" s="3" t="b">
        <f t="shared" si="24"/>
        <v>1</v>
      </c>
      <c r="X242" s="567">
        <f t="shared" si="21"/>
        <v>0</v>
      </c>
      <c r="Y242" s="567">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2" t="s">
        <v>865</v>
      </c>
      <c r="L243" s="613">
        <f t="shared" si="26"/>
        <v>0</v>
      </c>
      <c r="P243" s="317"/>
      <c r="W243" s="3" t="b">
        <f t="shared" si="24"/>
        <v>1</v>
      </c>
      <c r="X243" s="567"/>
      <c r="Y243" s="567"/>
    </row>
    <row r="244" spans="1:25" ht="161.25" customHeight="1" x14ac:dyDescent="0.3">
      <c r="A244" s="586">
        <f>'Unit Data from Audit Worksheet'!A300</f>
        <v>991</v>
      </c>
      <c r="B244" s="352"/>
      <c r="C244" s="58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7" t="s">
        <v>1488</v>
      </c>
      <c r="L244" s="570">
        <f t="shared" si="26"/>
        <v>0</v>
      </c>
      <c r="P244" s="317"/>
      <c r="W244" s="3" t="b">
        <f t="shared" si="24"/>
        <v>1</v>
      </c>
      <c r="X244" s="567"/>
      <c r="Y244" s="567"/>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855</v>
      </c>
      <c r="L245" s="570">
        <f t="shared" si="26"/>
        <v>0</v>
      </c>
      <c r="N245" s="138"/>
      <c r="P245" s="317"/>
      <c r="W245" s="3" t="b">
        <f t="shared" si="24"/>
        <v>1</v>
      </c>
      <c r="X245" s="567">
        <f t="shared" si="21"/>
        <v>0</v>
      </c>
      <c r="Y245" s="567">
        <f t="shared" si="22"/>
        <v>0</v>
      </c>
    </row>
    <row r="246" spans="1:25" ht="87.75" customHeight="1" x14ac:dyDescent="0.3">
      <c r="A246" s="586">
        <f>+'TD Info Completed by Auditor'!D41</f>
        <v>906</v>
      </c>
      <c r="B246" s="330" t="s">
        <v>852</v>
      </c>
      <c r="C246" s="586"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7" t="s">
        <v>660</v>
      </c>
      <c r="L246" s="570">
        <f t="shared" si="26"/>
        <v>0</v>
      </c>
      <c r="N246" s="138" t="s">
        <v>1058</v>
      </c>
      <c r="P246" s="319"/>
      <c r="W246" s="3" t="b">
        <f t="shared" si="24"/>
        <v>1</v>
      </c>
      <c r="X246" s="567"/>
      <c r="Y246" s="567"/>
    </row>
    <row r="247" spans="1:25" ht="87.75" customHeight="1" x14ac:dyDescent="0.3">
      <c r="A247" s="586">
        <f>+'TD Info Completed by Auditor'!D43</f>
        <v>907</v>
      </c>
      <c r="B247" s="330" t="s">
        <v>852</v>
      </c>
      <c r="C247" s="586"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7" t="s">
        <v>661</v>
      </c>
      <c r="L247" s="570">
        <f t="shared" si="26"/>
        <v>0</v>
      </c>
      <c r="N247" s="138" t="s">
        <v>1058</v>
      </c>
      <c r="P247" s="319"/>
      <c r="W247" s="3" t="b">
        <f t="shared" si="24"/>
        <v>1</v>
      </c>
      <c r="X247" s="567"/>
      <c r="Y247" s="567"/>
    </row>
    <row r="248" spans="1:25" ht="87.75" customHeight="1" x14ac:dyDescent="0.3">
      <c r="A248" s="586">
        <f>+'TD Info Completed by Auditor'!D45</f>
        <v>951</v>
      </c>
      <c r="B248" s="330" t="s">
        <v>852</v>
      </c>
      <c r="C248" s="587"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7" t="s">
        <v>662</v>
      </c>
      <c r="L248" s="570">
        <f t="shared" si="26"/>
        <v>0</v>
      </c>
      <c r="N248" s="138" t="s">
        <v>1058</v>
      </c>
      <c r="P248" s="319"/>
      <c r="W248" s="3" t="b">
        <f t="shared" si="24"/>
        <v>1</v>
      </c>
      <c r="X248" s="567"/>
      <c r="Y248" s="567"/>
    </row>
    <row r="249" spans="1:25" ht="87.75" customHeight="1" x14ac:dyDescent="0.3">
      <c r="A249" s="586">
        <f>+'TD Info Completed by Auditor'!D47</f>
        <v>953</v>
      </c>
      <c r="B249" s="330" t="s">
        <v>852</v>
      </c>
      <c r="C249" s="587"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7" t="s">
        <v>1302</v>
      </c>
      <c r="L249" s="570">
        <f t="shared" si="26"/>
        <v>0</v>
      </c>
      <c r="N249" s="138" t="s">
        <v>1058</v>
      </c>
      <c r="P249" s="319"/>
      <c r="W249" s="3" t="b">
        <f t="shared" si="24"/>
        <v>1</v>
      </c>
      <c r="X249" s="567"/>
      <c r="Y249" s="567"/>
    </row>
    <row r="250" spans="1:25" ht="87.75" customHeight="1" x14ac:dyDescent="0.3">
      <c r="A250" s="586">
        <f>+'TD Info Completed by Auditor'!D49</f>
        <v>955</v>
      </c>
      <c r="B250" s="330" t="s">
        <v>852</v>
      </c>
      <c r="C250" s="587" t="str">
        <f>+'TD Info Completed by Auditor'!E49</f>
        <v>Number of significant deficiency findings (other than in Questions 15-18 )</v>
      </c>
      <c r="D250" s="353"/>
      <c r="E250" s="1105" t="str">
        <f>IF(ISBLANK('TD Info Completed by Auditor'!G49),"",'TD Info Completed by Auditor'!G49)</f>
        <v/>
      </c>
      <c r="F250" s="347"/>
      <c r="G250" s="349"/>
      <c r="H250" s="1106" t="s">
        <v>1520</v>
      </c>
      <c r="I250" s="38"/>
      <c r="J250" s="127">
        <v>955</v>
      </c>
      <c r="K250" s="597" t="s">
        <v>856</v>
      </c>
      <c r="L250" s="570" t="str">
        <f t="shared" si="26"/>
        <v/>
      </c>
      <c r="N250" s="138" t="s">
        <v>1058</v>
      </c>
      <c r="P250" s="319"/>
      <c r="W250" s="3" t="b">
        <f t="shared" si="24"/>
        <v>1</v>
      </c>
      <c r="X250" s="567"/>
      <c r="Y250" s="567"/>
    </row>
    <row r="251" spans="1:25" ht="87.75" customHeight="1" x14ac:dyDescent="0.3">
      <c r="A251" s="586">
        <f>+'TD Info Completed by Auditor'!D51</f>
        <v>957</v>
      </c>
      <c r="B251" s="330" t="s">
        <v>852</v>
      </c>
      <c r="C251" s="587" t="str">
        <f>+'TD Info Completed by Auditor'!E51</f>
        <v>Number of material weaknesses findings (other than in Questions 15-18)</v>
      </c>
      <c r="D251" s="353"/>
      <c r="E251" s="1105" t="str">
        <f>IF(ISBLANK('TD Info Completed by Auditor'!G51),"",'TD Info Completed by Auditor'!G51)</f>
        <v/>
      </c>
      <c r="F251" s="347"/>
      <c r="G251" s="349"/>
      <c r="H251" s="1106" t="s">
        <v>1521</v>
      </c>
      <c r="I251" s="38"/>
      <c r="J251" s="127">
        <v>957</v>
      </c>
      <c r="K251" s="597" t="s">
        <v>857</v>
      </c>
      <c r="L251" s="570" t="str">
        <f t="shared" si="26"/>
        <v/>
      </c>
      <c r="N251" s="138" t="s">
        <v>1058</v>
      </c>
      <c r="P251" s="319"/>
      <c r="W251" s="3" t="b">
        <f t="shared" si="24"/>
        <v>1</v>
      </c>
      <c r="X251" s="567"/>
      <c r="Y251" s="567"/>
    </row>
    <row r="252" spans="1:25" ht="87.75" customHeight="1" x14ac:dyDescent="0.3">
      <c r="A252" s="586">
        <f>+'TD Info Completed by Auditor'!D53</f>
        <v>959</v>
      </c>
      <c r="B252" s="330" t="s">
        <v>852</v>
      </c>
      <c r="C252" s="587"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7" t="s">
        <v>1060</v>
      </c>
      <c r="L252" s="570">
        <f t="shared" si="26"/>
        <v>0</v>
      </c>
      <c r="N252" s="138" t="s">
        <v>1058</v>
      </c>
      <c r="P252" s="319"/>
      <c r="W252" s="3" t="b">
        <f t="shared" si="24"/>
        <v>1</v>
      </c>
      <c r="X252" s="567"/>
      <c r="Y252" s="567"/>
    </row>
    <row r="253" spans="1:25" ht="222" customHeight="1" x14ac:dyDescent="0.3">
      <c r="A253" s="586">
        <f>+'TD Info Completed by Auditor'!D57</f>
        <v>974</v>
      </c>
      <c r="B253" s="330" t="s">
        <v>852</v>
      </c>
      <c r="C253" s="58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0</v>
      </c>
      <c r="F253" s="347"/>
      <c r="G253" s="349"/>
      <c r="H253" s="346"/>
      <c r="I253" s="38"/>
      <c r="J253" s="127">
        <v>974</v>
      </c>
      <c r="K253" s="597" t="s">
        <v>1303</v>
      </c>
      <c r="L253" s="570">
        <f t="shared" si="26"/>
        <v>0</v>
      </c>
      <c r="N253" s="138" t="s">
        <v>1058</v>
      </c>
      <c r="P253" s="319"/>
      <c r="W253" s="3" t="b">
        <f t="shared" si="24"/>
        <v>1</v>
      </c>
      <c r="X253" s="567"/>
      <c r="Y253" s="567"/>
    </row>
    <row r="254" spans="1:25" ht="177.75" customHeight="1" x14ac:dyDescent="0.3">
      <c r="A254" s="586">
        <f>+'TD Info Completed by Auditor'!D55</f>
        <v>973</v>
      </c>
      <c r="B254" s="330" t="s">
        <v>852</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7" t="s">
        <v>1017</v>
      </c>
      <c r="L254" s="570">
        <f t="shared" si="26"/>
        <v>0</v>
      </c>
      <c r="N254" s="138" t="s">
        <v>1058</v>
      </c>
      <c r="P254" s="319"/>
      <c r="W254" s="3" t="b">
        <f t="shared" si="24"/>
        <v>1</v>
      </c>
      <c r="X254" s="567"/>
      <c r="Y254" s="567"/>
    </row>
    <row r="255" spans="1:25" ht="87.75" customHeight="1" x14ac:dyDescent="0.3">
      <c r="A255" s="586">
        <f>+'TD Info Completed by Auditor'!D60</f>
        <v>965</v>
      </c>
      <c r="B255" s="330" t="s">
        <v>852</v>
      </c>
      <c r="C255" s="587" t="str">
        <f>+'TD Info Completed by Auditor'!E60</f>
        <v xml:space="preserve">Is the Finance Officer bonded for at least $50,000? (GS 159-42(h) </v>
      </c>
      <c r="D255" s="353"/>
      <c r="E255" s="336">
        <f>IF(+'TD Info Completed by Auditor'!G60="Yes",1,IF(+'TD Info Completed by Auditor'!G60="No",2,IF(+'TD Info Completed by Auditor'!G60="N/A",3,0)))</f>
        <v>0</v>
      </c>
      <c r="F255" s="347"/>
      <c r="G255" s="349"/>
      <c r="H255" s="346"/>
      <c r="I255" s="38"/>
      <c r="J255" s="127">
        <v>965</v>
      </c>
      <c r="K255" s="597" t="s">
        <v>667</v>
      </c>
      <c r="L255" s="570">
        <f t="shared" ref="L255" si="27">IF(D255="",E255,D255)</f>
        <v>0</v>
      </c>
      <c r="M255" s="710"/>
      <c r="N255" s="138" t="s">
        <v>1058</v>
      </c>
      <c r="P255" s="319"/>
      <c r="W255" s="3" t="b">
        <f t="shared" si="24"/>
        <v>1</v>
      </c>
      <c r="X255" s="567"/>
      <c r="Y255" s="567"/>
    </row>
    <row r="256" spans="1:25" ht="87.75" customHeight="1" x14ac:dyDescent="0.3">
      <c r="A256" s="586">
        <f>+'TD Info Completed by Auditor'!D68</f>
        <v>977</v>
      </c>
      <c r="B256" s="330" t="s">
        <v>852</v>
      </c>
      <c r="C256" s="587"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f>
        <v>0</v>
      </c>
      <c r="F256" s="347"/>
      <c r="G256" s="349"/>
      <c r="H256" s="346"/>
      <c r="I256" s="38"/>
      <c r="J256" s="127">
        <v>977</v>
      </c>
      <c r="K256" s="597" t="s">
        <v>1305</v>
      </c>
      <c r="L256" s="570">
        <f t="shared" si="26"/>
        <v>0</v>
      </c>
      <c r="N256" s="138" t="s">
        <v>1058</v>
      </c>
      <c r="P256" s="319"/>
      <c r="W256" s="3" t="b">
        <f t="shared" si="24"/>
        <v>1</v>
      </c>
      <c r="X256" s="567"/>
      <c r="Y256" s="567"/>
    </row>
    <row r="257" spans="1:25" ht="87.75" customHeight="1" x14ac:dyDescent="0.3">
      <c r="A257" s="586">
        <f>+'TD Info Completed by Auditor'!D70</f>
        <v>978</v>
      </c>
      <c r="B257" s="330" t="s">
        <v>852</v>
      </c>
      <c r="C257" s="587"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7" t="s">
        <v>1304</v>
      </c>
      <c r="L257" s="570" t="str">
        <f t="shared" si="26"/>
        <v>0</v>
      </c>
      <c r="N257" s="138" t="s">
        <v>1058</v>
      </c>
      <c r="P257" s="319"/>
      <c r="W257" s="3" t="b">
        <f t="shared" si="24"/>
        <v>1</v>
      </c>
      <c r="X257" s="567"/>
      <c r="Y257" s="567"/>
    </row>
    <row r="258" spans="1:25" ht="87.75" customHeight="1" x14ac:dyDescent="0.3">
      <c r="A258" s="586">
        <f>+'TD Info Completed by Auditor'!D72</f>
        <v>979</v>
      </c>
      <c r="B258" s="330" t="s">
        <v>852</v>
      </c>
      <c r="C258" s="587"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7" t="s">
        <v>822</v>
      </c>
      <c r="L258" s="570">
        <f t="shared" si="26"/>
        <v>0</v>
      </c>
      <c r="N258" s="138" t="s">
        <v>1058</v>
      </c>
      <c r="P258" s="319"/>
      <c r="W258" s="3" t="b">
        <f t="shared" si="24"/>
        <v>1</v>
      </c>
      <c r="X258" s="567"/>
      <c r="Y258" s="567"/>
    </row>
    <row r="259" spans="1:25" ht="87.75" customHeight="1" x14ac:dyDescent="0.3">
      <c r="A259" s="586">
        <f>+'TD Info Completed by Auditor'!D76</f>
        <v>975</v>
      </c>
      <c r="B259" s="330" t="s">
        <v>852</v>
      </c>
      <c r="C259" s="587"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7" t="s">
        <v>858</v>
      </c>
      <c r="L259" s="570">
        <f>IF(D259="",E259,D259)</f>
        <v>0</v>
      </c>
      <c r="N259" s="138" t="s">
        <v>1058</v>
      </c>
      <c r="P259" s="319"/>
      <c r="W259" s="3" t="b">
        <f>EXACT(A259,J259)</f>
        <v>1</v>
      </c>
      <c r="X259" s="567"/>
      <c r="Y259" s="567"/>
    </row>
    <row r="260" spans="1:25" ht="112.5" customHeight="1" x14ac:dyDescent="0.3">
      <c r="A260" s="586">
        <f>+'TD Info Completed by Auditor'!D78</f>
        <v>976</v>
      </c>
      <c r="B260" s="330" t="s">
        <v>852</v>
      </c>
      <c r="C260" s="329"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7" t="s">
        <v>1019</v>
      </c>
      <c r="L260" s="570">
        <f>IF(D260="",E260,D260)</f>
        <v>0</v>
      </c>
      <c r="N260" s="138" t="s">
        <v>1058</v>
      </c>
      <c r="P260" s="319"/>
      <c r="W260" s="3" t="b">
        <f>EXACT(A260,J260)</f>
        <v>1</v>
      </c>
      <c r="X260" s="567"/>
      <c r="Y260" s="567"/>
    </row>
    <row r="261" spans="1:25" ht="109.95" customHeight="1" x14ac:dyDescent="0.3">
      <c r="A261" s="614">
        <v>336</v>
      </c>
      <c r="B261" s="366"/>
      <c r="C261" s="615" t="s">
        <v>1110</v>
      </c>
      <c r="D261" s="616" t="s">
        <v>1030</v>
      </c>
      <c r="E261" s="617" t="s">
        <v>1031</v>
      </c>
      <c r="F261" s="367" t="s">
        <v>1029</v>
      </c>
      <c r="G261" s="349"/>
      <c r="H261" s="346"/>
      <c r="I261" s="38"/>
      <c r="J261" s="368">
        <v>336</v>
      </c>
      <c r="K261" s="618" t="s">
        <v>1034</v>
      </c>
      <c r="L261" s="619">
        <f>L10-L11-L12-L13-L14-L15-L16</f>
        <v>0</v>
      </c>
      <c r="M261" s="620"/>
      <c r="N261" s="380" t="s">
        <v>1032</v>
      </c>
      <c r="P261" s="319"/>
      <c r="X261" s="567"/>
      <c r="Y261" s="567"/>
    </row>
    <row r="262" spans="1:25" ht="129" customHeight="1" x14ac:dyDescent="0.3">
      <c r="A262" s="614">
        <v>44</v>
      </c>
      <c r="B262" s="366"/>
      <c r="C262" s="621" t="s">
        <v>1111</v>
      </c>
      <c r="D262" s="616" t="s">
        <v>1021</v>
      </c>
      <c r="E262" s="622" t="s">
        <v>1022</v>
      </c>
      <c r="F262" s="367" t="s">
        <v>1029</v>
      </c>
      <c r="G262" s="349"/>
      <c r="H262" s="346"/>
      <c r="I262" s="38"/>
      <c r="J262" s="368">
        <v>44</v>
      </c>
      <c r="K262" s="618" t="s">
        <v>1035</v>
      </c>
      <c r="L262" s="619">
        <f>L120-L121-L118</f>
        <v>0</v>
      </c>
      <c r="M262" s="620"/>
      <c r="N262" s="380" t="s">
        <v>1033</v>
      </c>
      <c r="P262" s="319"/>
      <c r="X262" s="567"/>
      <c r="Y262" s="567"/>
    </row>
    <row r="263" spans="1:25" ht="169.5" customHeight="1" x14ac:dyDescent="0.3">
      <c r="A263" s="614">
        <v>45</v>
      </c>
      <c r="B263" s="366"/>
      <c r="C263" s="623" t="s">
        <v>1112</v>
      </c>
      <c r="D263" s="616" t="s">
        <v>1023</v>
      </c>
      <c r="E263" s="617" t="s">
        <v>1024</v>
      </c>
      <c r="F263" s="367" t="s">
        <v>1029</v>
      </c>
      <c r="G263" s="349"/>
      <c r="H263" s="346"/>
      <c r="I263" s="38"/>
      <c r="J263" s="368">
        <v>45</v>
      </c>
      <c r="K263" s="618" t="s">
        <v>1036</v>
      </c>
      <c r="L263" s="619">
        <f>L124-L125-L126-L127-L128-L129-L123</f>
        <v>0</v>
      </c>
      <c r="M263" s="620"/>
      <c r="N263" s="380" t="s">
        <v>1049</v>
      </c>
      <c r="P263" s="319"/>
      <c r="X263" s="567"/>
      <c r="Y263" s="567"/>
    </row>
    <row r="264" spans="1:25" ht="87.75" customHeight="1" x14ac:dyDescent="0.3">
      <c r="A264" s="614">
        <v>47</v>
      </c>
      <c r="B264" s="366"/>
      <c r="C264" s="367" t="s">
        <v>1038</v>
      </c>
      <c r="D264" s="616" t="s">
        <v>1025</v>
      </c>
      <c r="E264" s="617" t="s">
        <v>1027</v>
      </c>
      <c r="F264" s="367" t="s">
        <v>1029</v>
      </c>
      <c r="G264" s="349"/>
      <c r="H264" s="346"/>
      <c r="I264" s="38"/>
      <c r="J264" s="368">
        <v>47</v>
      </c>
      <c r="K264" s="618" t="s">
        <v>1037</v>
      </c>
      <c r="L264" s="619">
        <f>L138-L139-L137</f>
        <v>0</v>
      </c>
      <c r="M264" s="620"/>
      <c r="N264" s="380" t="s">
        <v>1050</v>
      </c>
      <c r="P264" s="319"/>
      <c r="X264" s="567"/>
      <c r="Y264" s="567"/>
    </row>
    <row r="265" spans="1:25" ht="152.25" customHeight="1" x14ac:dyDescent="0.3">
      <c r="A265" s="614">
        <v>48</v>
      </c>
      <c r="B265" s="366"/>
      <c r="C265" s="367" t="s">
        <v>1039</v>
      </c>
      <c r="D265" s="616" t="s">
        <v>1026</v>
      </c>
      <c r="E265" s="617" t="s">
        <v>1028</v>
      </c>
      <c r="F265" s="367" t="s">
        <v>1029</v>
      </c>
      <c r="G265" s="349"/>
      <c r="H265" s="346"/>
      <c r="I265" s="38"/>
      <c r="J265" s="368">
        <v>48</v>
      </c>
      <c r="K265" s="618" t="s">
        <v>123</v>
      </c>
      <c r="L265" s="619">
        <f>L143-L144-L145-L146-L147-L148-L142</f>
        <v>0</v>
      </c>
      <c r="M265" s="620"/>
      <c r="N265" s="380" t="s">
        <v>1051</v>
      </c>
      <c r="P265" s="319"/>
      <c r="X265" s="567"/>
      <c r="Y265" s="567"/>
    </row>
    <row r="266" spans="1:25" ht="113.4" customHeight="1" x14ac:dyDescent="0.3">
      <c r="A266" s="624"/>
      <c r="B266" s="97"/>
      <c r="C266" s="625"/>
      <c r="D266" s="139"/>
      <c r="E266" s="147"/>
      <c r="F266" s="66"/>
      <c r="G266" s="141"/>
      <c r="H266" s="142"/>
      <c r="I266" s="38"/>
      <c r="J266" s="369">
        <v>998</v>
      </c>
      <c r="K266" s="370" t="s">
        <v>292</v>
      </c>
      <c r="L266" s="626" t="e">
        <f>HLOOKUP('Unit Data from Audit Worksheet'!$D$2,'2020 Data(H)'!A1:CZ400,247,FALSE)</f>
        <v>#N/A</v>
      </c>
      <c r="M266" s="620"/>
      <c r="N266" s="380" t="s">
        <v>1040</v>
      </c>
      <c r="P266" s="315"/>
      <c r="W266" s="3" t="b">
        <f>EXACT(A266,J266)</f>
        <v>0</v>
      </c>
      <c r="X266" s="567" t="e">
        <f t="shared" si="21"/>
        <v>#N/A</v>
      </c>
      <c r="Y266" s="567" t="e">
        <f t="shared" si="22"/>
        <v>#N/A</v>
      </c>
    </row>
    <row r="267" spans="1:25" ht="119.4" customHeight="1" x14ac:dyDescent="0.3">
      <c r="A267" s="624"/>
      <c r="B267" s="97"/>
      <c r="C267" s="625"/>
      <c r="D267" s="627"/>
      <c r="E267" s="628"/>
      <c r="F267" s="629"/>
      <c r="G267" s="630"/>
      <c r="H267" s="631"/>
      <c r="I267" s="38"/>
      <c r="J267" s="371">
        <v>995</v>
      </c>
      <c r="K267" s="372" t="s">
        <v>290</v>
      </c>
      <c r="L267" s="632" t="e">
        <f>HLOOKUP('Unit Data from Audit Worksheet'!$D$2,'2020 Data(H)'!A1:CZ400,244,FALSE)</f>
        <v>#N/A</v>
      </c>
      <c r="M267" s="620"/>
      <c r="N267" s="380" t="s">
        <v>1052</v>
      </c>
      <c r="P267" s="316"/>
      <c r="W267" s="3" t="b">
        <f>EXACT(A267,J267)</f>
        <v>0</v>
      </c>
      <c r="X267" s="633" t="e">
        <f t="shared" si="21"/>
        <v>#N/A</v>
      </c>
      <c r="Y267" s="567" t="e">
        <f t="shared" si="22"/>
        <v>#N/A</v>
      </c>
    </row>
    <row r="268" spans="1:25" ht="104.4" customHeight="1" x14ac:dyDescent="0.3">
      <c r="A268" s="624"/>
      <c r="B268" s="97"/>
      <c r="C268" s="625"/>
      <c r="D268" s="627"/>
      <c r="E268" s="628"/>
      <c r="F268" s="629"/>
      <c r="G268" s="630"/>
      <c r="H268" s="631"/>
      <c r="I268" s="38"/>
      <c r="J268" s="371">
        <v>996</v>
      </c>
      <c r="K268" s="372" t="s">
        <v>291</v>
      </c>
      <c r="L268" s="632" t="e">
        <f>HLOOKUP('Unit Data from Audit Worksheet'!$D$2,'2020 Data(H)'!A1:CZ400,245,FALSE)</f>
        <v>#N/A</v>
      </c>
      <c r="M268" s="620"/>
      <c r="N268" s="380" t="s">
        <v>1053</v>
      </c>
      <c r="P268" s="316"/>
      <c r="W268" s="3" t="b">
        <f>EXACT(A268,J268)</f>
        <v>0</v>
      </c>
      <c r="X268" s="633" t="e">
        <f t="shared" si="21"/>
        <v>#N/A</v>
      </c>
      <c r="Y268" s="567" t="e">
        <f t="shared" si="22"/>
        <v>#N/A</v>
      </c>
    </row>
    <row r="269" spans="1:25" ht="43.2" x14ac:dyDescent="0.3">
      <c r="A269" s="624"/>
      <c r="B269" s="97"/>
      <c r="C269" s="625"/>
      <c r="D269" s="627"/>
      <c r="E269" s="628"/>
      <c r="F269" s="629"/>
      <c r="G269" s="630"/>
      <c r="H269" s="634"/>
      <c r="I269" s="38"/>
      <c r="J269" s="172">
        <v>554</v>
      </c>
      <c r="K269" s="635" t="s">
        <v>365</v>
      </c>
      <c r="L269" s="596"/>
      <c r="N269" s="636"/>
      <c r="P269" s="317"/>
      <c r="X269" s="633"/>
      <c r="Y269" s="567"/>
    </row>
    <row r="270" spans="1:25" ht="43.2" x14ac:dyDescent="0.3">
      <c r="A270" s="624"/>
      <c r="B270" s="97"/>
      <c r="C270" s="625"/>
      <c r="D270" s="627"/>
      <c r="E270" s="628"/>
      <c r="F270" s="629"/>
      <c r="G270" s="630"/>
      <c r="H270" s="634"/>
      <c r="I270" s="38"/>
      <c r="J270" s="172">
        <v>555</v>
      </c>
      <c r="K270" s="635" t="s">
        <v>366</v>
      </c>
      <c r="L270" s="596"/>
      <c r="N270" s="636"/>
      <c r="P270" s="317"/>
      <c r="X270" s="633"/>
      <c r="Y270" s="567"/>
    </row>
    <row r="271" spans="1:25" ht="43.2" x14ac:dyDescent="0.3">
      <c r="A271" s="624"/>
      <c r="B271" s="97"/>
      <c r="C271" s="625"/>
      <c r="D271" s="627"/>
      <c r="E271" s="628"/>
      <c r="F271" s="629"/>
      <c r="G271" s="630"/>
      <c r="H271" s="634"/>
      <c r="I271" s="38"/>
      <c r="J271" s="172">
        <v>556</v>
      </c>
      <c r="K271" s="635" t="s">
        <v>367</v>
      </c>
      <c r="L271" s="596"/>
      <c r="N271" s="636"/>
      <c r="P271" s="317"/>
      <c r="X271" s="633"/>
      <c r="Y271" s="567"/>
    </row>
    <row r="272" spans="1:25" ht="43.2" x14ac:dyDescent="0.3">
      <c r="A272" s="624"/>
      <c r="B272" s="97"/>
      <c r="C272" s="625"/>
      <c r="D272" s="627"/>
      <c r="E272" s="628"/>
      <c r="F272" s="629"/>
      <c r="G272" s="630"/>
      <c r="H272" s="634"/>
      <c r="I272" s="38"/>
      <c r="J272" s="172">
        <v>557</v>
      </c>
      <c r="K272" s="635" t="s">
        <v>368</v>
      </c>
      <c r="L272" s="596"/>
      <c r="N272" s="636"/>
      <c r="P272" s="317"/>
      <c r="X272" s="633"/>
      <c r="Y272" s="567"/>
    </row>
    <row r="273" spans="1:25" ht="43.2" x14ac:dyDescent="0.3">
      <c r="A273" s="624"/>
      <c r="B273" s="97"/>
      <c r="C273" s="625"/>
      <c r="D273" s="627"/>
      <c r="E273" s="628"/>
      <c r="F273" s="629"/>
      <c r="G273" s="630"/>
      <c r="H273" s="634"/>
      <c r="I273" s="38"/>
      <c r="J273" s="172">
        <v>606</v>
      </c>
      <c r="K273" s="635" t="s">
        <v>608</v>
      </c>
      <c r="L273" s="596"/>
      <c r="N273" s="636"/>
      <c r="P273" s="317"/>
      <c r="X273" s="633"/>
      <c r="Y273" s="567"/>
    </row>
    <row r="274" spans="1:25" ht="39.75" customHeight="1" x14ac:dyDescent="0.3">
      <c r="A274" s="624"/>
      <c r="B274" s="97"/>
      <c r="C274" s="625"/>
      <c r="D274" s="627"/>
      <c r="E274" s="628"/>
      <c r="F274" s="629"/>
      <c r="G274" s="630"/>
      <c r="H274" s="634"/>
      <c r="I274" s="38"/>
      <c r="J274" s="323">
        <v>662</v>
      </c>
      <c r="K274" s="637" t="s">
        <v>609</v>
      </c>
      <c r="L274" s="638"/>
      <c r="N274" s="636"/>
      <c r="P274" s="323"/>
      <c r="X274" s="633"/>
      <c r="Y274" s="567"/>
    </row>
    <row r="275" spans="1:25" ht="39" customHeight="1" x14ac:dyDescent="0.3">
      <c r="A275" s="624"/>
      <c r="B275" s="97"/>
      <c r="C275" s="625"/>
      <c r="D275" s="627"/>
      <c r="E275" s="628"/>
      <c r="F275" s="629"/>
      <c r="G275" s="630"/>
      <c r="H275" s="634"/>
      <c r="I275" s="38"/>
      <c r="J275" s="323">
        <v>663</v>
      </c>
      <c r="K275" s="639" t="s">
        <v>610</v>
      </c>
      <c r="L275" s="638"/>
      <c r="N275" s="636"/>
      <c r="P275" s="323"/>
      <c r="X275" s="633"/>
      <c r="Y275" s="567"/>
    </row>
    <row r="276" spans="1:25" s="18" customFormat="1" ht="22.5" customHeight="1" x14ac:dyDescent="0.3">
      <c r="A276" s="624"/>
      <c r="B276" s="97"/>
      <c r="C276" s="625"/>
      <c r="D276" s="139"/>
      <c r="E276" s="140"/>
      <c r="F276" s="66"/>
      <c r="G276" s="141"/>
      <c r="H276" s="142"/>
      <c r="I276" s="38"/>
      <c r="J276" s="143"/>
      <c r="K276" s="640"/>
      <c r="L276" s="641"/>
      <c r="N276" s="378"/>
      <c r="P276" s="317"/>
      <c r="Q276" s="560"/>
      <c r="W276" s="18" t="b">
        <f t="shared" ref="W276:W284" si="28">EXACT(A276,J276)</f>
        <v>1</v>
      </c>
      <c r="X276" s="576">
        <f t="shared" si="21"/>
        <v>0</v>
      </c>
      <c r="Y276" s="576">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2" t="s">
        <v>533</v>
      </c>
      <c r="L277" s="643">
        <f t="shared" ref="L277:L290" si="29">IF(D277="",E277,D277)</f>
        <v>0</v>
      </c>
      <c r="N277" s="636"/>
      <c r="P277" s="323"/>
      <c r="Q277" s="602">
        <f t="shared" ref="Q277:Q284" si="30">IF(L277=0,1,0)</f>
        <v>1</v>
      </c>
      <c r="W277" s="3" t="b">
        <f t="shared" si="28"/>
        <v>1</v>
      </c>
      <c r="X277" s="567">
        <f t="shared" ref="X277:X291" si="31">E277-L277</f>
        <v>0</v>
      </c>
      <c r="Y277" s="567">
        <f t="shared" ref="Y277:Y291" si="32">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4">
        <f>'Unit Data from Audit Worksheet'!F305</f>
        <v>0</v>
      </c>
      <c r="F278" s="347" t="str">
        <f>'Unit Data from Audit Worksheet'!G305</f>
        <v>Please do not leave blank</v>
      </c>
      <c r="G278" s="349"/>
      <c r="H278" s="346"/>
      <c r="I278" s="38"/>
      <c r="J278" s="176">
        <v>948</v>
      </c>
      <c r="K278" s="642" t="s">
        <v>534</v>
      </c>
      <c r="L278" s="643">
        <f t="shared" si="29"/>
        <v>0</v>
      </c>
      <c r="N278" s="636"/>
      <c r="P278" s="323"/>
      <c r="Q278" s="602">
        <f t="shared" si="30"/>
        <v>1</v>
      </c>
      <c r="W278" s="3" t="b">
        <f t="shared" si="28"/>
        <v>1</v>
      </c>
      <c r="X278" s="567">
        <f t="shared" si="31"/>
        <v>0</v>
      </c>
      <c r="Y278" s="567">
        <f t="shared" si="32"/>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2" t="s">
        <v>562</v>
      </c>
      <c r="L279" s="643">
        <f t="shared" si="29"/>
        <v>0</v>
      </c>
      <c r="N279" s="636"/>
      <c r="P279" s="323"/>
      <c r="Q279" s="602">
        <f t="shared" si="30"/>
        <v>1</v>
      </c>
      <c r="W279" s="3" t="b">
        <f t="shared" si="28"/>
        <v>1</v>
      </c>
      <c r="X279" s="567">
        <f t="shared" si="31"/>
        <v>0</v>
      </c>
      <c r="Y279" s="567">
        <f t="shared" si="32"/>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2" t="s">
        <v>563</v>
      </c>
      <c r="L280" s="643">
        <f t="shared" si="29"/>
        <v>0</v>
      </c>
      <c r="N280" s="636"/>
      <c r="P280" s="323"/>
      <c r="Q280" s="602">
        <f t="shared" si="30"/>
        <v>1</v>
      </c>
      <c r="W280" s="3" t="b">
        <f t="shared" si="28"/>
        <v>1</v>
      </c>
      <c r="X280" s="567">
        <f t="shared" si="31"/>
        <v>0</v>
      </c>
      <c r="Y280" s="567">
        <f t="shared" si="32"/>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2" t="s">
        <v>564</v>
      </c>
      <c r="L281" s="645" t="str">
        <f t="shared" si="29"/>
        <v xml:space="preserve"> </v>
      </c>
      <c r="N281" s="636"/>
      <c r="P281" s="323"/>
      <c r="Q281" s="602">
        <f t="shared" si="30"/>
        <v>0</v>
      </c>
      <c r="W281" s="3" t="b">
        <f t="shared" si="28"/>
        <v>1</v>
      </c>
      <c r="X281" s="567" t="e">
        <f t="shared" si="31"/>
        <v>#VALUE!</v>
      </c>
      <c r="Y281" s="567" t="e">
        <f t="shared" si="32"/>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2" t="s">
        <v>565</v>
      </c>
      <c r="L282" s="643">
        <f t="shared" si="29"/>
        <v>0</v>
      </c>
      <c r="N282" s="636"/>
      <c r="P282" s="323"/>
      <c r="Q282" s="602">
        <f t="shared" si="30"/>
        <v>1</v>
      </c>
      <c r="W282" s="3" t="b">
        <f t="shared" si="28"/>
        <v>1</v>
      </c>
      <c r="X282" s="567">
        <f t="shared" si="31"/>
        <v>0</v>
      </c>
      <c r="Y282" s="567">
        <f t="shared" si="32"/>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2" t="s">
        <v>566</v>
      </c>
      <c r="L283" s="643">
        <f t="shared" si="29"/>
        <v>0</v>
      </c>
      <c r="N283" s="636"/>
      <c r="P283" s="323"/>
      <c r="Q283" s="602">
        <f t="shared" si="30"/>
        <v>1</v>
      </c>
      <c r="W283" s="3" t="b">
        <f t="shared" si="28"/>
        <v>1</v>
      </c>
      <c r="X283" s="567">
        <f t="shared" si="31"/>
        <v>0</v>
      </c>
      <c r="Y283" s="567">
        <f t="shared" si="32"/>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2" t="s">
        <v>567</v>
      </c>
      <c r="L284" s="646">
        <f t="shared" si="29"/>
        <v>0</v>
      </c>
      <c r="N284" s="636"/>
      <c r="P284" s="323"/>
      <c r="Q284" s="602">
        <f t="shared" si="30"/>
        <v>1</v>
      </c>
      <c r="W284" s="3" t="b">
        <f t="shared" si="28"/>
        <v>1</v>
      </c>
      <c r="X284" s="567">
        <f t="shared" si="31"/>
        <v>0</v>
      </c>
      <c r="Y284" s="567">
        <f t="shared" si="32"/>
        <v>0</v>
      </c>
    </row>
    <row r="285" spans="1:25" ht="30.75" customHeight="1" x14ac:dyDescent="0.3">
      <c r="A285" s="647">
        <f>'Unit Data from Audit Worksheet'!A319</f>
        <v>960</v>
      </c>
      <c r="B285" s="183"/>
      <c r="C285" s="184" t="str">
        <f>'Unit Data from Audit Worksheet'!B319</f>
        <v>Name of Finance Officer</v>
      </c>
      <c r="D285" s="356"/>
      <c r="E285" s="648">
        <f>'Unit Data from Audit Worksheet'!D319</f>
        <v>0</v>
      </c>
      <c r="F285" s="649" t="str">
        <f>'Unit Data from Audit Worksheet'!F319</f>
        <v>Required</v>
      </c>
      <c r="G285" s="349"/>
      <c r="H285" s="346"/>
      <c r="I285" s="38"/>
      <c r="J285" s="186">
        <v>960</v>
      </c>
      <c r="K285" s="650" t="s">
        <v>558</v>
      </c>
      <c r="L285" s="651">
        <f t="shared" si="29"/>
        <v>0</v>
      </c>
      <c r="N285" s="594"/>
      <c r="P285" s="323"/>
      <c r="Q285" s="602">
        <f>IF(L285=0,1,0)</f>
        <v>1</v>
      </c>
      <c r="X285" s="567"/>
      <c r="Y285" s="567"/>
    </row>
    <row r="286" spans="1:25" ht="30.75" customHeight="1" x14ac:dyDescent="0.3">
      <c r="A286" s="647">
        <f>'Unit Data from Audit Worksheet'!A320</f>
        <v>962</v>
      </c>
      <c r="B286" s="183"/>
      <c r="C286" s="184" t="str">
        <f>'Unit Data from Audit Worksheet'!B320</f>
        <v>Title of Official</v>
      </c>
      <c r="D286" s="356"/>
      <c r="E286" s="648">
        <f>'Unit Data from Audit Worksheet'!D320</f>
        <v>0</v>
      </c>
      <c r="F286" s="649" t="str">
        <f>'Unit Data from Audit Worksheet'!F320</f>
        <v>Required</v>
      </c>
      <c r="G286" s="349"/>
      <c r="H286" s="346"/>
      <c r="I286" s="38"/>
      <c r="J286" s="186">
        <v>962</v>
      </c>
      <c r="K286" s="650" t="s">
        <v>518</v>
      </c>
      <c r="L286" s="651">
        <f t="shared" si="29"/>
        <v>0</v>
      </c>
      <c r="N286" s="594"/>
      <c r="P286" s="323"/>
      <c r="Q286" s="602">
        <f>IF(L286=0,1,0)</f>
        <v>1</v>
      </c>
      <c r="X286" s="567"/>
      <c r="Y286" s="567"/>
    </row>
    <row r="287" spans="1:25" ht="30.75" customHeight="1" x14ac:dyDescent="0.3">
      <c r="A287" s="647">
        <f>'Unit Data from Audit Worksheet'!A321</f>
        <v>964</v>
      </c>
      <c r="B287" s="183"/>
      <c r="C287" s="185" t="str">
        <f>'Unit Data from Audit Worksheet'!B321</f>
        <v>Date                        (Enter as "MM/DD/YYYY")</v>
      </c>
      <c r="D287" s="356"/>
      <c r="E287" s="652" t="str">
        <f>IF('Unit Data from Audit Worksheet'!D321&gt;0,'Unit Data from Audit Worksheet'!D321," ")</f>
        <v xml:space="preserve"> </v>
      </c>
      <c r="F287" s="649" t="str">
        <f>'Unit Data from Audit Worksheet'!F321</f>
        <v>Required</v>
      </c>
      <c r="G287" s="349"/>
      <c r="H287" s="346"/>
      <c r="I287" s="38"/>
      <c r="J287" s="186">
        <v>964</v>
      </c>
      <c r="K287" s="650" t="s">
        <v>620</v>
      </c>
      <c r="L287" s="653" t="str">
        <f t="shared" si="29"/>
        <v xml:space="preserve"> </v>
      </c>
      <c r="N287" s="594"/>
      <c r="P287" s="323"/>
      <c r="Q287" s="602">
        <f>IF(L287=0,1,0)</f>
        <v>0</v>
      </c>
      <c r="X287" s="567"/>
      <c r="Y287" s="567"/>
    </row>
    <row r="288" spans="1:25" ht="30.75" customHeight="1" x14ac:dyDescent="0.3">
      <c r="A288" s="647">
        <f>'Unit Data from Audit Worksheet'!A322</f>
        <v>966</v>
      </c>
      <c r="B288" s="183"/>
      <c r="C288" s="184" t="str">
        <f>'Unit Data from Audit Worksheet'!B322</f>
        <v>Telephone number</v>
      </c>
      <c r="D288" s="356"/>
      <c r="E288" s="648">
        <f>'Unit Data from Audit Worksheet'!D322</f>
        <v>0</v>
      </c>
      <c r="F288" s="649" t="str">
        <f>'Unit Data from Audit Worksheet'!F322</f>
        <v>Required</v>
      </c>
      <c r="G288" s="349"/>
      <c r="H288" s="346"/>
      <c r="I288" s="38"/>
      <c r="J288" s="186">
        <v>966</v>
      </c>
      <c r="K288" s="650" t="s">
        <v>520</v>
      </c>
      <c r="L288" s="651">
        <f t="shared" si="29"/>
        <v>0</v>
      </c>
      <c r="N288" s="594"/>
      <c r="P288" s="323"/>
      <c r="Q288" s="602">
        <f>IF(L288=0,1,0)</f>
        <v>1</v>
      </c>
      <c r="X288" s="567"/>
      <c r="Y288" s="567"/>
    </row>
    <row r="289" spans="1:25" ht="30.75" customHeight="1" x14ac:dyDescent="0.3">
      <c r="A289" s="647">
        <f>'Unit Data from Audit Worksheet'!A323</f>
        <v>968</v>
      </c>
      <c r="B289" s="183"/>
      <c r="C289" s="184" t="str">
        <f>'Unit Data from Audit Worksheet'!B323</f>
        <v>E-mail address</v>
      </c>
      <c r="D289" s="356"/>
      <c r="E289" s="648">
        <f>'Unit Data from Audit Worksheet'!D323</f>
        <v>0</v>
      </c>
      <c r="F289" s="649" t="str">
        <f>'Unit Data from Audit Worksheet'!F323</f>
        <v>Required</v>
      </c>
      <c r="G289" s="349"/>
      <c r="H289" s="346"/>
      <c r="I289" s="38"/>
      <c r="J289" s="186">
        <v>968</v>
      </c>
      <c r="K289" s="650" t="s">
        <v>521</v>
      </c>
      <c r="L289" s="651">
        <f t="shared" si="29"/>
        <v>0</v>
      </c>
      <c r="N289" s="594"/>
      <c r="P289" s="323"/>
      <c r="Q289" s="602">
        <f>IF(L289=0,1,0)</f>
        <v>1</v>
      </c>
      <c r="X289" s="567"/>
      <c r="Y289" s="567"/>
    </row>
    <row r="290" spans="1:25" ht="75.599999999999994" customHeight="1" x14ac:dyDescent="0.3">
      <c r="A290" s="654">
        <f>+'TD Info Completed by Auditor'!D74</f>
        <v>980</v>
      </c>
      <c r="B290" s="366" t="s">
        <v>852</v>
      </c>
      <c r="C290" s="381" t="str">
        <f>+'TD Info Completed by Auditor'!E74</f>
        <v>Date the Auditor presented or plans to present the Audit to the Governing Board</v>
      </c>
      <c r="D290" s="356"/>
      <c r="E290" s="655" t="str">
        <f>IF('TD Info Completed by Auditor'!G74&gt;0,'TD Info Completed by Auditor'!G74," ")</f>
        <v xml:space="preserve"> </v>
      </c>
      <c r="F290" s="656" t="s">
        <v>1056</v>
      </c>
      <c r="G290" s="349"/>
      <c r="H290" s="346"/>
      <c r="I290" s="38"/>
      <c r="J290" s="382">
        <v>980</v>
      </c>
      <c r="K290" s="383" t="s">
        <v>820</v>
      </c>
      <c r="L290" s="657" t="str">
        <f t="shared" si="29"/>
        <v xml:space="preserve"> </v>
      </c>
      <c r="N290" s="594"/>
      <c r="P290" s="323"/>
      <c r="Q290" s="602"/>
      <c r="X290" s="567"/>
      <c r="Y290" s="567"/>
    </row>
    <row r="291" spans="1:25" ht="83.4" customHeight="1" x14ac:dyDescent="0.3">
      <c r="A291" s="624"/>
      <c r="B291" s="97"/>
      <c r="C291" s="625"/>
      <c r="D291" s="627"/>
      <c r="E291" s="628"/>
      <c r="F291" s="629"/>
      <c r="G291" s="630"/>
      <c r="H291" s="631"/>
      <c r="I291" s="38"/>
      <c r="J291" s="176">
        <v>999</v>
      </c>
      <c r="K291" s="642" t="s">
        <v>293</v>
      </c>
      <c r="L291" s="658" t="e">
        <f>'Unit Data from Audit Worksheet'!D3</f>
        <v>#N/A</v>
      </c>
      <c r="M291" s="620"/>
      <c r="N291" s="659" t="s">
        <v>1055</v>
      </c>
      <c r="O291" s="659" t="s">
        <v>1054</v>
      </c>
      <c r="P291" s="323"/>
      <c r="W291" s="3" t="b">
        <f>EXACT(A291,J291)</f>
        <v>0</v>
      </c>
      <c r="X291" s="567" t="e">
        <f t="shared" si="31"/>
        <v>#N/A</v>
      </c>
      <c r="Y291" s="567" t="e">
        <f t="shared" si="32"/>
        <v>#N/A</v>
      </c>
    </row>
    <row r="292" spans="1:25" x14ac:dyDescent="0.3">
      <c r="A292" s="295"/>
      <c r="B292" s="295"/>
      <c r="C292" s="295"/>
      <c r="D292" s="295"/>
      <c r="E292" s="295"/>
      <c r="F292" s="295"/>
      <c r="G292" s="295"/>
      <c r="H292" s="295"/>
      <c r="I292" s="295"/>
      <c r="J292" s="3"/>
      <c r="K292" s="3"/>
      <c r="L292" s="3"/>
      <c r="N292" s="4"/>
      <c r="P292" s="324"/>
    </row>
    <row r="293" spans="1:25" x14ac:dyDescent="0.3">
      <c r="D293" s="661"/>
      <c r="E293" s="662"/>
      <c r="F293" s="662"/>
      <c r="G293" s="663"/>
      <c r="H293" s="662"/>
      <c r="I293" s="664"/>
      <c r="K293" s="10"/>
      <c r="L293" s="665"/>
      <c r="N293" s="4"/>
      <c r="P293" s="324"/>
    </row>
    <row r="294" spans="1:25" ht="18" x14ac:dyDescent="0.35">
      <c r="A294" s="165" t="s">
        <v>452</v>
      </c>
      <c r="B294" s="166"/>
      <c r="C294" s="167"/>
      <c r="D294" s="168"/>
      <c r="E294" s="169"/>
      <c r="F294" s="662"/>
      <c r="G294" s="663"/>
      <c r="H294" s="662"/>
      <c r="I294" s="664"/>
      <c r="L294" s="665"/>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3"/>
      <c r="H295" s="662"/>
      <c r="I295" s="664"/>
      <c r="J295" s="158" t="e">
        <f>SUM(Q5:Q295)</f>
        <v>#N/A</v>
      </c>
      <c r="K295" s="157" t="s">
        <v>555</v>
      </c>
      <c r="L295" s="665" t="e">
        <f>SUM(G5:G245)</f>
        <v>#N/A</v>
      </c>
      <c r="N295" s="4"/>
      <c r="P295" s="324"/>
    </row>
    <row r="296" spans="1:25" ht="14.25" customHeight="1" x14ac:dyDescent="0.3">
      <c r="A296" s="295"/>
      <c r="B296" s="295"/>
      <c r="C296" s="295"/>
      <c r="D296" s="295"/>
      <c r="E296" s="295"/>
      <c r="F296" s="662"/>
      <c r="G296" s="663"/>
      <c r="H296" s="662"/>
      <c r="I296" s="664"/>
      <c r="K296" s="10"/>
      <c r="L296" s="666"/>
      <c r="P296" s="324"/>
      <c r="Q296" s="85"/>
    </row>
    <row r="297" spans="1:25" x14ac:dyDescent="0.3">
      <c r="A297" s="295"/>
      <c r="B297" s="295"/>
      <c r="C297" s="295"/>
      <c r="D297" s="295"/>
      <c r="E297" s="295"/>
      <c r="F297" s="662"/>
      <c r="G297" s="663"/>
      <c r="H297" s="662"/>
      <c r="I297" s="664"/>
      <c r="K297" s="10"/>
      <c r="L297" s="666"/>
      <c r="P297" s="324"/>
    </row>
    <row r="298" spans="1:25" ht="18.75" customHeight="1" x14ac:dyDescent="0.3">
      <c r="A298" s="295"/>
      <c r="B298" s="295"/>
      <c r="C298" s="295"/>
      <c r="D298" s="295"/>
      <c r="E298" s="295"/>
      <c r="F298" s="662"/>
      <c r="G298" s="663"/>
      <c r="H298" s="662"/>
      <c r="I298" s="664"/>
      <c r="J298" s="5">
        <f>SUM(J5:J245)</f>
        <v>98821</v>
      </c>
      <c r="K298" s="10"/>
      <c r="L298" s="666"/>
      <c r="P298" s="324"/>
    </row>
    <row r="299" spans="1:25" ht="30.75" customHeight="1" x14ac:dyDescent="0.3">
      <c r="A299" s="295"/>
      <c r="B299" s="295"/>
      <c r="C299" s="295"/>
      <c r="D299" s="295"/>
      <c r="E299" s="295"/>
      <c r="F299" s="662"/>
      <c r="G299" s="663"/>
      <c r="H299" s="662"/>
      <c r="I299" s="664"/>
      <c r="J299" s="5">
        <f>SUM(J261:J265)+SUM(J277:J290)</f>
        <v>13934</v>
      </c>
      <c r="K299" s="10"/>
      <c r="L299" s="666"/>
      <c r="P299" s="324"/>
    </row>
    <row r="300" spans="1:25" ht="30.75" customHeight="1" x14ac:dyDescent="0.3">
      <c r="A300" s="295"/>
      <c r="B300" s="295"/>
      <c r="C300" s="295"/>
      <c r="D300" s="295"/>
      <c r="E300" s="295"/>
      <c r="F300" s="662"/>
      <c r="G300" s="663"/>
      <c r="H300" s="662"/>
      <c r="I300" s="664"/>
      <c r="J300" s="5">
        <f>+J298+J299</f>
        <v>112755</v>
      </c>
      <c r="K300" s="10"/>
      <c r="L300" s="666"/>
      <c r="P300" s="324"/>
    </row>
    <row r="301" spans="1:25" ht="30.75" customHeight="1" x14ac:dyDescent="0.3">
      <c r="A301" s="295"/>
      <c r="B301" s="295"/>
      <c r="C301" s="295"/>
      <c r="D301" s="295"/>
      <c r="E301" s="295"/>
      <c r="F301" s="662"/>
      <c r="G301" s="663"/>
      <c r="H301" s="662"/>
      <c r="I301" s="664"/>
      <c r="J301" s="5">
        <f>+'Unit Data from Audit Worksheet'!A327</f>
        <v>20330</v>
      </c>
      <c r="K301" s="10"/>
      <c r="L301" s="666"/>
      <c r="P301" s="324"/>
    </row>
    <row r="302" spans="1:25" ht="30.75" customHeight="1" x14ac:dyDescent="0.3">
      <c r="A302" s="295"/>
      <c r="B302" s="295"/>
      <c r="C302" s="295"/>
      <c r="D302" s="295"/>
      <c r="E302" s="295"/>
      <c r="F302" s="662"/>
      <c r="G302" s="663"/>
      <c r="H302" s="662"/>
      <c r="I302" s="664"/>
      <c r="J302" s="5">
        <f>+J300-J301</f>
        <v>92425</v>
      </c>
      <c r="K302" s="10"/>
      <c r="L302" s="666"/>
      <c r="P302" s="324"/>
    </row>
    <row r="303" spans="1:25" ht="30.75" customHeight="1" x14ac:dyDescent="0.3">
      <c r="A303" s="295"/>
      <c r="B303" s="295"/>
      <c r="C303" s="295"/>
      <c r="D303" s="295"/>
      <c r="E303" s="295"/>
      <c r="F303" s="662"/>
      <c r="G303" s="663"/>
      <c r="H303" s="662"/>
      <c r="I303" s="664"/>
      <c r="K303" s="10"/>
      <c r="L303" s="666"/>
      <c r="P303" s="324"/>
    </row>
    <row r="304" spans="1:25" x14ac:dyDescent="0.3">
      <c r="A304" s="295"/>
      <c r="B304" s="295"/>
      <c r="C304" s="295"/>
      <c r="D304" s="295"/>
      <c r="E304" s="295"/>
      <c r="I304" s="664"/>
      <c r="K304" s="10"/>
      <c r="L304" s="666"/>
      <c r="P304" s="324"/>
    </row>
    <row r="305" spans="1:16" x14ac:dyDescent="0.3">
      <c r="A305" s="295"/>
      <c r="B305" s="295"/>
      <c r="C305" s="295"/>
      <c r="D305" s="295"/>
      <c r="E305" s="295"/>
      <c r="I305" s="664"/>
      <c r="L305" s="666"/>
      <c r="P305" s="324"/>
    </row>
    <row r="306" spans="1:16" x14ac:dyDescent="0.3">
      <c r="A306" s="5"/>
      <c r="B306" s="667"/>
      <c r="C306" s="26"/>
      <c r="D306" s="79"/>
      <c r="I306" s="664"/>
      <c r="L306" s="666"/>
      <c r="P306" s="324"/>
    </row>
    <row r="307" spans="1:16" x14ac:dyDescent="0.3">
      <c r="A307" s="5"/>
      <c r="B307" s="667"/>
      <c r="C307" s="26"/>
      <c r="D307" s="79"/>
      <c r="L307" s="666"/>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7"/>
      <c r="C312" s="26"/>
      <c r="D312" s="79"/>
      <c r="P312" s="324"/>
    </row>
    <row r="313" spans="1:16" x14ac:dyDescent="0.3">
      <c r="A313" s="5"/>
      <c r="B313" s="667"/>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7"/>
      <c r="C318" s="26"/>
      <c r="D318" s="79"/>
      <c r="P318" s="324"/>
    </row>
    <row r="319" spans="1:16" x14ac:dyDescent="0.3">
      <c r="A319" s="5"/>
      <c r="B319" s="667"/>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7"/>
      <c r="C324" s="26"/>
      <c r="D324" s="79"/>
      <c r="P324" s="324"/>
    </row>
    <row r="325" spans="1:16" x14ac:dyDescent="0.3">
      <c r="A325" s="5"/>
      <c r="B325" s="667"/>
      <c r="C325" s="26"/>
      <c r="D325" s="79"/>
      <c r="P325" s="324"/>
    </row>
    <row r="326" spans="1:16" x14ac:dyDescent="0.3">
      <c r="A326" s="5"/>
      <c r="B326" s="667"/>
      <c r="C326" s="26"/>
      <c r="D326" s="79"/>
      <c r="P326" s="324"/>
    </row>
    <row r="327" spans="1:16" x14ac:dyDescent="0.3">
      <c r="A327" s="5"/>
      <c r="B327" s="667"/>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7"/>
      <c r="C331" s="26"/>
      <c r="D331" s="79"/>
      <c r="P331" s="324"/>
    </row>
    <row r="332" spans="1:16" x14ac:dyDescent="0.3">
      <c r="A332" s="5"/>
      <c r="B332" s="667"/>
      <c r="C332" s="26"/>
      <c r="D332" s="79"/>
      <c r="P332" s="324"/>
    </row>
    <row r="333" spans="1:16" x14ac:dyDescent="0.3">
      <c r="A333" s="5"/>
      <c r="B333" s="667"/>
      <c r="C333" s="26"/>
      <c r="D333" s="79"/>
      <c r="P333" s="324"/>
    </row>
    <row r="334" spans="1:16" x14ac:dyDescent="0.3">
      <c r="A334" s="5"/>
      <c r="B334" s="667"/>
      <c r="C334" s="26"/>
      <c r="D334" s="79"/>
      <c r="P334" s="324"/>
    </row>
    <row r="335" spans="1:16" x14ac:dyDescent="0.3">
      <c r="A335" s="5"/>
      <c r="B335" s="667"/>
      <c r="C335" s="26"/>
      <c r="D335" s="79"/>
      <c r="P335" s="324"/>
    </row>
    <row r="336" spans="1:16" x14ac:dyDescent="0.3">
      <c r="A336" s="5"/>
      <c r="B336" s="667"/>
      <c r="C336" s="26"/>
      <c r="D336" s="79"/>
      <c r="P336" s="324"/>
    </row>
    <row r="337" spans="1:16" x14ac:dyDescent="0.3">
      <c r="A337" s="5"/>
      <c r="B337" s="667"/>
      <c r="C337" s="26"/>
      <c r="D337" s="79"/>
      <c r="P337" s="324"/>
    </row>
    <row r="338" spans="1:16" x14ac:dyDescent="0.3">
      <c r="A338" s="5"/>
      <c r="B338" s="667"/>
      <c r="C338" s="26"/>
      <c r="D338" s="79"/>
      <c r="P338" s="324"/>
    </row>
    <row r="339" spans="1:16" x14ac:dyDescent="0.3">
      <c r="A339" s="5"/>
      <c r="B339" s="667"/>
      <c r="C339" s="26"/>
      <c r="D339" s="79"/>
      <c r="P339" s="324"/>
    </row>
    <row r="340" spans="1:16" x14ac:dyDescent="0.3">
      <c r="A340" s="5"/>
      <c r="B340" s="667"/>
      <c r="C340" s="26"/>
      <c r="D340" s="79"/>
      <c r="P340" s="324"/>
    </row>
    <row r="341" spans="1:16" x14ac:dyDescent="0.3">
      <c r="A341" s="5"/>
      <c r="B341" s="667"/>
      <c r="C341" s="26"/>
      <c r="D341" s="79"/>
      <c r="P341" s="324"/>
    </row>
    <row r="342" spans="1:16" x14ac:dyDescent="0.3">
      <c r="A342" s="5"/>
      <c r="B342" s="667"/>
      <c r="C342" s="26"/>
      <c r="D342" s="79"/>
      <c r="P342" s="324"/>
    </row>
    <row r="343" spans="1:16" x14ac:dyDescent="0.3">
      <c r="A343" s="5"/>
      <c r="B343" s="667"/>
      <c r="C343" s="26"/>
      <c r="D343" s="79"/>
      <c r="P343" s="324"/>
    </row>
    <row r="344" spans="1:16" x14ac:dyDescent="0.3">
      <c r="A344" s="5"/>
      <c r="B344" s="667"/>
      <c r="C344" s="26"/>
      <c r="D344" s="79"/>
      <c r="P344" s="324"/>
    </row>
    <row r="345" spans="1:16" x14ac:dyDescent="0.3">
      <c r="A345" s="5"/>
      <c r="B345" s="667"/>
      <c r="C345" s="26"/>
      <c r="D345" s="79"/>
      <c r="P345" s="324"/>
    </row>
    <row r="346" spans="1:16" x14ac:dyDescent="0.3">
      <c r="A346" s="5"/>
      <c r="B346" s="667"/>
      <c r="C346" s="26"/>
      <c r="D346" s="79"/>
      <c r="P346" s="324"/>
    </row>
    <row r="347" spans="1:16" x14ac:dyDescent="0.3">
      <c r="A347" s="5"/>
      <c r="B347" s="667"/>
      <c r="C347" s="26"/>
      <c r="D347" s="79"/>
      <c r="P347" s="324"/>
    </row>
    <row r="348" spans="1:16" x14ac:dyDescent="0.3">
      <c r="A348" s="5"/>
      <c r="B348" s="667"/>
      <c r="C348" s="26"/>
      <c r="D348" s="79"/>
      <c r="P348" s="324"/>
    </row>
    <row r="349" spans="1:16" x14ac:dyDescent="0.3">
      <c r="A349" s="5"/>
      <c r="B349" s="667"/>
      <c r="C349" s="26"/>
      <c r="D349" s="79"/>
      <c r="P349" s="324"/>
    </row>
    <row r="350" spans="1:16" x14ac:dyDescent="0.3">
      <c r="A350" s="5"/>
      <c r="B350" s="667"/>
      <c r="C350" s="26"/>
      <c r="D350" s="79"/>
      <c r="P350" s="324"/>
    </row>
    <row r="351" spans="1:16" x14ac:dyDescent="0.3">
      <c r="A351" s="5"/>
      <c r="B351" s="667"/>
      <c r="C351" s="26"/>
      <c r="D351" s="79"/>
      <c r="P351" s="324"/>
    </row>
    <row r="352" spans="1:16" x14ac:dyDescent="0.3">
      <c r="A352" s="5"/>
      <c r="B352" s="667"/>
      <c r="C352" s="26"/>
      <c r="D352" s="79"/>
      <c r="P352" s="324"/>
    </row>
    <row r="353" spans="1:16" x14ac:dyDescent="0.3">
      <c r="A353" s="5"/>
      <c r="B353" s="667"/>
      <c r="C353" s="26"/>
      <c r="D353" s="79"/>
      <c r="P353" s="324"/>
    </row>
    <row r="354" spans="1:16" x14ac:dyDescent="0.3">
      <c r="A354" s="5"/>
      <c r="B354" s="667"/>
      <c r="C354" s="26"/>
      <c r="D354" s="79"/>
      <c r="P354" s="324"/>
    </row>
    <row r="355" spans="1:16" x14ac:dyDescent="0.3">
      <c r="A355" s="5"/>
      <c r="B355" s="667"/>
      <c r="C355" s="26"/>
      <c r="D355" s="79"/>
      <c r="P355" s="324"/>
    </row>
    <row r="356" spans="1:16" x14ac:dyDescent="0.3">
      <c r="A356" s="5"/>
      <c r="B356" s="667"/>
      <c r="C356" s="26"/>
      <c r="D356" s="79"/>
      <c r="P356" s="324"/>
    </row>
    <row r="357" spans="1:16" x14ac:dyDescent="0.3">
      <c r="A357" s="5"/>
      <c r="B357" s="667"/>
      <c r="C357" s="26"/>
      <c r="D357" s="79"/>
      <c r="P357" s="324"/>
    </row>
    <row r="358" spans="1:16" x14ac:dyDescent="0.3">
      <c r="A358" s="5"/>
      <c r="B358" s="667"/>
      <c r="C358" s="26"/>
      <c r="D358" s="79"/>
      <c r="P358" s="324"/>
    </row>
    <row r="359" spans="1:16" x14ac:dyDescent="0.3">
      <c r="A359" s="5"/>
      <c r="B359" s="667"/>
      <c r="C359" s="26"/>
      <c r="D359" s="79"/>
      <c r="P359" s="324"/>
    </row>
    <row r="360" spans="1:16" x14ac:dyDescent="0.3">
      <c r="A360" s="5"/>
      <c r="B360" s="667"/>
      <c r="C360" s="26"/>
      <c r="D360" s="79"/>
      <c r="P360" s="324"/>
    </row>
    <row r="361" spans="1:16" x14ac:dyDescent="0.3">
      <c r="A361" s="5"/>
      <c r="B361" s="667"/>
      <c r="C361" s="26"/>
      <c r="D361" s="79"/>
      <c r="P361" s="324"/>
    </row>
    <row r="362" spans="1:16" x14ac:dyDescent="0.3">
      <c r="A362" s="5"/>
      <c r="B362" s="667"/>
      <c r="C362" s="26"/>
      <c r="D362" s="79"/>
      <c r="P362" s="324"/>
    </row>
    <row r="363" spans="1:16" x14ac:dyDescent="0.3">
      <c r="A363" s="5"/>
      <c r="B363" s="667"/>
      <c r="C363" s="26"/>
      <c r="D363" s="79"/>
      <c r="P363" s="324"/>
    </row>
    <row r="364" spans="1:16" x14ac:dyDescent="0.3">
      <c r="A364" s="5"/>
      <c r="B364" s="667"/>
      <c r="C364" s="26"/>
      <c r="D364" s="79"/>
      <c r="P364" s="324"/>
    </row>
    <row r="365" spans="1:16" x14ac:dyDescent="0.3">
      <c r="A365" s="5"/>
      <c r="B365" s="667"/>
      <c r="C365" s="26"/>
      <c r="D365" s="79"/>
      <c r="P365" s="324"/>
    </row>
    <row r="366" spans="1:16" x14ac:dyDescent="0.3">
      <c r="A366" s="5"/>
      <c r="B366" s="667"/>
      <c r="C366" s="26"/>
      <c r="D366" s="79"/>
      <c r="P366" s="324"/>
    </row>
    <row r="367" spans="1:16" x14ac:dyDescent="0.3">
      <c r="A367" s="5"/>
      <c r="B367" s="667"/>
      <c r="C367" s="26"/>
      <c r="D367" s="79"/>
      <c r="P367" s="324"/>
    </row>
    <row r="368" spans="1:16" x14ac:dyDescent="0.3">
      <c r="A368" s="5"/>
      <c r="B368" s="667"/>
      <c r="C368" s="26"/>
      <c r="D368" s="79"/>
      <c r="P368" s="324"/>
    </row>
    <row r="369" spans="1:16" x14ac:dyDescent="0.3">
      <c r="A369" s="5"/>
      <c r="B369" s="667"/>
      <c r="C369" s="26"/>
      <c r="D369" s="79"/>
      <c r="P369" s="324"/>
    </row>
    <row r="370" spans="1:16" x14ac:dyDescent="0.3">
      <c r="A370" s="5"/>
      <c r="B370" s="667"/>
      <c r="C370" s="26"/>
      <c r="D370" s="79"/>
      <c r="P370" s="324"/>
    </row>
    <row r="371" spans="1:16" x14ac:dyDescent="0.3">
      <c r="A371" s="5"/>
      <c r="B371" s="667"/>
      <c r="C371" s="26"/>
      <c r="D371" s="79"/>
      <c r="P371" s="324"/>
    </row>
    <row r="372" spans="1:16" x14ac:dyDescent="0.3">
      <c r="A372" s="5"/>
      <c r="B372" s="667"/>
      <c r="C372" s="26"/>
      <c r="D372" s="79"/>
      <c r="P372" s="324"/>
    </row>
    <row r="373" spans="1:16" x14ac:dyDescent="0.3">
      <c r="A373" s="5"/>
      <c r="B373" s="667"/>
      <c r="C373" s="26"/>
      <c r="D373" s="79"/>
      <c r="P373" s="324"/>
    </row>
    <row r="374" spans="1:16" x14ac:dyDescent="0.3">
      <c r="A374" s="5"/>
      <c r="B374" s="667"/>
      <c r="C374" s="26"/>
      <c r="D374" s="79"/>
      <c r="P374" s="324"/>
    </row>
    <row r="375" spans="1:16" x14ac:dyDescent="0.3">
      <c r="A375" s="5"/>
      <c r="B375" s="667"/>
      <c r="C375" s="26"/>
      <c r="D375" s="79"/>
      <c r="P375" s="324"/>
    </row>
    <row r="376" spans="1:16" x14ac:dyDescent="0.3">
      <c r="A376" s="5"/>
      <c r="B376" s="667"/>
      <c r="C376" s="26"/>
      <c r="D376" s="79"/>
      <c r="P376" s="324"/>
    </row>
    <row r="377" spans="1:16" x14ac:dyDescent="0.3">
      <c r="A377" s="5"/>
      <c r="B377" s="667"/>
      <c r="C377" s="26"/>
      <c r="D377" s="79"/>
      <c r="P377" s="324"/>
    </row>
    <row r="378" spans="1:16" x14ac:dyDescent="0.3">
      <c r="A378" s="5"/>
      <c r="B378" s="667"/>
      <c r="C378" s="26"/>
      <c r="D378" s="79"/>
      <c r="P378" s="324"/>
    </row>
    <row r="379" spans="1:16" x14ac:dyDescent="0.3">
      <c r="A379" s="5"/>
      <c r="B379" s="667"/>
      <c r="C379" s="26"/>
      <c r="D379" s="79"/>
      <c r="P379" s="324"/>
    </row>
    <row r="380" spans="1:16" x14ac:dyDescent="0.3">
      <c r="A380" s="5"/>
      <c r="B380" s="667"/>
      <c r="C380" s="26"/>
      <c r="D380" s="79"/>
      <c r="P380" s="324"/>
    </row>
    <row r="381" spans="1:16" x14ac:dyDescent="0.3">
      <c r="A381" s="5"/>
      <c r="B381" s="667"/>
      <c r="C381" s="26"/>
      <c r="D381" s="79"/>
      <c r="P381" s="324"/>
    </row>
    <row r="382" spans="1:16" x14ac:dyDescent="0.3">
      <c r="A382" s="5"/>
      <c r="B382" s="667"/>
      <c r="C382" s="26"/>
      <c r="D382" s="79"/>
      <c r="P382" s="324"/>
    </row>
    <row r="383" spans="1:16" x14ac:dyDescent="0.3">
      <c r="A383" s="5"/>
      <c r="B383" s="667"/>
      <c r="C383" s="26"/>
      <c r="D383" s="79"/>
      <c r="P383" s="324"/>
    </row>
    <row r="384" spans="1:16" x14ac:dyDescent="0.3">
      <c r="A384" s="5"/>
      <c r="B384" s="667"/>
      <c r="C384" s="26"/>
      <c r="D384" s="79"/>
      <c r="P384" s="324"/>
    </row>
    <row r="385" spans="1:16" x14ac:dyDescent="0.3">
      <c r="A385" s="5"/>
      <c r="B385" s="667"/>
      <c r="C385" s="26"/>
      <c r="D385" s="79"/>
      <c r="P385" s="324"/>
    </row>
    <row r="386" spans="1:16" x14ac:dyDescent="0.3">
      <c r="A386" s="5"/>
      <c r="B386" s="667"/>
      <c r="C386" s="26"/>
      <c r="D386" s="79"/>
      <c r="P386" s="324"/>
    </row>
    <row r="387" spans="1:16" x14ac:dyDescent="0.3">
      <c r="A387" s="5"/>
      <c r="B387" s="667"/>
      <c r="C387" s="26"/>
      <c r="D387" s="79"/>
      <c r="P387" s="324"/>
    </row>
    <row r="388" spans="1:16" x14ac:dyDescent="0.3">
      <c r="A388" s="5"/>
      <c r="B388" s="667"/>
      <c r="C388" s="26"/>
      <c r="D388" s="79"/>
      <c r="P388" s="324"/>
    </row>
    <row r="389" spans="1:16" x14ac:dyDescent="0.3">
      <c r="A389" s="5"/>
      <c r="B389" s="667"/>
      <c r="C389" s="26"/>
      <c r="D389" s="79"/>
      <c r="P389" s="324"/>
    </row>
    <row r="390" spans="1:16" x14ac:dyDescent="0.3">
      <c r="A390" s="5"/>
      <c r="B390" s="667"/>
      <c r="C390" s="26"/>
      <c r="D390" s="79"/>
      <c r="P390" s="324"/>
    </row>
    <row r="391" spans="1:16" x14ac:dyDescent="0.3">
      <c r="A391" s="5"/>
      <c r="B391" s="667"/>
      <c r="C391" s="26"/>
      <c r="D391" s="79"/>
      <c r="P391" s="324"/>
    </row>
    <row r="392" spans="1:16" x14ac:dyDescent="0.3">
      <c r="A392" s="5"/>
      <c r="B392" s="667"/>
      <c r="C392" s="26"/>
      <c r="D392" s="79"/>
      <c r="P392" s="324"/>
    </row>
    <row r="393" spans="1:16" x14ac:dyDescent="0.3">
      <c r="A393" s="5"/>
      <c r="B393" s="667"/>
      <c r="C393" s="26"/>
      <c r="D393" s="79"/>
      <c r="P393" s="324"/>
    </row>
    <row r="394" spans="1:16" x14ac:dyDescent="0.3">
      <c r="A394" s="5"/>
      <c r="B394" s="667"/>
      <c r="C394" s="26"/>
      <c r="D394" s="79"/>
      <c r="P394" s="324"/>
    </row>
    <row r="395" spans="1:16" x14ac:dyDescent="0.3">
      <c r="A395" s="5"/>
      <c r="B395" s="667"/>
      <c r="C395" s="26"/>
      <c r="D395" s="79"/>
      <c r="P395" s="324"/>
    </row>
    <row r="396" spans="1:16" x14ac:dyDescent="0.3">
      <c r="A396" s="5"/>
      <c r="B396" s="667"/>
      <c r="C396" s="26"/>
      <c r="D396" s="79"/>
      <c r="P396" s="324"/>
    </row>
    <row r="397" spans="1:16" x14ac:dyDescent="0.3">
      <c r="A397" s="5"/>
      <c r="B397" s="667"/>
      <c r="C397" s="26"/>
      <c r="D397" s="79"/>
      <c r="P397" s="324"/>
    </row>
    <row r="398" spans="1:16" x14ac:dyDescent="0.3">
      <c r="A398" s="5"/>
      <c r="B398" s="667"/>
      <c r="C398" s="26"/>
      <c r="D398" s="79"/>
      <c r="P398" s="324"/>
    </row>
    <row r="399" spans="1:16" x14ac:dyDescent="0.3">
      <c r="A399" s="5"/>
      <c r="B399" s="667"/>
      <c r="C399" s="26"/>
      <c r="D399" s="79"/>
      <c r="P399" s="324"/>
    </row>
    <row r="400" spans="1:16" x14ac:dyDescent="0.3">
      <c r="A400" s="5"/>
      <c r="B400" s="667"/>
      <c r="C400" s="26"/>
      <c r="D400" s="79"/>
      <c r="P400" s="324"/>
    </row>
    <row r="401" spans="1:16" x14ac:dyDescent="0.3">
      <c r="A401" s="5"/>
      <c r="B401" s="667"/>
      <c r="C401" s="26"/>
      <c r="D401" s="79"/>
      <c r="P401" s="324"/>
    </row>
    <row r="402" spans="1:16" x14ac:dyDescent="0.3">
      <c r="A402" s="5"/>
      <c r="B402" s="667"/>
      <c r="C402" s="26"/>
      <c r="D402" s="79"/>
      <c r="P402" s="324"/>
    </row>
    <row r="403" spans="1:16" x14ac:dyDescent="0.3">
      <c r="A403" s="5"/>
      <c r="B403" s="667"/>
      <c r="C403" s="26"/>
      <c r="D403" s="79"/>
      <c r="P403" s="324"/>
    </row>
    <row r="404" spans="1:16" x14ac:dyDescent="0.3">
      <c r="A404" s="5"/>
      <c r="B404" s="667"/>
      <c r="C404" s="26"/>
      <c r="D404" s="79"/>
      <c r="P404" s="324"/>
    </row>
    <row r="405" spans="1:16" x14ac:dyDescent="0.3">
      <c r="A405" s="5"/>
      <c r="B405" s="667"/>
      <c r="C405" s="26"/>
      <c r="D405" s="79"/>
      <c r="P405" s="324"/>
    </row>
    <row r="406" spans="1:16" x14ac:dyDescent="0.3">
      <c r="A406" s="5"/>
      <c r="B406" s="667"/>
      <c r="C406" s="26"/>
      <c r="D406" s="79"/>
      <c r="P406" s="324"/>
    </row>
    <row r="407" spans="1:16" x14ac:dyDescent="0.3">
      <c r="A407" s="5"/>
      <c r="B407" s="667"/>
      <c r="C407" s="26"/>
      <c r="D407" s="79"/>
      <c r="P407" s="324"/>
    </row>
    <row r="408" spans="1:16" x14ac:dyDescent="0.3">
      <c r="A408" s="5"/>
      <c r="B408" s="667"/>
      <c r="C408" s="26"/>
      <c r="D408" s="79"/>
      <c r="P408" s="324"/>
    </row>
    <row r="409" spans="1:16" x14ac:dyDescent="0.3">
      <c r="A409" s="5"/>
      <c r="B409" s="667"/>
      <c r="C409" s="26"/>
      <c r="D409" s="79"/>
      <c r="P409" s="324"/>
    </row>
    <row r="410" spans="1:16" x14ac:dyDescent="0.3">
      <c r="A410" s="5"/>
      <c r="B410" s="667"/>
      <c r="C410" s="26"/>
      <c r="D410" s="79"/>
      <c r="P410" s="324"/>
    </row>
    <row r="411" spans="1:16" x14ac:dyDescent="0.3">
      <c r="A411" s="5"/>
      <c r="B411" s="667"/>
      <c r="C411" s="26"/>
      <c r="D411" s="79"/>
      <c r="P411" s="324"/>
    </row>
    <row r="412" spans="1:16" x14ac:dyDescent="0.3">
      <c r="A412" s="5"/>
      <c r="B412" s="667"/>
      <c r="C412" s="26"/>
      <c r="D412" s="79"/>
      <c r="P412" s="324"/>
    </row>
    <row r="413" spans="1:16" x14ac:dyDescent="0.3">
      <c r="A413" s="5"/>
      <c r="B413" s="667"/>
      <c r="C413" s="26"/>
      <c r="D413" s="79"/>
      <c r="P413" s="324"/>
    </row>
    <row r="414" spans="1:16" x14ac:dyDescent="0.3">
      <c r="A414" s="5"/>
      <c r="B414" s="667"/>
      <c r="C414" s="26"/>
      <c r="D414" s="79"/>
      <c r="P414" s="324"/>
    </row>
    <row r="415" spans="1:16" x14ac:dyDescent="0.3">
      <c r="A415" s="5"/>
      <c r="B415" s="667"/>
      <c r="C415" s="26"/>
      <c r="D415" s="79"/>
      <c r="P415" s="324"/>
    </row>
    <row r="416" spans="1:16" x14ac:dyDescent="0.3">
      <c r="A416" s="5"/>
      <c r="B416" s="667"/>
      <c r="C416" s="26"/>
      <c r="D416" s="79"/>
      <c r="P416" s="324"/>
    </row>
    <row r="417" spans="1:16" x14ac:dyDescent="0.3">
      <c r="A417" s="5"/>
      <c r="B417" s="667"/>
      <c r="C417" s="26"/>
      <c r="D417" s="79"/>
      <c r="P417" s="324"/>
    </row>
    <row r="418" spans="1:16" x14ac:dyDescent="0.3">
      <c r="A418" s="5"/>
      <c r="B418" s="667"/>
      <c r="C418" s="26"/>
      <c r="D418" s="79"/>
      <c r="P418" s="324"/>
    </row>
    <row r="419" spans="1:16" x14ac:dyDescent="0.3">
      <c r="A419" s="5"/>
      <c r="B419" s="667"/>
      <c r="C419" s="26"/>
      <c r="D419" s="79"/>
      <c r="P419" s="324"/>
    </row>
    <row r="420" spans="1:16" x14ac:dyDescent="0.3">
      <c r="A420" s="5"/>
      <c r="B420" s="667"/>
      <c r="C420" s="26"/>
      <c r="D420" s="79"/>
      <c r="P420" s="324"/>
    </row>
    <row r="421" spans="1:16" x14ac:dyDescent="0.3">
      <c r="A421" s="5"/>
      <c r="B421" s="667"/>
      <c r="C421" s="26"/>
      <c r="D421" s="79"/>
      <c r="P421" s="324"/>
    </row>
    <row r="422" spans="1:16" x14ac:dyDescent="0.3">
      <c r="A422" s="5"/>
      <c r="B422" s="667"/>
      <c r="C422" s="26"/>
      <c r="D422" s="79"/>
      <c r="P422" s="324"/>
    </row>
    <row r="423" spans="1:16" x14ac:dyDescent="0.3">
      <c r="A423" s="5"/>
      <c r="B423" s="667"/>
      <c r="C423" s="26"/>
      <c r="D423" s="79"/>
      <c r="P423" s="324"/>
    </row>
    <row r="424" spans="1:16" x14ac:dyDescent="0.3">
      <c r="A424" s="5"/>
      <c r="B424" s="667"/>
      <c r="C424" s="26"/>
      <c r="D424" s="79"/>
      <c r="P424" s="324"/>
    </row>
    <row r="425" spans="1:16" x14ac:dyDescent="0.3">
      <c r="A425" s="5"/>
      <c r="B425" s="667"/>
      <c r="C425" s="26"/>
      <c r="D425" s="79"/>
      <c r="P425" s="324"/>
    </row>
    <row r="426" spans="1:16" x14ac:dyDescent="0.3">
      <c r="A426" s="5"/>
      <c r="B426" s="667"/>
      <c r="C426" s="26"/>
      <c r="D426" s="79"/>
      <c r="P426" s="324"/>
    </row>
    <row r="427" spans="1:16" x14ac:dyDescent="0.3">
      <c r="A427" s="5"/>
      <c r="B427" s="667"/>
      <c r="C427" s="26"/>
      <c r="D427" s="79"/>
      <c r="P427" s="324"/>
    </row>
    <row r="428" spans="1:16" x14ac:dyDescent="0.3">
      <c r="A428" s="5"/>
      <c r="B428" s="667"/>
      <c r="C428" s="26"/>
      <c r="D428" s="79"/>
      <c r="P428" s="324"/>
    </row>
    <row r="429" spans="1:16" x14ac:dyDescent="0.3">
      <c r="A429" s="5"/>
      <c r="B429" s="667"/>
      <c r="C429" s="26"/>
      <c r="D429" s="79"/>
    </row>
    <row r="430" spans="1:16" x14ac:dyDescent="0.3">
      <c r="A430" s="5"/>
      <c r="B430" s="667"/>
      <c r="C430" s="26"/>
      <c r="D430" s="79"/>
      <c r="P430" s="324"/>
    </row>
    <row r="431" spans="1:16" x14ac:dyDescent="0.3">
      <c r="A431" s="5"/>
      <c r="B431" s="667"/>
      <c r="C431" s="26"/>
      <c r="D431" s="79"/>
    </row>
    <row r="432" spans="1:16" x14ac:dyDescent="0.3">
      <c r="A432" s="5"/>
      <c r="B432" s="667"/>
      <c r="C432" s="26"/>
      <c r="D432" s="79"/>
    </row>
    <row r="433" spans="1:4" x14ac:dyDescent="0.3">
      <c r="A433" s="5"/>
      <c r="B433" s="667"/>
      <c r="C433" s="26"/>
      <c r="D433" s="79"/>
    </row>
    <row r="434" spans="1:4" x14ac:dyDescent="0.3">
      <c r="A434" s="5"/>
      <c r="B434" s="667"/>
      <c r="C434" s="26"/>
      <c r="D434" s="79"/>
    </row>
    <row r="435" spans="1:4" x14ac:dyDescent="0.3">
      <c r="A435" s="5"/>
      <c r="B435" s="667"/>
      <c r="C435" s="26"/>
      <c r="D435" s="79"/>
    </row>
    <row r="436" spans="1:4" x14ac:dyDescent="0.3">
      <c r="A436" s="5"/>
      <c r="B436" s="667"/>
      <c r="C436" s="26"/>
      <c r="D436" s="79"/>
    </row>
    <row r="437" spans="1:4" x14ac:dyDescent="0.3">
      <c r="A437" s="5"/>
      <c r="B437" s="667"/>
      <c r="C437" s="26"/>
      <c r="D437" s="79"/>
    </row>
    <row r="438" spans="1:4" x14ac:dyDescent="0.3">
      <c r="A438" s="5"/>
      <c r="B438" s="667"/>
      <c r="C438" s="26"/>
      <c r="D438" s="79"/>
    </row>
    <row r="439" spans="1:4" x14ac:dyDescent="0.3">
      <c r="A439" s="5"/>
      <c r="B439" s="667"/>
      <c r="C439" s="26"/>
      <c r="D439" s="79"/>
    </row>
    <row r="440" spans="1:4" x14ac:dyDescent="0.3">
      <c r="A440" s="5"/>
      <c r="B440" s="667"/>
      <c r="C440" s="26"/>
      <c r="D440" s="79"/>
    </row>
    <row r="441" spans="1:4" x14ac:dyDescent="0.3">
      <c r="A441" s="5"/>
      <c r="B441" s="667"/>
      <c r="C441" s="26"/>
      <c r="D441" s="79"/>
    </row>
    <row r="442" spans="1:4" x14ac:dyDescent="0.3">
      <c r="A442" s="5"/>
      <c r="B442" s="66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50" priority="93" stopIfTrue="1" operator="notEqual">
      <formula>0</formula>
    </cfRule>
  </conditionalFormatting>
  <conditionalFormatting sqref="G34">
    <cfRule type="cellIs" dxfId="49" priority="92" stopIfTrue="1" operator="notEqual">
      <formula>0</formula>
    </cfRule>
  </conditionalFormatting>
  <conditionalFormatting sqref="G65">
    <cfRule type="cellIs" dxfId="48" priority="91" stopIfTrue="1" operator="notEqual">
      <formula>0</formula>
    </cfRule>
  </conditionalFormatting>
  <conditionalFormatting sqref="G79">
    <cfRule type="cellIs" dxfId="47" priority="90" stopIfTrue="1" operator="notEqual">
      <formula>0</formula>
    </cfRule>
  </conditionalFormatting>
  <conditionalFormatting sqref="G80:G90">
    <cfRule type="cellIs" dxfId="46" priority="89" stopIfTrue="1" operator="notEqual">
      <formula>0</formula>
    </cfRule>
  </conditionalFormatting>
  <conditionalFormatting sqref="G133">
    <cfRule type="cellIs" dxfId="45" priority="88" stopIfTrue="1" operator="notEqual">
      <formula>0</formula>
    </cfRule>
  </conditionalFormatting>
  <conditionalFormatting sqref="G151">
    <cfRule type="cellIs" dxfId="44" priority="87" stopIfTrue="1" operator="notEqual">
      <formula>0</formula>
    </cfRule>
  </conditionalFormatting>
  <conditionalFormatting sqref="G163">
    <cfRule type="cellIs" dxfId="43" priority="86" stopIfTrue="1" operator="notEqual">
      <formula>0</formula>
    </cfRule>
  </conditionalFormatting>
  <conditionalFormatting sqref="G164">
    <cfRule type="cellIs" dxfId="42" priority="85" stopIfTrue="1" operator="notEqual">
      <formula>0</formula>
    </cfRule>
  </conditionalFormatting>
  <conditionalFormatting sqref="G178">
    <cfRule type="cellIs" dxfId="41" priority="84" stopIfTrue="1" operator="notEqual">
      <formula>0</formula>
    </cfRule>
  </conditionalFormatting>
  <conditionalFormatting sqref="G179">
    <cfRule type="cellIs" dxfId="40" priority="83" stopIfTrue="1" operator="notEqual">
      <formula>0</formula>
    </cfRule>
  </conditionalFormatting>
  <conditionalFormatting sqref="H237:H239">
    <cfRule type="cellIs" priority="79" stopIfTrue="1" operator="equal">
      <formula>";;;"</formula>
    </cfRule>
  </conditionalFormatting>
  <conditionalFormatting sqref="H237">
    <cfRule type="cellIs" dxfId="39" priority="78" stopIfTrue="1" operator="equal">
      <formula>0</formula>
    </cfRule>
  </conditionalFormatting>
  <conditionalFormatting sqref="H238">
    <cfRule type="cellIs" dxfId="38" priority="77" stopIfTrue="1" operator="equal">
      <formula>0</formula>
    </cfRule>
  </conditionalFormatting>
  <conditionalFormatting sqref="H239">
    <cfRule type="cellIs" dxfId="37" priority="76" stopIfTrue="1" operator="equal">
      <formula>0</formula>
    </cfRule>
  </conditionalFormatting>
  <conditionalFormatting sqref="H239">
    <cfRule type="cellIs" dxfId="36" priority="75" stopIfTrue="1" operator="equal">
      <formula>0</formula>
    </cfRule>
  </conditionalFormatting>
  <conditionalFormatting sqref="H237">
    <cfRule type="cellIs" dxfId="35" priority="74" stopIfTrue="1" operator="equal">
      <formula>0</formula>
    </cfRule>
  </conditionalFormatting>
  <conditionalFormatting sqref="G21">
    <cfRule type="cellIs" dxfId="34" priority="73" stopIfTrue="1" operator="notEqual">
      <formula>0</formula>
    </cfRule>
  </conditionalFormatting>
  <conditionalFormatting sqref="G7">
    <cfRule type="containsText" dxfId="33" priority="71" stopIfTrue="1" operator="containsText" text="Included in error count">
      <formula>NOT(ISERROR(SEARCH("Included in error count",G7)))</formula>
    </cfRule>
    <cfRule type="cellIs" dxfId="32" priority="72" stopIfTrue="1" operator="equal">
      <formula>1</formula>
    </cfRule>
  </conditionalFormatting>
  <conditionalFormatting sqref="G55">
    <cfRule type="containsText" dxfId="31" priority="69" stopIfTrue="1" operator="containsText" text="Included in error count">
      <formula>NOT(ISERROR(SEARCH("Included in error count",G55)))</formula>
    </cfRule>
    <cfRule type="cellIs" dxfId="30" priority="70" stopIfTrue="1" operator="equal">
      <formula>1</formula>
    </cfRule>
  </conditionalFormatting>
  <conditionalFormatting sqref="G120:G121">
    <cfRule type="containsText" dxfId="29" priority="67" stopIfTrue="1" operator="containsText" text="Included in error count">
      <formula>NOT(ISERROR(SEARCH("Included in error count",G120)))</formula>
    </cfRule>
    <cfRule type="cellIs" dxfId="28" priority="68" stopIfTrue="1" operator="equal">
      <formula>1</formula>
    </cfRule>
  </conditionalFormatting>
  <conditionalFormatting sqref="G122">
    <cfRule type="containsText" dxfId="27" priority="65" stopIfTrue="1" operator="containsText" text="Included in error count">
      <formula>NOT(ISERROR(SEARCH("Included in error count",G122)))</formula>
    </cfRule>
    <cfRule type="cellIs" dxfId="26" priority="66" stopIfTrue="1" operator="equal">
      <formula>1</formula>
    </cfRule>
  </conditionalFormatting>
  <conditionalFormatting sqref="G131">
    <cfRule type="containsText" dxfId="25" priority="61" stopIfTrue="1" operator="containsText" text="Included in error count">
      <formula>NOT(ISERROR(SEARCH("Included in error count",G131)))</formula>
    </cfRule>
    <cfRule type="cellIs" dxfId="24" priority="62" stopIfTrue="1" operator="equal">
      <formula>1</formula>
    </cfRule>
  </conditionalFormatting>
  <conditionalFormatting sqref="G153">
    <cfRule type="containsText" dxfId="23" priority="57" stopIfTrue="1" operator="containsText" text="Included in error count">
      <formula>NOT(ISERROR(SEARCH("Included in error count",G153)))</formula>
    </cfRule>
    <cfRule type="cellIs" dxfId="22" priority="58" stopIfTrue="1" operator="equal">
      <formula>1</formula>
    </cfRule>
  </conditionalFormatting>
  <conditionalFormatting sqref="G237">
    <cfRule type="containsText" dxfId="21" priority="46" stopIfTrue="1" operator="containsText" text="Included in error count">
      <formula>NOT(ISERROR(SEARCH("Included in error count",G237)))</formula>
    </cfRule>
    <cfRule type="cellIs" dxfId="20" priority="47" stopIfTrue="1" operator="equal">
      <formula>1</formula>
    </cfRule>
  </conditionalFormatting>
  <conditionalFormatting sqref="G238">
    <cfRule type="containsText" dxfId="19" priority="44" stopIfTrue="1" operator="containsText" text="Included in error count">
      <formula>NOT(ISERROR(SEARCH("Included in error count",G238)))</formula>
    </cfRule>
    <cfRule type="cellIs" dxfId="18" priority="45" stopIfTrue="1" operator="equal">
      <formula>1</formula>
    </cfRule>
  </conditionalFormatting>
  <conditionalFormatting sqref="G239">
    <cfRule type="containsText" dxfId="17" priority="42" stopIfTrue="1" operator="containsText" text="Included in error count">
      <formula>NOT(ISERROR(SEARCH("Included in error count",G239)))</formula>
    </cfRule>
    <cfRule type="cellIs" dxfId="16" priority="43" stopIfTrue="1" operator="equal">
      <formula>1</formula>
    </cfRule>
  </conditionalFormatting>
  <conditionalFormatting sqref="G168">
    <cfRule type="containsText" dxfId="15" priority="40" stopIfTrue="1" operator="containsText" text="Included in error count">
      <formula>NOT(ISERROR(SEARCH("Included in error count",G168)))</formula>
    </cfRule>
    <cfRule type="cellIs" dxfId="1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0"/>
  <sheetViews>
    <sheetView showGridLines="0" zoomScale="70" zoomScaleNormal="70" workbookViewId="0">
      <selection activeCell="A2" sqref="A2:H2"/>
    </sheetView>
  </sheetViews>
  <sheetFormatPr defaultColWidth="9.109375" defaultRowHeight="14.4" x14ac:dyDescent="0.3"/>
  <cols>
    <col min="1" max="1" width="44.5546875" style="954" customWidth="1"/>
    <col min="2" max="2" width="17.109375" style="954" customWidth="1"/>
    <col min="3" max="3" width="19" style="954" customWidth="1"/>
    <col min="4" max="4" width="19.109375" style="954" customWidth="1"/>
    <col min="5" max="5" width="15.109375" style="954" customWidth="1"/>
    <col min="6" max="6" width="12.88671875" style="954" customWidth="1"/>
    <col min="7" max="7" width="43.88671875" style="974" hidden="1" customWidth="1"/>
    <col min="8" max="8" width="77.5546875" style="954" customWidth="1"/>
    <col min="9" max="9" width="91" style="955" customWidth="1"/>
    <col min="10" max="10" width="46.109375" style="955" customWidth="1"/>
    <col min="11" max="11" width="9.109375" style="955" hidden="1" customWidth="1"/>
    <col min="12" max="12" width="36.88671875" style="270" hidden="1" customWidth="1"/>
    <col min="13" max="14" width="15.6640625" style="270" hidden="1" customWidth="1"/>
    <col min="15" max="15" width="56.33203125" style="270" customWidth="1"/>
    <col min="16" max="16" width="11.109375" style="953" customWidth="1"/>
    <col min="17" max="18" width="9.109375" style="954" customWidth="1"/>
    <col min="19" max="16384" width="9.109375" style="954"/>
  </cols>
  <sheetData>
    <row r="1" spans="1:81" ht="40.5" customHeight="1" thickBot="1" x14ac:dyDescent="0.35">
      <c r="A1" s="1186" t="s">
        <v>1375</v>
      </c>
      <c r="B1" s="1187"/>
      <c r="C1" s="1187"/>
      <c r="D1" s="1187"/>
      <c r="E1" s="1187"/>
      <c r="F1" s="1187"/>
      <c r="G1" s="1187"/>
      <c r="H1" s="1188"/>
      <c r="I1" s="1171" t="s">
        <v>1384</v>
      </c>
      <c r="J1" s="1172"/>
      <c r="K1" s="968"/>
    </row>
    <row r="2" spans="1:81" ht="72" customHeight="1" thickBot="1" x14ac:dyDescent="0.35">
      <c r="A2" s="1189" t="s">
        <v>1376</v>
      </c>
      <c r="B2" s="1190"/>
      <c r="C2" s="1190"/>
      <c r="D2" s="1190"/>
      <c r="E2" s="1190"/>
      <c r="F2" s="1190"/>
      <c r="G2" s="1190"/>
      <c r="H2" s="1191"/>
      <c r="I2" s="1173" t="s">
        <v>1383</v>
      </c>
      <c r="J2" s="1177" t="s">
        <v>1109</v>
      </c>
      <c r="K2" s="978"/>
    </row>
    <row r="3" spans="1:81" ht="15" customHeight="1" x14ac:dyDescent="0.3">
      <c r="A3" s="1099" t="s">
        <v>801</v>
      </c>
      <c r="B3" s="1100"/>
      <c r="C3" s="1100"/>
      <c r="D3" s="1100"/>
      <c r="E3" s="1101"/>
      <c r="F3" s="1101"/>
      <c r="G3" s="1192"/>
      <c r="H3" s="1193"/>
      <c r="I3" s="1174"/>
      <c r="J3" s="1178"/>
      <c r="K3" s="978"/>
    </row>
    <row r="4" spans="1:81" ht="21.75" customHeight="1" x14ac:dyDescent="0.3">
      <c r="A4" s="956" t="s">
        <v>869</v>
      </c>
      <c r="B4" s="1194" t="str">
        <f>'Unit Data from Audit Worksheet'!D2</f>
        <v>Select Unit Name from Drop Down List</v>
      </c>
      <c r="C4" s="1194"/>
      <c r="D4" s="1194"/>
      <c r="E4" s="1195" t="s">
        <v>1377</v>
      </c>
      <c r="F4" s="1196"/>
      <c r="G4" s="957"/>
      <c r="H4" s="1199" t="s">
        <v>804</v>
      </c>
      <c r="I4" s="1175"/>
      <c r="J4" s="1178"/>
      <c r="K4" s="979"/>
      <c r="L4" s="958"/>
    </row>
    <row r="5" spans="1:81" ht="21" customHeight="1" thickBot="1" x14ac:dyDescent="0.35">
      <c r="A5" s="956" t="s">
        <v>803</v>
      </c>
      <c r="B5" s="1201" t="e">
        <f>'Unit Data from Audit Worksheet'!D3</f>
        <v>#N/A</v>
      </c>
      <c r="C5" s="1201"/>
      <c r="D5" s="1201"/>
      <c r="E5" s="1197"/>
      <c r="F5" s="1198"/>
      <c r="G5" s="1075"/>
      <c r="H5" s="1200"/>
      <c r="I5" s="1176"/>
      <c r="J5" s="1179"/>
      <c r="K5" s="952"/>
      <c r="L5" s="170" t="s">
        <v>835</v>
      </c>
    </row>
    <row r="6" spans="1:81" s="270" customFormat="1" ht="18.600000000000001" thickBot="1" x14ac:dyDescent="0.35">
      <c r="A6" s="1104"/>
      <c r="B6" s="963"/>
      <c r="C6" s="963"/>
      <c r="D6" s="963"/>
      <c r="E6" s="964"/>
      <c r="F6" s="963"/>
      <c r="G6" s="965"/>
      <c r="H6" s="1103"/>
      <c r="I6" s="1102"/>
      <c r="J6" s="975"/>
      <c r="K6" s="955"/>
      <c r="N6" s="959"/>
      <c r="P6" s="953"/>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c r="AT6" s="954"/>
      <c r="AU6" s="954"/>
      <c r="AV6" s="954"/>
      <c r="AW6" s="954"/>
      <c r="AX6" s="954"/>
      <c r="AY6" s="954"/>
      <c r="AZ6" s="954"/>
      <c r="BA6" s="954"/>
      <c r="BB6" s="954"/>
      <c r="BC6" s="954"/>
      <c r="BD6" s="954"/>
      <c r="BE6" s="954"/>
      <c r="BF6" s="954"/>
      <c r="BG6" s="954"/>
      <c r="BH6" s="954"/>
      <c r="BI6" s="954"/>
      <c r="BJ6" s="954"/>
      <c r="BK6" s="954"/>
      <c r="BL6" s="954"/>
      <c r="BM6" s="954"/>
      <c r="BN6" s="954"/>
      <c r="BO6" s="954"/>
      <c r="BP6" s="954"/>
      <c r="BQ6" s="954"/>
      <c r="BR6" s="954"/>
      <c r="BS6" s="954"/>
      <c r="BT6" s="954"/>
      <c r="BU6" s="954"/>
      <c r="BV6" s="954"/>
      <c r="BW6" s="954"/>
      <c r="BX6" s="954"/>
      <c r="BY6" s="954"/>
      <c r="BZ6" s="954"/>
      <c r="CA6" s="954"/>
      <c r="CB6" s="954"/>
      <c r="CC6" s="954"/>
    </row>
    <row r="7" spans="1:81" s="270" customFormat="1" ht="18.600000000000001" thickBot="1" x14ac:dyDescent="0.35">
      <c r="A7" s="1183" t="s">
        <v>1379</v>
      </c>
      <c r="B7" s="1184"/>
      <c r="C7" s="1184"/>
      <c r="D7" s="1077" t="s">
        <v>1378</v>
      </c>
      <c r="E7" s="1078" t="s">
        <v>1380</v>
      </c>
      <c r="F7" s="1079"/>
      <c r="G7" s="1076"/>
      <c r="H7" s="966"/>
      <c r="I7" s="983"/>
      <c r="J7" s="966"/>
      <c r="K7" s="952"/>
      <c r="P7" s="953"/>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954"/>
      <c r="BI7" s="954"/>
      <c r="BJ7" s="954"/>
      <c r="BK7" s="954"/>
      <c r="BL7" s="954"/>
      <c r="BM7" s="954"/>
      <c r="BN7" s="954"/>
      <c r="BO7" s="954"/>
      <c r="BP7" s="954"/>
      <c r="BQ7" s="954"/>
      <c r="BR7" s="954"/>
      <c r="BS7" s="954"/>
      <c r="BT7" s="954"/>
      <c r="BU7" s="954"/>
      <c r="BV7" s="954"/>
      <c r="BW7" s="954"/>
      <c r="BX7" s="954"/>
      <c r="BY7" s="954"/>
      <c r="BZ7" s="954"/>
      <c r="CA7" s="954"/>
      <c r="CB7" s="954"/>
      <c r="CC7" s="954"/>
    </row>
    <row r="8" spans="1:81" s="270" customFormat="1" ht="92.25" customHeight="1" thickBot="1" x14ac:dyDescent="0.35">
      <c r="A8" s="1185" t="s">
        <v>1386</v>
      </c>
      <c r="B8" s="1185"/>
      <c r="C8" s="1185"/>
      <c r="D8" s="967" t="b">
        <f>IF(Import!L258=1,"Yes",IF(Import!L258=2,"No"))</f>
        <v>0</v>
      </c>
      <c r="E8" s="961" t="s">
        <v>1387</v>
      </c>
      <c r="F8" s="967" t="b">
        <f>D8</f>
        <v>0</v>
      </c>
      <c r="G8" s="962"/>
      <c r="H8" s="980" t="s">
        <v>1381</v>
      </c>
      <c r="I8" s="981" t="s">
        <v>824</v>
      </c>
      <c r="J8" s="982"/>
      <c r="K8" s="952"/>
      <c r="P8" s="953"/>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row>
    <row r="9" spans="1:81" s="270" customFormat="1" ht="68.25" customHeight="1" thickBot="1" x14ac:dyDescent="0.35">
      <c r="A9" s="1180" t="s">
        <v>806</v>
      </c>
      <c r="B9" s="1181"/>
      <c r="C9" s="1182"/>
      <c r="D9" s="970" t="e">
        <f>+M9+N9+L9+Import!L250+Import!L251+Import!L254</f>
        <v>#VALUE!</v>
      </c>
      <c r="E9" s="969"/>
      <c r="F9" s="971"/>
      <c r="G9" s="962"/>
      <c r="H9" s="977" t="s">
        <v>1382</v>
      </c>
      <c r="I9" s="981" t="s">
        <v>825</v>
      </c>
      <c r="J9" s="982"/>
      <c r="K9" s="952"/>
      <c r="L9" s="960">
        <f>IF(Import!L247=1,1,0)</f>
        <v>0</v>
      </c>
      <c r="M9" s="960">
        <f>IF(Import!L248=1,1,0)</f>
        <v>0</v>
      </c>
      <c r="N9" s="960">
        <f>IF(Import!L249=1,1,0)</f>
        <v>0</v>
      </c>
      <c r="P9" s="953"/>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row>
    <row r="10" spans="1:81" s="955" customFormat="1" x14ac:dyDescent="0.3">
      <c r="A10" s="972"/>
      <c r="B10" s="972"/>
      <c r="C10" s="972"/>
      <c r="D10" s="972"/>
      <c r="E10" s="972"/>
      <c r="F10" s="972"/>
      <c r="G10" s="973"/>
      <c r="H10" s="972"/>
      <c r="I10" s="976"/>
      <c r="J10" s="976"/>
      <c r="L10" s="270"/>
      <c r="M10" s="270"/>
      <c r="N10" s="270"/>
      <c r="O10" s="270"/>
      <c r="P10" s="953"/>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BO10" s="954"/>
      <c r="BP10" s="954"/>
      <c r="BQ10" s="954"/>
      <c r="BR10" s="954"/>
      <c r="BS10" s="954"/>
      <c r="BT10" s="954"/>
      <c r="BU10" s="954"/>
      <c r="BV10" s="954"/>
      <c r="BW10" s="954"/>
      <c r="BX10" s="954"/>
      <c r="BY10" s="954"/>
      <c r="BZ10" s="954"/>
      <c r="CA10" s="954"/>
      <c r="CB10" s="954"/>
      <c r="CC10" s="954"/>
    </row>
  </sheetData>
  <mergeCells count="13">
    <mergeCell ref="I1:J1"/>
    <mergeCell ref="I2:I5"/>
    <mergeCell ref="J2:J5"/>
    <mergeCell ref="A9:C9"/>
    <mergeCell ref="A7:C7"/>
    <mergeCell ref="A8:C8"/>
    <mergeCell ref="A1:H1"/>
    <mergeCell ref="A2:H2"/>
    <mergeCell ref="G3:H3"/>
    <mergeCell ref="B4:D4"/>
    <mergeCell ref="E4:F5"/>
    <mergeCell ref="H4:H5"/>
    <mergeCell ref="B5:D5"/>
  </mergeCells>
  <conditionalFormatting sqref="F8">
    <cfRule type="cellIs" dxfId="13" priority="21" operator="equal">
      <formula>"No"</formula>
    </cfRule>
  </conditionalFormatting>
  <conditionalFormatting sqref="F9">
    <cfRule type="expression" dxfId="12" priority="9">
      <formula>$D$9&gt;0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9" sqref="A9:C9"/>
      <selection pane="bottomLeft" activeCell="A9" sqref="A9:C9"/>
    </sheetView>
  </sheetViews>
  <sheetFormatPr defaultColWidth="9.109375" defaultRowHeight="14.4" x14ac:dyDescent="0.3"/>
  <cols>
    <col min="1" max="1" width="44.5546875" style="488" customWidth="1"/>
    <col min="2" max="2" width="17.33203125" style="488" customWidth="1"/>
    <col min="3" max="3" width="17.88671875" style="488" customWidth="1"/>
    <col min="4" max="4" width="20.88671875" style="488" customWidth="1"/>
    <col min="5" max="5" width="16.109375" style="488" customWidth="1"/>
    <col min="6" max="6" width="14.88671875" style="488" customWidth="1"/>
    <col min="7" max="7" width="46.109375" style="495" customWidth="1"/>
    <col min="8" max="8" width="77.5546875" style="488" customWidth="1"/>
    <col min="9" max="9" width="34" style="488" customWidth="1"/>
    <col min="10" max="10" width="9.109375" style="488" customWidth="1"/>
    <col min="11" max="11" width="36.88671875" style="488" customWidth="1"/>
    <col min="12" max="12" width="15" style="488" customWidth="1"/>
    <col min="13" max="13" width="11.88671875" style="488" customWidth="1"/>
    <col min="14" max="24" width="9.109375" style="488" customWidth="1"/>
    <col min="25" max="25" width="9.109375" style="295" customWidth="1"/>
    <col min="26" max="26" width="36.88671875" style="546" hidden="1" customWidth="1"/>
    <col min="27" max="16384" width="9.109375" style="488"/>
  </cols>
  <sheetData>
    <row r="1" spans="1:78" x14ac:dyDescent="0.3">
      <c r="A1" s="489" t="s">
        <v>801</v>
      </c>
      <c r="B1" s="490"/>
      <c r="C1" s="490"/>
      <c r="D1" s="490"/>
      <c r="E1" s="491" t="s">
        <v>802</v>
      </c>
      <c r="F1" s="491">
        <v>2021</v>
      </c>
      <c r="G1" s="1204"/>
      <c r="H1" s="1205"/>
      <c r="I1" s="492"/>
      <c r="Z1" s="539" t="s">
        <v>1066</v>
      </c>
    </row>
    <row r="2" spans="1:78" ht="98.25" customHeight="1" x14ac:dyDescent="0.3">
      <c r="A2" s="493" t="s">
        <v>869</v>
      </c>
      <c r="B2" s="1206" t="str">
        <f>'Unit Data from Audit Worksheet'!D2</f>
        <v>Select Unit Name from Drop Down List</v>
      </c>
      <c r="C2" s="1206"/>
      <c r="D2" s="1206"/>
      <c r="E2" s="1210" t="s">
        <v>1310</v>
      </c>
      <c r="F2" s="1210"/>
      <c r="G2" s="1210"/>
      <c r="H2" s="1207" t="s">
        <v>1072</v>
      </c>
      <c r="I2" s="494"/>
      <c r="J2" s="495"/>
      <c r="K2" s="496"/>
      <c r="Z2" s="162"/>
    </row>
    <row r="3" spans="1:78" ht="38.25" customHeight="1" x14ac:dyDescent="0.3">
      <c r="A3" s="497" t="s">
        <v>803</v>
      </c>
      <c r="B3" s="1209" t="e">
        <f>'Unit Data from Audit Worksheet'!D3</f>
        <v>#N/A</v>
      </c>
      <c r="C3" s="1209"/>
      <c r="D3" s="1209"/>
      <c r="E3" s="1211"/>
      <c r="F3" s="1211"/>
      <c r="G3" s="1211"/>
      <c r="H3" s="1208"/>
      <c r="I3" s="492"/>
      <c r="K3" s="498" t="s">
        <v>835</v>
      </c>
      <c r="Z3" s="162"/>
    </row>
    <row r="4" spans="1:78" ht="106.5" customHeight="1" x14ac:dyDescent="0.3">
      <c r="A4" s="553"/>
      <c r="B4" s="554">
        <v>2019</v>
      </c>
      <c r="C4" s="554">
        <v>2020</v>
      </c>
      <c r="D4" s="554">
        <v>2021</v>
      </c>
      <c r="E4" s="555" t="s">
        <v>1070</v>
      </c>
      <c r="F4" s="554" t="s">
        <v>807</v>
      </c>
      <c r="G4" s="556"/>
      <c r="H4" s="554" t="s">
        <v>804</v>
      </c>
      <c r="I4" s="555" t="s">
        <v>1109</v>
      </c>
      <c r="J4" s="499"/>
      <c r="Z4" s="162"/>
    </row>
    <row r="5" spans="1:78" x14ac:dyDescent="0.3">
      <c r="A5" s="549" t="s">
        <v>462</v>
      </c>
      <c r="B5" s="550"/>
      <c r="C5" s="550"/>
      <c r="D5" s="550"/>
      <c r="E5" s="551"/>
      <c r="F5" s="548"/>
      <c r="G5" s="551"/>
      <c r="H5" s="550"/>
      <c r="I5" s="552"/>
      <c r="J5" s="499"/>
      <c r="K5" s="501">
        <f>+(Import!$L$72+Import!$L$77+Import!$L$74-Import!$L$75-Import!$L$76)</f>
        <v>0</v>
      </c>
      <c r="L5" s="488" t="s">
        <v>878</v>
      </c>
      <c r="Z5" s="541"/>
    </row>
    <row r="6" spans="1:78" ht="143.25" customHeight="1" x14ac:dyDescent="0.3">
      <c r="A6" s="392" t="s">
        <v>628</v>
      </c>
      <c r="B6" s="388" t="e">
        <f>HLOOKUP($B$3,'2019 Data(H)'!$E$2:$CZ$299,291,FALSE)</f>
        <v>#N/A</v>
      </c>
      <c r="C6" s="388" t="e">
        <f>HLOOKUP($B$2,'2020 Data(H)'!$E$1:$CZ$426,339,FALSE)</f>
        <v>#N/A</v>
      </c>
      <c r="D6" s="388" t="str">
        <f>IFERROR((Import!$L$52+Import!$L$53-Import!$L$57-Import!$L$58-Import!$L$230-Import!$L$62+Import!$L$89)/(Import!$L$72+Import!$L$77+Import!$L$74-Import!$L$75-Import!$L$76),"")</f>
        <v/>
      </c>
      <c r="E6" s="526" t="b">
        <f>IF(K5&gt;10000000,"25% -- Average of similar units is 46%",IF(K5&gt;999999,"34% -- Average of similar units is 63%",IF(K5&gt;99999,"71% -- Average of similar units is 132%",IF(K5&gt;1,"100 %-- Average of similar units is 260%"))))</f>
        <v>0</v>
      </c>
      <c r="F6" s="926"/>
      <c r="G6" s="935" t="s">
        <v>1271</v>
      </c>
      <c r="H6" s="915" t="s">
        <v>1311</v>
      </c>
      <c r="I6" s="525"/>
      <c r="J6" s="499"/>
      <c r="K6" s="502" t="b">
        <f>IF($K$5&gt;10000000,"25%",IF($K$5&gt;999999,"34%",IF($K$5&gt;99999,"71%",IF($K$5&gt;1,"100%"))))</f>
        <v>0</v>
      </c>
      <c r="L6" s="503" t="e">
        <f>+D6-K6</f>
        <v>#VALUE!</v>
      </c>
      <c r="Z6" s="162" t="s">
        <v>1067</v>
      </c>
    </row>
    <row r="7" spans="1:78" ht="22.5" customHeight="1" x14ac:dyDescent="0.3">
      <c r="A7" s="392"/>
      <c r="B7" s="390"/>
      <c r="C7" s="390"/>
      <c r="D7" s="390"/>
      <c r="E7" s="526"/>
      <c r="F7" s="391"/>
      <c r="G7" s="524"/>
      <c r="H7" s="522"/>
      <c r="I7" s="944"/>
      <c r="J7" s="499"/>
      <c r="K7" s="527"/>
      <c r="L7" s="503"/>
      <c r="Z7" s="162"/>
    </row>
    <row r="8" spans="1:78" ht="137.25" customHeight="1" x14ac:dyDescent="0.3">
      <c r="A8" s="924" t="s">
        <v>1315</v>
      </c>
      <c r="B8" s="925" t="e">
        <f>HLOOKUP($B$3,'2019 Data(H)'!$E$2:$CZ$299,291,FALSE)</f>
        <v>#N/A</v>
      </c>
      <c r="C8" s="925" t="e">
        <f>HLOOKUP($B$2,'2020 Data(H)'!$E$1:$CZ$426,339,FALSE)</f>
        <v>#N/A</v>
      </c>
      <c r="D8" s="925" t="str">
        <f>IFERROR((Import!$L$52+Import!$L$53-Import!$L$57-Import!$L$58-Import!$L$230-Import!$L$62+Import!$L$89)/(Import!$L$72+Import!$L$77+Import!$L$74-Import!$L$75-Import!$L$76),"")</f>
        <v/>
      </c>
      <c r="E8" s="941" t="str">
        <f>IF($K$5&gt;99999999,"16%--Median of simiar units is 32%","20%--Median of similar units is 39%")</f>
        <v>20%--Median of similar units is 39%</v>
      </c>
      <c r="F8" s="926"/>
      <c r="G8" s="936" t="s">
        <v>808</v>
      </c>
      <c r="H8" s="937" t="s">
        <v>1042</v>
      </c>
      <c r="I8" s="927"/>
      <c r="J8" s="499"/>
      <c r="K8" s="542">
        <f>IF($K$5&gt;99999999,16%,20%)</f>
        <v>0.2</v>
      </c>
      <c r="L8" s="503" t="e">
        <f>+D8-K8</f>
        <v>#VALUE!</v>
      </c>
      <c r="Z8" s="162" t="s">
        <v>1272</v>
      </c>
    </row>
    <row r="9" spans="1:78" ht="120" customHeight="1" x14ac:dyDescent="0.3">
      <c r="A9" s="923" t="s">
        <v>1317</v>
      </c>
      <c r="B9" s="925" t="e">
        <f>HLOOKUP($B$3,'2019 Data(H)'!$E$2:$CZ$299,291,FALSE)</f>
        <v>#N/A</v>
      </c>
      <c r="C9" s="925" t="e">
        <f>HLOOKUP($B$2,'2020 Data(H)'!$E$1:$CZ$426,339,FALSE)</f>
        <v>#N/A</v>
      </c>
      <c r="D9" s="925" t="str">
        <f>IFERROR((Import!$L$52+Import!$L$53-Import!$L$57-Import!$L$58-Import!$L$230-Import!$L$62+Import!$L$89)/(Import!$L$72+Import!$L$77+Import!$L$74-Import!$L$75-Import!$L$76),"")</f>
        <v/>
      </c>
      <c r="E9" s="941">
        <v>0.08</v>
      </c>
      <c r="F9" s="926" t="str">
        <f>+K9</f>
        <v/>
      </c>
      <c r="G9" s="936" t="s">
        <v>808</v>
      </c>
      <c r="H9" s="937" t="s">
        <v>1313</v>
      </c>
      <c r="I9" s="521"/>
      <c r="J9" s="499"/>
      <c r="K9" s="925" t="str">
        <f>+IF(D9&gt;7.9999%,D9,"Less than 8%")</f>
        <v/>
      </c>
      <c r="L9" s="503"/>
      <c r="Z9" s="162"/>
    </row>
    <row r="10" spans="1:78" ht="152.25" customHeight="1" thickBot="1" x14ac:dyDescent="0.35">
      <c r="A10" s="923" t="s">
        <v>828</v>
      </c>
      <c r="B10" s="553"/>
      <c r="C10" s="553"/>
      <c r="D10" s="928">
        <f>+Import!L65</f>
        <v>0</v>
      </c>
      <c r="E10" s="929"/>
      <c r="F10" s="928">
        <f>+D10</f>
        <v>0</v>
      </c>
      <c r="G10" s="532" t="s">
        <v>829</v>
      </c>
      <c r="H10" s="532" t="s">
        <v>1044</v>
      </c>
      <c r="I10" s="520"/>
      <c r="J10" s="499"/>
      <c r="Z10" s="162" t="s">
        <v>1273</v>
      </c>
    </row>
    <row r="11" spans="1:78" ht="78" customHeight="1" x14ac:dyDescent="0.3">
      <c r="A11" s="540" t="s">
        <v>464</v>
      </c>
      <c r="B11" s="288">
        <f>+B4</f>
        <v>2019</v>
      </c>
      <c r="C11" s="288">
        <f>+C4</f>
        <v>2020</v>
      </c>
      <c r="D11" s="288">
        <f>+D4</f>
        <v>2021</v>
      </c>
      <c r="E11" s="507"/>
      <c r="F11" s="508"/>
      <c r="G11" s="1212" t="s">
        <v>1071</v>
      </c>
      <c r="H11" s="1213"/>
      <c r="I11" s="523"/>
      <c r="J11" s="499"/>
      <c r="K11" s="509" t="e">
        <f>HLOOKUP($B$3,'2019 Data(H)'!$E$2:$CZ$305,244,FALSE)</f>
        <v>#N/A</v>
      </c>
      <c r="L11" s="509" t="e">
        <f>HLOOKUP(B3,'2020 Data(H)'!E2:CZ350,244,FALSE)</f>
        <v>#N/A</v>
      </c>
      <c r="M11" s="509" t="e">
        <f>Import!L268</f>
        <v>#N/A</v>
      </c>
      <c r="N11" s="510"/>
      <c r="O11" s="510"/>
      <c r="P11" s="510"/>
      <c r="Q11" s="510"/>
      <c r="R11" s="510"/>
      <c r="S11" s="510"/>
      <c r="T11" s="510"/>
      <c r="U11" s="510"/>
      <c r="V11" s="510"/>
      <c r="W11" s="510"/>
      <c r="X11" s="510"/>
      <c r="Z11" s="162"/>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row>
    <row r="12" spans="1:78" ht="119.4" customHeight="1" x14ac:dyDescent="0.3">
      <c r="A12" s="396" t="s">
        <v>461</v>
      </c>
      <c r="B12" s="530" t="e">
        <f>IF(K11=0,"Not Applicable",(K12))</f>
        <v>#N/A</v>
      </c>
      <c r="C12" s="530" t="e">
        <f>IF(L11=0,"Not Applicable",(L12))</f>
        <v>#N/A</v>
      </c>
      <c r="D12" s="530" t="e">
        <f>IF(M11=0,"Not Applicable",M12)</f>
        <v>#N/A</v>
      </c>
      <c r="E12" s="531" t="s">
        <v>805</v>
      </c>
      <c r="F12" s="918" t="str">
        <f>M12</f>
        <v/>
      </c>
      <c r="G12" s="531" t="s">
        <v>809</v>
      </c>
      <c r="H12" s="532" t="s">
        <v>831</v>
      </c>
      <c r="I12" s="525"/>
      <c r="J12" s="499"/>
      <c r="K12" s="509" t="e">
        <f>HLOOKUP($B$3,'2019 Data(H)'!$E$2:$CZ$305,299,FALSE)</f>
        <v>#N/A</v>
      </c>
      <c r="L12" s="509" t="e">
        <f>HLOOKUP(B2,'2020 Data(H)'!E1:CB426,347,FALSE)</f>
        <v>#N/A</v>
      </c>
      <c r="M12" s="511" t="str">
        <f>IFERROR((Import!$L$120-Import!$L$121-Import!$L$118-Import!$L$119)/(Import!$L$124-Import!$L$125-Import!$L$126-Import!$L$127-Import!$L$128-Import!$L$129-Import!$L$123),"")</f>
        <v/>
      </c>
      <c r="Z12" s="162" t="s">
        <v>1068</v>
      </c>
    </row>
    <row r="13" spans="1:78" ht="69.599999999999994" customHeight="1" x14ac:dyDescent="0.3">
      <c r="A13" s="396" t="s">
        <v>840</v>
      </c>
      <c r="B13" s="533" t="e">
        <f>IF(K11=0,"Not Applicable",K13)</f>
        <v>#N/A</v>
      </c>
      <c r="C13" s="394" t="e">
        <f>IF(L11=0,"Not Applicable",L13)</f>
        <v>#N/A</v>
      </c>
      <c r="D13" s="534" t="e">
        <f>IF(M11=0,"Not Applicable",M13)</f>
        <v>#N/A</v>
      </c>
      <c r="E13" s="531" t="s">
        <v>1075</v>
      </c>
      <c r="F13" s="919" t="e">
        <f>D13</f>
        <v>#N/A</v>
      </c>
      <c r="G13" s="531" t="s">
        <v>1388</v>
      </c>
      <c r="H13" s="532" t="s">
        <v>832</v>
      </c>
      <c r="I13" s="525"/>
      <c r="J13" s="499"/>
      <c r="K13" s="268" t="e">
        <f>HLOOKUP(B3,'2019 Data(H)'!E2:CB305,300,FALSE)</f>
        <v>#N/A</v>
      </c>
      <c r="L13" s="268" t="e">
        <f>HLOOKUP(B2,'2020 Data(H)'!F1:CZ426,348,FALSE)</f>
        <v>#N/A</v>
      </c>
      <c r="M13" s="911">
        <f>+Import!$L$153-Import!$L$155+Import!$L$154-Import!$L$182</f>
        <v>0</v>
      </c>
      <c r="Z13" s="162" t="s">
        <v>1068</v>
      </c>
    </row>
    <row r="14" spans="1:78" ht="109.95" customHeight="1" x14ac:dyDescent="0.3">
      <c r="A14" s="396" t="s">
        <v>861</v>
      </c>
      <c r="B14" s="395" t="e">
        <f>IF(K11=0,"Not Applicable",K14)</f>
        <v>#N/A</v>
      </c>
      <c r="C14" s="395" t="e">
        <f>IF(L11=0,"Not Applicable",L14)</f>
        <v>#N/A</v>
      </c>
      <c r="D14" s="395" t="e">
        <f>IF(M11=0,"Not Applicable",M14)</f>
        <v>#N/A</v>
      </c>
      <c r="E14" s="531" t="s">
        <v>1307</v>
      </c>
      <c r="F14" s="389" t="e">
        <f>D14</f>
        <v>#N/A</v>
      </c>
      <c r="G14" s="531" t="s">
        <v>841</v>
      </c>
      <c r="H14" s="532" t="s">
        <v>1043</v>
      </c>
      <c r="I14" s="525"/>
      <c r="J14" s="499"/>
      <c r="K14" s="269" t="e">
        <f>HLOOKUP(B3,'2019 Data(H)'!E2:CZ305,301,FALSE)</f>
        <v>#N/A</v>
      </c>
      <c r="L14" s="269" t="e">
        <f>HLOOKUP(B2,'2020 Data(H)'!F1:CZ426,349,FALSE)</f>
        <v>#N/A</v>
      </c>
      <c r="M14" s="269" t="str">
        <f>IFERROR(Import!L116/(Import!L155+Import!L158-Import!L154+Import!L182),"")</f>
        <v/>
      </c>
      <c r="Z14" s="162" t="s">
        <v>1068</v>
      </c>
    </row>
    <row r="15" spans="1:78" ht="99.75" customHeight="1" thickBot="1" x14ac:dyDescent="0.35">
      <c r="A15" s="1202" t="s">
        <v>1308</v>
      </c>
      <c r="B15" s="1203"/>
      <c r="C15" s="1203"/>
      <c r="D15" s="912" t="str">
        <f>IF(K15&lt;0,"Yes","No")</f>
        <v>No</v>
      </c>
      <c r="E15" s="943"/>
      <c r="F15" s="913" t="str">
        <f>D15</f>
        <v>No</v>
      </c>
      <c r="G15" s="528" t="s">
        <v>1309</v>
      </c>
      <c r="H15" s="535" t="s">
        <v>833</v>
      </c>
      <c r="I15" s="529"/>
      <c r="J15" s="499"/>
      <c r="K15" s="287">
        <f>((Import!L158+Import!L155)*0.03)-Import!L161</f>
        <v>0</v>
      </c>
      <c r="Z15" s="162" t="s">
        <v>1068</v>
      </c>
    </row>
    <row r="16" spans="1:78" ht="37.5" customHeight="1" thickBot="1" x14ac:dyDescent="0.35">
      <c r="A16" s="286"/>
      <c r="B16" s="504"/>
      <c r="C16" s="504"/>
      <c r="D16" s="504"/>
      <c r="E16" s="505"/>
      <c r="F16" s="504"/>
      <c r="G16" s="506"/>
      <c r="H16" s="504"/>
      <c r="I16" s="504"/>
      <c r="Z16" s="543"/>
    </row>
    <row r="17" spans="1:26" ht="116.25" customHeight="1" thickBot="1" x14ac:dyDescent="0.35">
      <c r="A17" s="500" t="s">
        <v>463</v>
      </c>
      <c r="B17" s="289">
        <f>+B4</f>
        <v>2019</v>
      </c>
      <c r="C17" s="289">
        <f>+C4</f>
        <v>2020</v>
      </c>
      <c r="D17" s="289">
        <f>+D4</f>
        <v>2021</v>
      </c>
      <c r="E17" s="512"/>
      <c r="F17" s="513"/>
      <c r="G17" s="547" t="s">
        <v>860</v>
      </c>
      <c r="H17" s="916" t="s">
        <v>830</v>
      </c>
      <c r="I17" s="514"/>
      <c r="J17" s="499"/>
      <c r="K17" s="509" t="e">
        <f>HLOOKUP(B3,'2019 Data(H)'!E2:CZ310,243,FALSE)</f>
        <v>#N/A</v>
      </c>
      <c r="L17" s="271" t="e">
        <f>HLOOKUP(B3,'2020 Data(H)'!E2:CZ350,243,FALSE)</f>
        <v>#N/A</v>
      </c>
      <c r="M17" s="515" t="e">
        <f>+Import!L267</f>
        <v>#N/A</v>
      </c>
      <c r="Z17" s="541"/>
    </row>
    <row r="18" spans="1:26" ht="78" customHeight="1" x14ac:dyDescent="0.3">
      <c r="A18" s="290" t="s">
        <v>461</v>
      </c>
      <c r="B18" s="516" t="e">
        <f>IF(K17=0,"Not Applicable",K18)</f>
        <v>#N/A</v>
      </c>
      <c r="C18" s="516" t="e">
        <f>IF(L17=0,"Not Applicable",L18)</f>
        <v>#N/A</v>
      </c>
      <c r="D18" s="516" t="e">
        <f>IF(M17=0,"Not Applicable",M18)</f>
        <v>#N/A</v>
      </c>
      <c r="E18" s="531" t="s">
        <v>805</v>
      </c>
      <c r="F18" s="920" t="str">
        <f>+M18</f>
        <v/>
      </c>
      <c r="G18" s="931" t="s">
        <v>847</v>
      </c>
      <c r="H18" s="932" t="s">
        <v>831</v>
      </c>
      <c r="I18" s="525"/>
      <c r="J18" s="499"/>
      <c r="K18" s="271" t="e">
        <f>HLOOKUP(B3,'2019 Data(H)'!E2:CZ310,302,FALSE)</f>
        <v>#N/A</v>
      </c>
      <c r="L18" s="509" t="e">
        <f>HLOOKUP(B2,'2020 Data(H)'!F1:CZ426,350,FALSE)</f>
        <v>#N/A</v>
      </c>
      <c r="M18" s="509" t="str">
        <f>IFERROR((Import!L138-Import!L139-Import!L137-Import!L136)/(Import!L143-Import!L144-Import!L145-Import!L146-Import!L147-Import!L148-Import!L142),"")</f>
        <v/>
      </c>
      <c r="Z18" s="544" t="s">
        <v>1069</v>
      </c>
    </row>
    <row r="19" spans="1:26" ht="60.75" customHeight="1" x14ac:dyDescent="0.3">
      <c r="A19" s="284" t="s">
        <v>840</v>
      </c>
      <c r="B19" s="376" t="e">
        <f>IF(K17=0,"Not Applicable",K19)</f>
        <v>#N/A</v>
      </c>
      <c r="C19" s="376" t="e">
        <f>IF(L17=0,"Not Applicable",L19)</f>
        <v>#N/A</v>
      </c>
      <c r="D19" s="376" t="e">
        <f>IF(M17=0,"Not Applicable",M19)</f>
        <v>#N/A</v>
      </c>
      <c r="E19" s="531" t="s">
        <v>1075</v>
      </c>
      <c r="F19" s="921" t="e">
        <f>D19</f>
        <v>#N/A</v>
      </c>
      <c r="G19" s="931" t="s">
        <v>1389</v>
      </c>
      <c r="H19" s="932" t="s">
        <v>832</v>
      </c>
      <c r="I19" s="525"/>
      <c r="J19" s="499"/>
      <c r="K19" s="268" t="e">
        <f>HLOOKUP(B3,'2019 Data(H)'!E2:CZ310,303,FALSE)</f>
        <v>#N/A</v>
      </c>
      <c r="L19" s="268" t="e">
        <f>HLOOKUP(B2,'2020 Data(H)'!F1:CZ426,351,FALSE)</f>
        <v>#N/A</v>
      </c>
      <c r="M19" s="268">
        <f>+Import!L168-Import!L171+Import!L170-Import!L185</f>
        <v>0</v>
      </c>
      <c r="Z19" s="544" t="s">
        <v>1069</v>
      </c>
    </row>
    <row r="20" spans="1:26" ht="88.5" customHeight="1" thickBot="1" x14ac:dyDescent="0.35">
      <c r="A20" s="291" t="s">
        <v>861</v>
      </c>
      <c r="B20" s="377" t="e">
        <f>IF(K17=0,"Not Applicable",K20)</f>
        <v>#N/A</v>
      </c>
      <c r="C20" s="377" t="e">
        <f>IF(L17=0,"Not Applicable",L20)</f>
        <v>#N/A</v>
      </c>
      <c r="D20" s="377" t="e">
        <f>IF(M17=0,"Not Applicable",M20)</f>
        <v>#N/A</v>
      </c>
      <c r="E20" s="942" t="s">
        <v>1307</v>
      </c>
      <c r="F20" s="922" t="str">
        <f>+M20</f>
        <v/>
      </c>
      <c r="G20" s="934" t="s">
        <v>851</v>
      </c>
      <c r="H20" s="933" t="s">
        <v>1043</v>
      </c>
      <c r="I20" s="529"/>
      <c r="J20" s="499"/>
      <c r="K20" s="269" t="e">
        <f>HLOOKUP(B3,'2019 Data(H)'!E2:CZ310,304,FALSE)</f>
        <v>#N/A</v>
      </c>
      <c r="L20" s="269" t="e">
        <f>HLOOKUP(B2,'2020 Data(H)'!F1:CZ426,352,FALSE)</f>
        <v>#N/A</v>
      </c>
      <c r="M20" s="269" t="str">
        <f>IFERROR(Import!L134/(Import!L174+Import!L171-Import!L170+Import!L185),"")</f>
        <v/>
      </c>
      <c r="Z20" s="544" t="s">
        <v>1069</v>
      </c>
    </row>
    <row r="21" spans="1:26" ht="15.75" customHeight="1" x14ac:dyDescent="0.3">
      <c r="A21" s="397"/>
      <c r="B21" s="398"/>
      <c r="C21" s="398"/>
      <c r="D21" s="398"/>
      <c r="E21" s="536"/>
      <c r="F21" s="537"/>
      <c r="G21" s="538"/>
      <c r="H21" s="538"/>
      <c r="I21" s="939"/>
      <c r="J21" s="499"/>
      <c r="K21" s="269"/>
      <c r="L21" s="269"/>
      <c r="M21" s="269"/>
      <c r="Z21" s="544"/>
    </row>
    <row r="22" spans="1:26" ht="50.25" customHeight="1" x14ac:dyDescent="0.3">
      <c r="A22" s="940" t="s">
        <v>1073</v>
      </c>
      <c r="B22" s="398"/>
      <c r="C22" s="398"/>
      <c r="D22" s="398"/>
      <c r="E22" s="536"/>
      <c r="F22" s="537"/>
      <c r="G22" s="538"/>
      <c r="H22" s="538"/>
      <c r="I22" s="939"/>
      <c r="J22" s="499"/>
      <c r="K22" s="269"/>
      <c r="L22" s="269"/>
      <c r="M22" s="269"/>
      <c r="Z22" s="544"/>
    </row>
    <row r="23" spans="1:26" ht="88.5" customHeight="1" x14ac:dyDescent="0.3">
      <c r="A23" s="393" t="s">
        <v>461</v>
      </c>
      <c r="B23" s="399"/>
      <c r="C23" s="399"/>
      <c r="D23" s="946" t="str">
        <f>+M23</f>
        <v/>
      </c>
      <c r="E23" s="531" t="s">
        <v>805</v>
      </c>
      <c r="F23" s="945" t="str">
        <f>+M23</f>
        <v/>
      </c>
      <c r="G23" s="532" t="s">
        <v>1314</v>
      </c>
      <c r="H23" s="532" t="s">
        <v>831</v>
      </c>
      <c r="I23" s="521"/>
      <c r="J23" s="499"/>
      <c r="K23" s="269">
        <v>1000</v>
      </c>
      <c r="L23" s="269"/>
      <c r="M23" s="938" t="str">
        <f>IFERROR((+Import!L94-Import!L93)/Import!L95,"")</f>
        <v/>
      </c>
      <c r="Z23" s="544" t="s">
        <v>1074</v>
      </c>
    </row>
    <row r="24" spans="1:26" x14ac:dyDescent="0.3">
      <c r="A24" s="285"/>
      <c r="B24" s="517"/>
      <c r="C24" s="517"/>
      <c r="D24" s="517"/>
      <c r="E24" s="518"/>
      <c r="F24" s="517"/>
      <c r="G24" s="519"/>
      <c r="H24" s="517"/>
      <c r="I24" s="517"/>
      <c r="M24" s="275"/>
      <c r="Z24" s="545"/>
    </row>
  </sheetData>
  <sheetProtection algorithmName="SHA-512" hashValue="CLqQYS4+BGKOBa6ASgV0SLS6AyJNwPw+v2khw3l1VifKYX4+A0tAbvJc35xkpn4FD51o6F/ecr8AdN8CWDPs3Q==" saltValue="PW7Ts5OWto1Ms5tIEwVSQg=="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9" sqref="A9:C9"/>
    </sheetView>
  </sheetViews>
  <sheetFormatPr defaultColWidth="9.109375" defaultRowHeight="14.4" x14ac:dyDescent="0.3"/>
  <cols>
    <col min="1" max="1" width="9.109375" style="295"/>
    <col min="2" max="2" width="10.44140625" style="295" bestFit="1" customWidth="1"/>
    <col min="3" max="3" width="29.88671875" style="295" customWidth="1"/>
    <col min="4" max="4" width="40.5546875" style="295" customWidth="1"/>
    <col min="5" max="5" width="3.6640625" style="295" customWidth="1"/>
    <col min="6" max="6" width="13.44140625" style="295" customWidth="1"/>
    <col min="7" max="7" width="3.5546875" style="295" customWidth="1"/>
    <col min="8" max="8" width="14.109375" style="295" customWidth="1"/>
    <col min="9" max="16384" width="9.109375" style="295"/>
  </cols>
  <sheetData>
    <row r="2" spans="1:8" ht="54.75" customHeight="1" x14ac:dyDescent="0.3">
      <c r="A2" s="1217" t="s">
        <v>112</v>
      </c>
      <c r="B2" s="1217"/>
      <c r="C2" s="1217"/>
      <c r="D2" s="1217"/>
      <c r="E2" s="1217"/>
      <c r="F2" s="449"/>
      <c r="G2" s="449"/>
      <c r="H2" s="450"/>
    </row>
    <row r="4" spans="1:8" ht="15.6" x14ac:dyDescent="0.3">
      <c r="A4" s="450"/>
      <c r="B4" s="451" t="str">
        <f>'Unit Data from Audit Worksheet'!D2</f>
        <v>Select Unit Name from Drop Down List</v>
      </c>
      <c r="C4" s="452"/>
      <c r="D4" s="19"/>
      <c r="E4" s="20"/>
      <c r="F4" s="453">
        <f>'Unit Data from Audit Worksheet'!F5</f>
        <v>2021</v>
      </c>
      <c r="G4" s="450"/>
      <c r="H4" s="453">
        <f>'Unit Data from Audit Worksheet'!F5</f>
        <v>2021</v>
      </c>
    </row>
    <row r="5" spans="1:8" ht="41.4" x14ac:dyDescent="0.4">
      <c r="A5" s="454"/>
      <c r="B5" s="455" t="s">
        <v>72</v>
      </c>
      <c r="C5" s="454"/>
      <c r="D5" s="454"/>
      <c r="E5" s="454"/>
      <c r="F5" s="453" t="s">
        <v>73</v>
      </c>
      <c r="G5" s="454"/>
      <c r="H5" s="456" t="s">
        <v>74</v>
      </c>
    </row>
    <row r="6" spans="1:8" x14ac:dyDescent="0.3">
      <c r="A6" s="450"/>
      <c r="B6" s="457" t="s">
        <v>75</v>
      </c>
      <c r="C6" s="450"/>
      <c r="D6" s="458"/>
      <c r="E6" s="458"/>
      <c r="F6" s="458"/>
      <c r="G6" s="458"/>
      <c r="H6" s="458"/>
    </row>
    <row r="7" spans="1:8" x14ac:dyDescent="0.3">
      <c r="A7" s="450"/>
      <c r="B7" s="458" t="s">
        <v>76</v>
      </c>
      <c r="C7" s="450"/>
      <c r="D7" s="458"/>
      <c r="E7" s="458" t="s">
        <v>31</v>
      </c>
      <c r="F7" s="459">
        <f>Import!L52</f>
        <v>0</v>
      </c>
      <c r="G7" s="460"/>
      <c r="H7" s="459">
        <f>F7</f>
        <v>0</v>
      </c>
    </row>
    <row r="8" spans="1:8" ht="44.25" customHeight="1" x14ac:dyDescent="0.3">
      <c r="A8" s="450"/>
      <c r="B8" s="1214" t="s">
        <v>77</v>
      </c>
      <c r="C8" s="1214"/>
      <c r="D8" s="1214"/>
      <c r="E8" s="458" t="s">
        <v>31</v>
      </c>
      <c r="F8" s="461">
        <f>Import!L53</f>
        <v>0</v>
      </c>
      <c r="G8" s="462"/>
      <c r="H8" s="462"/>
    </row>
    <row r="9" spans="1:8" x14ac:dyDescent="0.3">
      <c r="A9" s="450"/>
      <c r="B9" s="450"/>
      <c r="C9" s="458" t="s">
        <v>181</v>
      </c>
      <c r="D9" s="450"/>
      <c r="E9" s="458" t="s">
        <v>31</v>
      </c>
      <c r="F9" s="463">
        <f>Import!L57</f>
        <v>0</v>
      </c>
      <c r="G9" s="462"/>
      <c r="H9" s="448">
        <f>F9</f>
        <v>0</v>
      </c>
    </row>
    <row r="10" spans="1:8" x14ac:dyDescent="0.3">
      <c r="A10" s="450"/>
      <c r="B10" s="450"/>
      <c r="C10" s="458" t="s">
        <v>78</v>
      </c>
      <c r="D10" s="450"/>
      <c r="E10" s="458" t="s">
        <v>31</v>
      </c>
      <c r="F10" s="448">
        <f>Import!L230</f>
        <v>0</v>
      </c>
      <c r="G10" s="462"/>
      <c r="H10" s="448">
        <f>F10</f>
        <v>0</v>
      </c>
    </row>
    <row r="11" spans="1:8" x14ac:dyDescent="0.3">
      <c r="A11" s="450"/>
      <c r="B11" s="450"/>
      <c r="C11" s="458" t="s">
        <v>79</v>
      </c>
      <c r="D11" s="450"/>
      <c r="E11" s="458" t="s">
        <v>31</v>
      </c>
      <c r="F11" s="464">
        <f>Import!L58</f>
        <v>0</v>
      </c>
      <c r="G11" s="465"/>
      <c r="H11" s="464">
        <f>F11</f>
        <v>0</v>
      </c>
    </row>
    <row r="12" spans="1:8" x14ac:dyDescent="0.3">
      <c r="A12" s="450"/>
      <c r="B12" s="21" t="s">
        <v>80</v>
      </c>
      <c r="C12" s="466" t="s">
        <v>81</v>
      </c>
      <c r="D12" s="467"/>
      <c r="E12" s="468" t="s">
        <v>31</v>
      </c>
      <c r="F12" s="469">
        <f>F7+F8-SUM(F9:F11)</f>
        <v>0</v>
      </c>
      <c r="G12" s="470"/>
      <c r="H12" s="469">
        <f>H7+H8-SUM(H9:H11)</f>
        <v>0</v>
      </c>
    </row>
    <row r="13" spans="1:8" x14ac:dyDescent="0.3">
      <c r="A13" s="450"/>
      <c r="B13" s="450"/>
      <c r="C13" s="458"/>
      <c r="D13" s="458"/>
      <c r="E13" s="458" t="s">
        <v>31</v>
      </c>
      <c r="F13" s="458"/>
      <c r="G13" s="458"/>
      <c r="H13" s="458"/>
    </row>
    <row r="14" spans="1:8" x14ac:dyDescent="0.3">
      <c r="A14" s="450"/>
      <c r="B14" s="458" t="s">
        <v>82</v>
      </c>
      <c r="C14" s="450"/>
      <c r="D14" s="458"/>
      <c r="E14" s="458" t="s">
        <v>31</v>
      </c>
      <c r="F14" s="471">
        <f>Import!L65</f>
        <v>0</v>
      </c>
      <c r="G14" s="458"/>
      <c r="H14" s="458"/>
    </row>
    <row r="15" spans="1:8" x14ac:dyDescent="0.3">
      <c r="A15" s="450"/>
      <c r="B15" s="458" t="s">
        <v>83</v>
      </c>
      <c r="C15" s="450"/>
      <c r="D15" s="458"/>
      <c r="E15" s="458" t="s">
        <v>31</v>
      </c>
      <c r="F15" s="472">
        <f>F14-F12</f>
        <v>0</v>
      </c>
      <c r="G15" s="458"/>
      <c r="H15" s="458"/>
    </row>
    <row r="16" spans="1:8" x14ac:dyDescent="0.3">
      <c r="A16" s="450"/>
      <c r="B16" s="473" t="s">
        <v>84</v>
      </c>
      <c r="C16" s="450"/>
      <c r="D16" s="458"/>
      <c r="E16" s="458"/>
      <c r="F16" s="458"/>
      <c r="G16" s="458"/>
      <c r="H16" s="458"/>
    </row>
    <row r="17" spans="2:8" x14ac:dyDescent="0.3">
      <c r="B17" s="474" t="s">
        <v>85</v>
      </c>
      <c r="C17" s="458" t="s">
        <v>86</v>
      </c>
      <c r="D17" s="450"/>
      <c r="E17" s="458" t="s">
        <v>31</v>
      </c>
      <c r="F17" s="475">
        <f>Import!L61</f>
        <v>0</v>
      </c>
      <c r="G17" s="458"/>
      <c r="H17" s="458"/>
    </row>
    <row r="18" spans="2:8" ht="15" thickBot="1" x14ac:dyDescent="0.35">
      <c r="B18" s="21" t="s">
        <v>80</v>
      </c>
      <c r="C18" s="466" t="s">
        <v>87</v>
      </c>
      <c r="D18" s="467"/>
      <c r="E18" s="468" t="s">
        <v>31</v>
      </c>
      <c r="F18" s="476">
        <f>(F15-SUM(F17:F17))</f>
        <v>0</v>
      </c>
      <c r="G18" s="458"/>
      <c r="H18" s="458"/>
    </row>
    <row r="19" spans="2:8" ht="15" thickTop="1" x14ac:dyDescent="0.3">
      <c r="B19" s="450"/>
      <c r="C19" s="458"/>
      <c r="D19" s="458"/>
      <c r="E19" s="458"/>
      <c r="F19" s="458"/>
      <c r="G19" s="458"/>
      <c r="H19" s="458"/>
    </row>
    <row r="20" spans="2:8" ht="15" thickBot="1" x14ac:dyDescent="0.35">
      <c r="B20" s="458" t="s">
        <v>88</v>
      </c>
      <c r="C20" s="450"/>
      <c r="D20" s="458"/>
      <c r="E20" s="458" t="s">
        <v>31</v>
      </c>
      <c r="F20" s="477">
        <f>Import!L60</f>
        <v>0</v>
      </c>
      <c r="G20" s="458"/>
      <c r="H20" s="458"/>
    </row>
    <row r="21" spans="2:8" ht="15.6" thickTop="1" thickBot="1" x14ac:dyDescent="0.35">
      <c r="B21" s="450"/>
      <c r="C21" s="478"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0"/>
      <c r="E21" s="458" t="s">
        <v>31</v>
      </c>
      <c r="F21" s="479">
        <f>ABS(F18-F20)</f>
        <v>0</v>
      </c>
      <c r="G21" s="458"/>
      <c r="H21" s="458"/>
    </row>
    <row r="22" spans="2:8" ht="50.25" customHeight="1" thickTop="1" x14ac:dyDescent="0.3">
      <c r="B22" s="450"/>
      <c r="C22" s="1215" t="str">
        <f>IF(F18&gt;F20,"Since Restricted-Stabilization by State Statute was understated, verfiy that the unit did not appropriate fund balance in excess of legal amount available in row 12 above.","")</f>
        <v/>
      </c>
      <c r="D22" s="1215"/>
      <c r="E22" s="1215"/>
      <c r="F22" s="1215"/>
      <c r="G22" s="458"/>
      <c r="H22" s="458"/>
    </row>
    <row r="23" spans="2:8" x14ac:dyDescent="0.3">
      <c r="B23" s="450"/>
      <c r="C23" s="1216" t="s">
        <v>89</v>
      </c>
      <c r="D23" s="458"/>
      <c r="E23" s="458"/>
      <c r="F23" s="458"/>
      <c r="G23" s="458"/>
      <c r="H23" s="480" t="s">
        <v>90</v>
      </c>
    </row>
    <row r="24" spans="2:8" x14ac:dyDescent="0.3">
      <c r="B24" s="450"/>
      <c r="C24" s="1216"/>
      <c r="D24" s="458"/>
      <c r="E24" s="458"/>
      <c r="F24" s="453" t="s">
        <v>91</v>
      </c>
      <c r="G24" s="458"/>
      <c r="H24" s="453" t="s">
        <v>99</v>
      </c>
    </row>
    <row r="25" spans="2:8" x14ac:dyDescent="0.3">
      <c r="B25" s="450"/>
      <c r="C25" s="457" t="s">
        <v>92</v>
      </c>
      <c r="D25" s="458"/>
      <c r="E25" s="458"/>
      <c r="F25" s="458"/>
      <c r="G25" s="458"/>
      <c r="H25" s="458"/>
    </row>
    <row r="26" spans="2:8" ht="25.2" customHeight="1" x14ac:dyDescent="0.3">
      <c r="B26" s="450"/>
      <c r="C26" s="458" t="s">
        <v>93</v>
      </c>
      <c r="D26" s="458"/>
      <c r="E26" s="458" t="s">
        <v>31</v>
      </c>
      <c r="F26" s="459">
        <f>Import!L72</f>
        <v>0</v>
      </c>
      <c r="G26" s="460"/>
      <c r="H26" s="481">
        <f>F26</f>
        <v>0</v>
      </c>
    </row>
    <row r="27" spans="2:8" x14ac:dyDescent="0.3">
      <c r="B27" s="450"/>
      <c r="C27" s="474" t="s">
        <v>94</v>
      </c>
      <c r="D27" s="458"/>
      <c r="E27" s="458"/>
      <c r="F27" s="458"/>
      <c r="G27" s="458"/>
      <c r="H27" s="458"/>
    </row>
    <row r="28" spans="2:8" x14ac:dyDescent="0.3">
      <c r="B28" s="450"/>
      <c r="C28" s="458" t="s">
        <v>95</v>
      </c>
      <c r="D28" s="450"/>
      <c r="E28" s="458" t="s">
        <v>31</v>
      </c>
      <c r="F28" s="482">
        <f>Import!L74</f>
        <v>0</v>
      </c>
      <c r="G28" s="462"/>
      <c r="H28" s="483">
        <f>F28</f>
        <v>0</v>
      </c>
    </row>
    <row r="29" spans="2:8" x14ac:dyDescent="0.3">
      <c r="B29" s="450"/>
      <c r="C29" s="458" t="s">
        <v>96</v>
      </c>
      <c r="D29" s="450"/>
      <c r="E29" s="458" t="s">
        <v>31</v>
      </c>
      <c r="F29" s="484">
        <f>Import!L75+Import!L76</f>
        <v>0</v>
      </c>
      <c r="G29" s="462"/>
      <c r="H29" s="485">
        <f>F29</f>
        <v>0</v>
      </c>
    </row>
    <row r="30" spans="2:8" ht="15" thickBot="1" x14ac:dyDescent="0.35">
      <c r="B30" s="450"/>
      <c r="C30" s="458" t="s">
        <v>97</v>
      </c>
      <c r="D30" s="458"/>
      <c r="E30" s="458" t="s">
        <v>31</v>
      </c>
      <c r="F30" s="486">
        <f>SUM(F26:F28)-F29</f>
        <v>0</v>
      </c>
      <c r="G30" s="460"/>
      <c r="H30" s="486">
        <f>SUM(H26:H28)-H29</f>
        <v>0</v>
      </c>
    </row>
    <row r="31" spans="2:8" ht="15" thickTop="1" x14ac:dyDescent="0.3">
      <c r="B31" s="450"/>
      <c r="C31" s="458"/>
      <c r="D31" s="458"/>
      <c r="E31" s="458"/>
      <c r="F31" s="458"/>
      <c r="G31" s="458"/>
      <c r="H31" s="458"/>
    </row>
    <row r="32" spans="2:8" ht="15" thickBot="1" x14ac:dyDescent="0.35">
      <c r="B32" s="21" t="s">
        <v>80</v>
      </c>
      <c r="C32" s="478" t="s">
        <v>98</v>
      </c>
      <c r="D32" s="21"/>
      <c r="E32" s="478" t="s">
        <v>31</v>
      </c>
      <c r="F32" s="487" t="e">
        <f>F12/F30</f>
        <v>#DIV/0!</v>
      </c>
      <c r="G32" s="458"/>
      <c r="H32" s="487" t="e">
        <f>H12/H30</f>
        <v>#DIV/0!</v>
      </c>
    </row>
    <row r="33" spans="1:8" ht="15" thickTop="1" x14ac:dyDescent="0.3">
      <c r="C33" s="458"/>
      <c r="D33" s="458"/>
      <c r="E33" s="458"/>
      <c r="F33" s="458"/>
      <c r="G33" s="458"/>
      <c r="H33" s="458"/>
    </row>
    <row r="34" spans="1:8" ht="15.6" x14ac:dyDescent="0.3">
      <c r="A34" s="23"/>
      <c r="C34" s="22"/>
    </row>
    <row r="36" spans="1:8" x14ac:dyDescent="0.3">
      <c r="F36" s="296"/>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9" sqref="A9:C9"/>
      <selection pane="topRight" activeCell="A9" sqref="A9:C9"/>
      <selection pane="bottomLeft" activeCell="A9" sqref="A9:C9"/>
      <selection pane="bottomRight" activeCell="A9" sqref="A9:C9"/>
    </sheetView>
  </sheetViews>
  <sheetFormatPr defaultColWidth="9.109375" defaultRowHeight="14.4" x14ac:dyDescent="0.3"/>
  <cols>
    <col min="1" max="3" width="22.6640625" style="295" customWidth="1"/>
    <col min="4" max="4" width="18.6640625" style="687" customWidth="1"/>
    <col min="5" max="10" width="18.6640625" style="295" customWidth="1"/>
    <col min="11" max="16384" width="9.109375" style="295"/>
  </cols>
  <sheetData>
    <row r="3" spans="1:13" x14ac:dyDescent="0.3">
      <c r="D3" s="691">
        <v>2019</v>
      </c>
      <c r="E3" s="691">
        <v>2018</v>
      </c>
      <c r="F3" s="691">
        <v>2017</v>
      </c>
      <c r="G3" s="691">
        <v>2016</v>
      </c>
      <c r="H3" s="691">
        <v>2015</v>
      </c>
      <c r="I3" s="691">
        <v>2014</v>
      </c>
      <c r="J3" s="691">
        <v>2013</v>
      </c>
      <c r="K3" s="687"/>
      <c r="L3" s="687"/>
      <c r="M3" s="687"/>
    </row>
    <row r="4" spans="1:13" x14ac:dyDescent="0.3">
      <c r="A4" s="298" t="s">
        <v>514</v>
      </c>
      <c r="B4" s="298"/>
      <c r="C4" s="298" t="s">
        <v>515</v>
      </c>
      <c r="D4" s="690" t="s">
        <v>460</v>
      </c>
      <c r="E4" s="690" t="s">
        <v>460</v>
      </c>
      <c r="F4" s="690" t="s">
        <v>460</v>
      </c>
      <c r="G4" s="690" t="s">
        <v>460</v>
      </c>
      <c r="H4" s="690" t="s">
        <v>460</v>
      </c>
      <c r="I4" s="690" t="s">
        <v>460</v>
      </c>
      <c r="J4" s="690" t="s">
        <v>460</v>
      </c>
      <c r="K4" s="703"/>
    </row>
    <row r="5" spans="1:13" x14ac:dyDescent="0.3">
      <c r="A5" s="298">
        <v>5119</v>
      </c>
      <c r="B5" s="298" t="s">
        <v>491</v>
      </c>
      <c r="C5" s="298">
        <v>647</v>
      </c>
      <c r="D5" s="687">
        <v>20578691</v>
      </c>
      <c r="E5" s="687">
        <v>3249248</v>
      </c>
      <c r="F5" s="687">
        <v>2957570</v>
      </c>
      <c r="G5" s="687">
        <v>5709008</v>
      </c>
      <c r="H5" s="687">
        <v>5114434</v>
      </c>
      <c r="I5" s="687">
        <v>4562229</v>
      </c>
      <c r="J5" s="687">
        <v>4029652</v>
      </c>
    </row>
    <row r="6" spans="1:13" x14ac:dyDescent="0.3">
      <c r="A6" s="298">
        <v>5120</v>
      </c>
      <c r="B6" s="298" t="s">
        <v>492</v>
      </c>
      <c r="C6" s="298">
        <v>647</v>
      </c>
      <c r="D6" s="687">
        <v>0</v>
      </c>
      <c r="E6" s="687">
        <v>0</v>
      </c>
      <c r="F6" s="687">
        <v>0</v>
      </c>
      <c r="G6" s="687">
        <v>0</v>
      </c>
      <c r="H6" s="687">
        <v>0</v>
      </c>
      <c r="I6" s="687">
        <v>0</v>
      </c>
      <c r="J6" s="687">
        <v>0</v>
      </c>
    </row>
    <row r="7" spans="1:13" x14ac:dyDescent="0.3">
      <c r="A7" s="298">
        <v>5131</v>
      </c>
      <c r="B7" s="298" t="s">
        <v>493</v>
      </c>
      <c r="C7" s="298">
        <v>647</v>
      </c>
      <c r="D7" s="687">
        <v>37089245</v>
      </c>
      <c r="E7" s="687">
        <v>20299814</v>
      </c>
      <c r="F7" s="687">
        <v>8051571</v>
      </c>
      <c r="G7" s="687">
        <v>7371500</v>
      </c>
      <c r="H7" s="687">
        <v>5966665</v>
      </c>
      <c r="I7" s="687">
        <v>8207298</v>
      </c>
      <c r="J7" s="687">
        <v>7347048</v>
      </c>
    </row>
    <row r="8" spans="1:13" x14ac:dyDescent="0.3">
      <c r="A8" s="298">
        <v>5135</v>
      </c>
      <c r="B8" s="298" t="s">
        <v>494</v>
      </c>
      <c r="C8" s="298">
        <v>647</v>
      </c>
      <c r="D8" s="687">
        <v>0</v>
      </c>
      <c r="E8" s="687">
        <v>0</v>
      </c>
      <c r="F8" s="687">
        <v>4056482</v>
      </c>
      <c r="G8" s="687">
        <v>3922669</v>
      </c>
      <c r="H8" s="687">
        <v>3148233</v>
      </c>
      <c r="I8" s="687">
        <v>2755127</v>
      </c>
      <c r="J8" s="687">
        <v>2755127</v>
      </c>
    </row>
    <row r="9" spans="1:13" x14ac:dyDescent="0.3">
      <c r="A9" s="298">
        <v>5144</v>
      </c>
      <c r="B9" s="298" t="s">
        <v>495</v>
      </c>
      <c r="C9" s="298">
        <v>647</v>
      </c>
      <c r="D9" s="687">
        <v>7441890</v>
      </c>
      <c r="E9" s="687">
        <v>7441890</v>
      </c>
      <c r="F9" s="687">
        <v>4932241</v>
      </c>
      <c r="G9" s="687">
        <v>590997</v>
      </c>
      <c r="H9" s="687">
        <v>0</v>
      </c>
      <c r="I9" s="687">
        <v>3000000</v>
      </c>
      <c r="J9" s="687">
        <v>2390166</v>
      </c>
    </row>
    <row r="10" spans="1:13" x14ac:dyDescent="0.3">
      <c r="A10" s="298">
        <v>5155</v>
      </c>
      <c r="B10" s="298" t="s">
        <v>496</v>
      </c>
      <c r="C10" s="298">
        <v>647</v>
      </c>
      <c r="D10" s="687">
        <v>1008755</v>
      </c>
      <c r="E10" s="687">
        <v>781534</v>
      </c>
      <c r="F10" s="687">
        <v>663572</v>
      </c>
      <c r="G10" s="687">
        <v>6557774</v>
      </c>
      <c r="H10" s="687">
        <v>611355</v>
      </c>
      <c r="I10" s="687">
        <v>784361</v>
      </c>
      <c r="J10" s="687">
        <v>1022379</v>
      </c>
    </row>
    <row r="11" spans="1:13" x14ac:dyDescent="0.3">
      <c r="A11" s="298">
        <v>5158</v>
      </c>
      <c r="B11" s="298" t="s">
        <v>497</v>
      </c>
      <c r="C11" s="298">
        <v>647</v>
      </c>
      <c r="D11" s="687">
        <v>9</v>
      </c>
      <c r="E11" s="687">
        <v>9</v>
      </c>
      <c r="F11" s="687">
        <v>9</v>
      </c>
      <c r="G11" s="687">
        <v>9</v>
      </c>
      <c r="H11" s="687">
        <v>9</v>
      </c>
      <c r="I11" s="687">
        <v>9</v>
      </c>
      <c r="J11" s="687">
        <v>9</v>
      </c>
    </row>
    <row r="12" spans="1:13" x14ac:dyDescent="0.3">
      <c r="A12" s="298">
        <v>5159</v>
      </c>
      <c r="B12" s="298" t="s">
        <v>498</v>
      </c>
      <c r="C12" s="298">
        <v>647</v>
      </c>
      <c r="D12" s="687">
        <v>225639888</v>
      </c>
      <c r="E12" s="687">
        <v>219009306</v>
      </c>
      <c r="F12" s="687">
        <v>181812071</v>
      </c>
      <c r="G12" s="687">
        <v>193933610</v>
      </c>
      <c r="H12" s="687">
        <v>181583886</v>
      </c>
      <c r="I12" s="687">
        <v>0</v>
      </c>
      <c r="J12" s="687">
        <v>0</v>
      </c>
    </row>
    <row r="13" spans="1:13" x14ac:dyDescent="0.3">
      <c r="A13" s="298">
        <v>5164</v>
      </c>
      <c r="B13" s="298" t="s">
        <v>499</v>
      </c>
      <c r="C13" s="298">
        <v>647</v>
      </c>
      <c r="D13" s="687">
        <v>7132135</v>
      </c>
      <c r="E13" s="687">
        <v>5438631</v>
      </c>
      <c r="F13" s="687">
        <v>2427428</v>
      </c>
      <c r="G13" s="687">
        <v>157674</v>
      </c>
      <c r="H13" s="687">
        <v>0</v>
      </c>
      <c r="I13" s="687">
        <v>0</v>
      </c>
      <c r="J13" s="687">
        <v>0</v>
      </c>
    </row>
    <row r="14" spans="1:13" x14ac:dyDescent="0.3">
      <c r="A14" s="298">
        <v>5173</v>
      </c>
      <c r="B14" s="298" t="s">
        <v>500</v>
      </c>
      <c r="C14" s="298">
        <v>647</v>
      </c>
      <c r="D14" s="687">
        <v>422216</v>
      </c>
      <c r="E14" s="687">
        <v>2615544</v>
      </c>
      <c r="F14" s="687">
        <v>880554</v>
      </c>
      <c r="G14" s="687">
        <v>154942</v>
      </c>
      <c r="H14" s="687">
        <v>107456</v>
      </c>
      <c r="I14" s="687">
        <v>46240</v>
      </c>
      <c r="J14" s="687">
        <v>23390</v>
      </c>
    </row>
    <row r="15" spans="1:13" x14ac:dyDescent="0.3">
      <c r="A15" s="298">
        <v>5178</v>
      </c>
      <c r="B15" s="298" t="s">
        <v>501</v>
      </c>
      <c r="C15" s="298">
        <v>647</v>
      </c>
      <c r="D15" s="687">
        <v>75835</v>
      </c>
      <c r="E15" s="687">
        <v>66039</v>
      </c>
      <c r="F15" s="687">
        <v>57100</v>
      </c>
      <c r="G15" s="687">
        <v>52316</v>
      </c>
      <c r="H15" s="687">
        <v>23715</v>
      </c>
      <c r="I15" s="687">
        <v>899285</v>
      </c>
      <c r="J15" s="687">
        <v>1169608</v>
      </c>
    </row>
    <row r="16" spans="1:13" x14ac:dyDescent="0.3">
      <c r="A16" s="298">
        <v>5180</v>
      </c>
      <c r="B16" s="298" t="s">
        <v>502</v>
      </c>
      <c r="C16" s="298">
        <v>647</v>
      </c>
      <c r="D16" s="687">
        <v>4586780</v>
      </c>
      <c r="E16" s="687">
        <v>5165281</v>
      </c>
      <c r="F16" s="687">
        <v>4432068</v>
      </c>
      <c r="G16" s="687">
        <v>3558985</v>
      </c>
      <c r="H16" s="687">
        <v>2657915</v>
      </c>
      <c r="I16" s="687">
        <v>2071596</v>
      </c>
      <c r="J16" s="687">
        <v>1986034</v>
      </c>
    </row>
    <row r="17" spans="1:10" x14ac:dyDescent="0.3">
      <c r="A17" s="298">
        <v>5191</v>
      </c>
      <c r="B17" s="298" t="s">
        <v>503</v>
      </c>
      <c r="C17" s="298">
        <v>647</v>
      </c>
      <c r="D17" s="687">
        <v>111303046</v>
      </c>
      <c r="E17" s="687">
        <v>108974619</v>
      </c>
      <c r="F17" s="687">
        <v>120290900</v>
      </c>
      <c r="G17" s="687">
        <v>127448981</v>
      </c>
      <c r="H17" s="687">
        <v>153873846</v>
      </c>
      <c r="I17" s="687">
        <v>135252125</v>
      </c>
      <c r="J17" s="687">
        <v>169055200</v>
      </c>
    </row>
    <row r="18" spans="1:10" x14ac:dyDescent="0.3">
      <c r="A18" s="298">
        <v>50074</v>
      </c>
      <c r="B18" s="298" t="s">
        <v>504</v>
      </c>
      <c r="C18" s="298">
        <v>647</v>
      </c>
      <c r="D18" s="687">
        <v>7494829</v>
      </c>
      <c r="E18" s="687">
        <v>7189658</v>
      </c>
      <c r="F18" s="687">
        <v>7048523</v>
      </c>
      <c r="G18" s="687">
        <v>6615510</v>
      </c>
      <c r="H18" s="687">
        <v>5452410</v>
      </c>
      <c r="I18" s="687">
        <v>4803926</v>
      </c>
      <c r="J18" s="687">
        <v>5340180</v>
      </c>
    </row>
    <row r="19" spans="1:10" x14ac:dyDescent="0.3">
      <c r="A19" s="298">
        <v>50075</v>
      </c>
      <c r="B19" s="298" t="s">
        <v>505</v>
      </c>
      <c r="C19" s="298">
        <v>647</v>
      </c>
      <c r="D19" s="687">
        <v>266214000</v>
      </c>
      <c r="E19" s="687">
        <v>265541000</v>
      </c>
      <c r="F19" s="687">
        <v>274532000</v>
      </c>
      <c r="G19" s="687">
        <v>286138000</v>
      </c>
      <c r="H19" s="687">
        <v>295124000</v>
      </c>
      <c r="I19" s="687">
        <v>264645000</v>
      </c>
      <c r="J19" s="687">
        <v>231434000</v>
      </c>
    </row>
    <row r="20" spans="1:10" x14ac:dyDescent="0.3">
      <c r="A20" s="298">
        <v>50110</v>
      </c>
      <c r="B20" s="298" t="s">
        <v>506</v>
      </c>
      <c r="C20" s="298">
        <v>647</v>
      </c>
      <c r="D20" s="687">
        <v>46833536</v>
      </c>
      <c r="E20" s="687">
        <v>45660075</v>
      </c>
      <c r="F20" s="687">
        <v>8463820</v>
      </c>
      <c r="G20" s="687">
        <v>2663591</v>
      </c>
      <c r="H20" s="687">
        <v>2371109</v>
      </c>
      <c r="I20" s="687">
        <v>2878268</v>
      </c>
      <c r="J20" s="687">
        <v>4203755</v>
      </c>
    </row>
    <row r="21" spans="1:10" x14ac:dyDescent="0.3">
      <c r="A21" s="298">
        <v>50144</v>
      </c>
      <c r="B21" s="298" t="s">
        <v>507</v>
      </c>
      <c r="C21" s="298">
        <v>647</v>
      </c>
      <c r="D21" s="687">
        <v>4258932</v>
      </c>
      <c r="E21" s="687">
        <v>853434</v>
      </c>
      <c r="F21" s="687">
        <v>1622119</v>
      </c>
      <c r="G21" s="687">
        <v>1743258</v>
      </c>
      <c r="H21" s="687">
        <v>1740179</v>
      </c>
      <c r="I21" s="687">
        <v>1739958</v>
      </c>
      <c r="J21" s="687">
        <v>1739695</v>
      </c>
    </row>
    <row r="22" spans="1:10" x14ac:dyDescent="0.3">
      <c r="A22" s="298">
        <v>50159</v>
      </c>
      <c r="B22" s="298" t="s">
        <v>508</v>
      </c>
      <c r="C22" s="298">
        <v>647</v>
      </c>
      <c r="D22" s="687">
        <v>28636370</v>
      </c>
      <c r="E22" s="687">
        <v>23180822</v>
      </c>
      <c r="F22" s="687">
        <v>16487675</v>
      </c>
      <c r="G22" s="687">
        <v>10909425</v>
      </c>
      <c r="H22" s="687">
        <v>7878571</v>
      </c>
      <c r="I22" s="687">
        <v>5300679</v>
      </c>
      <c r="J22" s="687">
        <v>4801051</v>
      </c>
    </row>
    <row r="23" spans="1:10" x14ac:dyDescent="0.3">
      <c r="A23" s="298">
        <v>50160</v>
      </c>
      <c r="B23" s="298" t="s">
        <v>509</v>
      </c>
      <c r="C23" s="298">
        <v>647</v>
      </c>
      <c r="D23" s="687">
        <v>1134799</v>
      </c>
      <c r="E23" s="687">
        <v>894858</v>
      </c>
      <c r="F23" s="687">
        <v>1002425</v>
      </c>
      <c r="G23" s="687">
        <v>354061</v>
      </c>
      <c r="H23" s="687">
        <v>392698</v>
      </c>
      <c r="I23" s="687">
        <v>442800</v>
      </c>
      <c r="J23" s="687">
        <v>942821</v>
      </c>
    </row>
    <row r="24" spans="1:10" x14ac:dyDescent="0.3">
      <c r="A24" s="298">
        <v>50180</v>
      </c>
      <c r="B24" s="298" t="s">
        <v>510</v>
      </c>
      <c r="C24" s="298">
        <v>647</v>
      </c>
      <c r="D24" s="687">
        <v>13193040</v>
      </c>
      <c r="E24" s="687">
        <v>17058564</v>
      </c>
      <c r="F24" s="687">
        <v>16187505</v>
      </c>
      <c r="G24" s="687">
        <v>16428100</v>
      </c>
      <c r="H24" s="687">
        <v>16688416</v>
      </c>
      <c r="I24" s="687">
        <v>17840940</v>
      </c>
      <c r="J24" s="687">
        <v>18042019</v>
      </c>
    </row>
    <row r="25" spans="1:10" x14ac:dyDescent="0.3">
      <c r="A25" s="298">
        <v>50405</v>
      </c>
      <c r="B25" s="298" t="s">
        <v>511</v>
      </c>
      <c r="C25" s="298">
        <v>647</v>
      </c>
      <c r="D25" s="687">
        <v>302046</v>
      </c>
      <c r="E25" s="687">
        <v>1055143</v>
      </c>
      <c r="F25" s="687">
        <v>0</v>
      </c>
      <c r="G25" s="687">
        <v>0</v>
      </c>
      <c r="H25" s="687">
        <v>0</v>
      </c>
      <c r="I25" s="687">
        <v>0</v>
      </c>
      <c r="J25" s="687">
        <v>0</v>
      </c>
    </row>
    <row r="26" spans="1:10" x14ac:dyDescent="0.3">
      <c r="A26" s="298">
        <v>50425</v>
      </c>
      <c r="B26" s="298" t="s">
        <v>512</v>
      </c>
      <c r="C26" s="298">
        <v>647</v>
      </c>
      <c r="D26" s="687">
        <v>20836222</v>
      </c>
      <c r="E26" s="687">
        <v>16328642</v>
      </c>
      <c r="F26" s="687">
        <v>15202516</v>
      </c>
      <c r="G26" s="687">
        <v>12384500</v>
      </c>
      <c r="H26" s="687">
        <v>9788553</v>
      </c>
      <c r="I26" s="687">
        <v>7967199</v>
      </c>
      <c r="J26" s="687">
        <v>6398918</v>
      </c>
    </row>
    <row r="27" spans="1:10" x14ac:dyDescent="0.3">
      <c r="A27" s="298">
        <v>50431</v>
      </c>
      <c r="B27" s="298" t="s">
        <v>513</v>
      </c>
      <c r="C27" s="298">
        <v>647</v>
      </c>
      <c r="D27" s="687">
        <v>25542629</v>
      </c>
      <c r="E27" s="687">
        <v>24964077</v>
      </c>
      <c r="F27" s="687">
        <v>23618105</v>
      </c>
      <c r="G27" s="687">
        <v>22744716</v>
      </c>
      <c r="H27" s="687">
        <v>16714796</v>
      </c>
      <c r="I27" s="687">
        <v>13788676</v>
      </c>
      <c r="J27" s="68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9" sqref="A9:C9"/>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514</v>
      </c>
      <c r="B1" s="270" t="s">
        <v>675</v>
      </c>
      <c r="C1" s="279" t="s">
        <v>640</v>
      </c>
      <c r="D1" s="280" t="s">
        <v>859</v>
      </c>
      <c r="E1" s="270" t="s">
        <v>1320</v>
      </c>
    </row>
    <row r="3" spans="1:11" ht="23.4" x14ac:dyDescent="0.45">
      <c r="A3" s="270">
        <v>50001</v>
      </c>
      <c r="B3" s="270" t="s">
        <v>676</v>
      </c>
      <c r="C3" s="270">
        <v>50</v>
      </c>
      <c r="D3" s="170" t="s">
        <v>51</v>
      </c>
      <c r="E3" s="303" t="s">
        <v>997</v>
      </c>
    </row>
    <row r="4" spans="1:11" x14ac:dyDescent="0.3">
      <c r="A4" s="270">
        <v>50006</v>
      </c>
      <c r="B4" s="270" t="s">
        <v>677</v>
      </c>
      <c r="C4" s="270">
        <v>50</v>
      </c>
      <c r="D4" s="170" t="s">
        <v>51</v>
      </c>
    </row>
    <row r="5" spans="1:11" x14ac:dyDescent="0.3">
      <c r="A5" s="270">
        <v>50013</v>
      </c>
      <c r="B5" s="270" t="s">
        <v>679</v>
      </c>
      <c r="C5" s="270">
        <v>50</v>
      </c>
      <c r="D5" s="170" t="s">
        <v>51</v>
      </c>
    </row>
    <row r="6" spans="1:11" x14ac:dyDescent="0.3">
      <c r="A6" s="270">
        <v>50016</v>
      </c>
      <c r="B6" s="950" t="s">
        <v>1321</v>
      </c>
      <c r="C6" s="270">
        <v>50</v>
      </c>
      <c r="D6" s="170" t="s">
        <v>51</v>
      </c>
      <c r="K6" s="950"/>
    </row>
    <row r="7" spans="1:11" x14ac:dyDescent="0.3">
      <c r="A7" s="270">
        <v>50019</v>
      </c>
      <c r="B7" s="950" t="s">
        <v>1322</v>
      </c>
      <c r="C7" s="270">
        <v>50</v>
      </c>
      <c r="D7" s="170" t="s">
        <v>51</v>
      </c>
      <c r="K7" s="950"/>
    </row>
    <row r="8" spans="1:11" x14ac:dyDescent="0.3">
      <c r="A8" s="270">
        <v>50504</v>
      </c>
      <c r="B8" s="270" t="s">
        <v>680</v>
      </c>
      <c r="C8" s="270">
        <v>50</v>
      </c>
      <c r="D8" s="170" t="s">
        <v>51</v>
      </c>
    </row>
    <row r="9" spans="1:11" x14ac:dyDescent="0.3">
      <c r="A9" s="270">
        <v>50021</v>
      </c>
      <c r="B9" s="950" t="s">
        <v>1323</v>
      </c>
      <c r="C9" s="270">
        <v>50</v>
      </c>
      <c r="D9" s="170" t="s">
        <v>51</v>
      </c>
      <c r="K9" s="950"/>
    </row>
    <row r="10" spans="1:11" x14ac:dyDescent="0.3">
      <c r="A10" s="270">
        <v>50024</v>
      </c>
      <c r="B10" s="270" t="s">
        <v>681</v>
      </c>
      <c r="C10" s="270">
        <v>50</v>
      </c>
      <c r="D10" s="170" t="s">
        <v>51</v>
      </c>
    </row>
    <row r="11" spans="1:11" x14ac:dyDescent="0.3">
      <c r="A11" s="270">
        <v>50029</v>
      </c>
      <c r="B11" s="270" t="s">
        <v>682</v>
      </c>
      <c r="C11" s="270">
        <v>50</v>
      </c>
      <c r="D11" s="170" t="s">
        <v>51</v>
      </c>
    </row>
    <row r="12" spans="1:11" x14ac:dyDescent="0.3">
      <c r="A12" s="270">
        <v>50031</v>
      </c>
      <c r="B12" s="950" t="s">
        <v>1324</v>
      </c>
      <c r="C12" s="270">
        <v>50</v>
      </c>
      <c r="D12" s="170" t="s">
        <v>51</v>
      </c>
      <c r="K12" s="950"/>
    </row>
    <row r="13" spans="1:11" x14ac:dyDescent="0.3">
      <c r="A13" s="270">
        <v>50469</v>
      </c>
      <c r="B13" s="270" t="s">
        <v>683</v>
      </c>
      <c r="C13" s="270">
        <v>50</v>
      </c>
      <c r="D13" s="170" t="s">
        <v>51</v>
      </c>
    </row>
    <row r="14" spans="1:11" x14ac:dyDescent="0.3">
      <c r="A14" s="270">
        <v>50034</v>
      </c>
      <c r="B14" s="270" t="s">
        <v>685</v>
      </c>
      <c r="C14" s="270">
        <v>50</v>
      </c>
      <c r="D14" s="170" t="s">
        <v>51</v>
      </c>
    </row>
    <row r="15" spans="1:11" x14ac:dyDescent="0.3">
      <c r="A15" s="270">
        <v>50038</v>
      </c>
      <c r="B15" s="270" t="s">
        <v>686</v>
      </c>
      <c r="C15" s="270">
        <v>50</v>
      </c>
      <c r="D15" s="170" t="s">
        <v>51</v>
      </c>
    </row>
    <row r="16" spans="1:11" x14ac:dyDescent="0.3">
      <c r="A16" s="270">
        <v>50506</v>
      </c>
      <c r="B16" s="270" t="s">
        <v>687</v>
      </c>
      <c r="C16" s="270">
        <v>50</v>
      </c>
      <c r="D16" s="170" t="s">
        <v>51</v>
      </c>
    </row>
    <row r="17" spans="1:11" x14ac:dyDescent="0.3">
      <c r="A17" s="270">
        <v>50045</v>
      </c>
      <c r="B17" s="270" t="s">
        <v>688</v>
      </c>
      <c r="C17" s="270">
        <v>50</v>
      </c>
      <c r="D17" s="170" t="s">
        <v>51</v>
      </c>
    </row>
    <row r="18" spans="1:11" x14ac:dyDescent="0.3">
      <c r="A18" s="270">
        <v>50049</v>
      </c>
      <c r="B18" s="270" t="s">
        <v>689</v>
      </c>
      <c r="C18" s="270">
        <v>50</v>
      </c>
      <c r="D18" s="170" t="s">
        <v>51</v>
      </c>
    </row>
    <row r="19" spans="1:11" x14ac:dyDescent="0.3">
      <c r="A19" s="270">
        <v>50055</v>
      </c>
      <c r="B19" s="950" t="s">
        <v>1325</v>
      </c>
      <c r="C19" s="270">
        <v>50</v>
      </c>
      <c r="D19" s="170" t="s">
        <v>51</v>
      </c>
      <c r="K19" s="950"/>
    </row>
    <row r="20" spans="1:11" x14ac:dyDescent="0.3">
      <c r="A20" s="270">
        <v>50466</v>
      </c>
      <c r="B20" s="270" t="s">
        <v>1326</v>
      </c>
      <c r="C20" s="270">
        <v>50</v>
      </c>
      <c r="D20" s="170" t="s">
        <v>51</v>
      </c>
    </row>
    <row r="21" spans="1:11" x14ac:dyDescent="0.3">
      <c r="A21" s="270">
        <v>50069</v>
      </c>
      <c r="B21" s="270" t="s">
        <v>690</v>
      </c>
      <c r="C21" s="270">
        <v>50</v>
      </c>
      <c r="D21" s="170" t="s">
        <v>51</v>
      </c>
    </row>
    <row r="22" spans="1:11" x14ac:dyDescent="0.3">
      <c r="A22" s="270">
        <v>50467</v>
      </c>
      <c r="B22" s="270" t="s">
        <v>691</v>
      </c>
      <c r="C22" s="270">
        <v>50</v>
      </c>
      <c r="D22" s="170" t="s">
        <v>51</v>
      </c>
    </row>
    <row r="23" spans="1:11" x14ac:dyDescent="0.3">
      <c r="A23" s="270">
        <v>50510</v>
      </c>
      <c r="B23" s="270" t="s">
        <v>692</v>
      </c>
      <c r="C23" s="270">
        <v>50</v>
      </c>
      <c r="D23" s="170" t="s">
        <v>51</v>
      </c>
    </row>
    <row r="24" spans="1:11" x14ac:dyDescent="0.3">
      <c r="A24" s="270">
        <v>50078</v>
      </c>
      <c r="B24" s="270" t="s">
        <v>1327</v>
      </c>
      <c r="C24" s="270">
        <v>50</v>
      </c>
      <c r="D24" s="170" t="s">
        <v>51</v>
      </c>
    </row>
    <row r="25" spans="1:11" x14ac:dyDescent="0.3">
      <c r="A25" s="270">
        <v>50080</v>
      </c>
      <c r="B25" s="270" t="s">
        <v>1328</v>
      </c>
      <c r="C25" s="270">
        <v>50</v>
      </c>
      <c r="D25" s="170" t="s">
        <v>51</v>
      </c>
    </row>
    <row r="26" spans="1:11" x14ac:dyDescent="0.3">
      <c r="A26" s="270">
        <v>50468</v>
      </c>
      <c r="B26" s="950" t="s">
        <v>1329</v>
      </c>
      <c r="C26" s="270">
        <v>50</v>
      </c>
      <c r="D26" s="170" t="s">
        <v>51</v>
      </c>
      <c r="K26" s="950"/>
    </row>
    <row r="27" spans="1:11" x14ac:dyDescent="0.3">
      <c r="A27" s="270">
        <v>50086</v>
      </c>
      <c r="B27" s="270" t="s">
        <v>694</v>
      </c>
      <c r="C27" s="270">
        <v>50</v>
      </c>
      <c r="D27" s="170" t="s">
        <v>51</v>
      </c>
    </row>
    <row r="28" spans="1:11" x14ac:dyDescent="0.3">
      <c r="A28" s="270">
        <v>50087</v>
      </c>
      <c r="B28" s="270" t="s">
        <v>695</v>
      </c>
      <c r="C28" s="270">
        <v>50</v>
      </c>
      <c r="D28" s="170" t="s">
        <v>51</v>
      </c>
    </row>
    <row r="29" spans="1:11" x14ac:dyDescent="0.3">
      <c r="A29" s="270">
        <v>50091</v>
      </c>
      <c r="B29" s="950" t="s">
        <v>1330</v>
      </c>
      <c r="C29" s="270">
        <v>50</v>
      </c>
      <c r="D29" s="170" t="s">
        <v>51</v>
      </c>
      <c r="K29" s="950"/>
    </row>
    <row r="30" spans="1:11" x14ac:dyDescent="0.3">
      <c r="A30" s="270">
        <v>50098</v>
      </c>
      <c r="B30" s="270" t="s">
        <v>1331</v>
      </c>
      <c r="C30" s="270">
        <v>50</v>
      </c>
      <c r="D30" s="170" t="s">
        <v>51</v>
      </c>
    </row>
    <row r="31" spans="1:11" x14ac:dyDescent="0.3">
      <c r="A31" s="270">
        <v>50100</v>
      </c>
      <c r="B31" s="270" t="s">
        <v>1332</v>
      </c>
      <c r="C31" s="270">
        <v>50</v>
      </c>
      <c r="D31" s="170" t="s">
        <v>51</v>
      </c>
    </row>
    <row r="32" spans="1:11" x14ac:dyDescent="0.3">
      <c r="A32" s="270">
        <v>50513</v>
      </c>
      <c r="B32" s="270" t="s">
        <v>696</v>
      </c>
      <c r="C32" s="270">
        <v>50</v>
      </c>
      <c r="D32" s="170" t="s">
        <v>51</v>
      </c>
    </row>
    <row r="33" spans="1:11" x14ac:dyDescent="0.3">
      <c r="A33" s="270">
        <v>50106</v>
      </c>
      <c r="B33" s="270" t="s">
        <v>697</v>
      </c>
      <c r="C33" s="270">
        <v>50</v>
      </c>
      <c r="D33" s="170" t="s">
        <v>51</v>
      </c>
    </row>
    <row r="34" spans="1:11" x14ac:dyDescent="0.3">
      <c r="A34" s="270">
        <v>50472</v>
      </c>
      <c r="B34" s="270" t="s">
        <v>698</v>
      </c>
      <c r="C34" s="270">
        <v>50</v>
      </c>
      <c r="D34" s="170" t="s">
        <v>51</v>
      </c>
    </row>
    <row r="35" spans="1:11" x14ac:dyDescent="0.3">
      <c r="A35" s="270">
        <v>50112</v>
      </c>
      <c r="B35" s="270" t="s">
        <v>699</v>
      </c>
      <c r="C35" s="270">
        <v>50</v>
      </c>
      <c r="D35" s="170" t="s">
        <v>51</v>
      </c>
    </row>
    <row r="36" spans="1:11" x14ac:dyDescent="0.3">
      <c r="A36" s="270">
        <v>50113</v>
      </c>
      <c r="B36" s="270" t="s">
        <v>700</v>
      </c>
      <c r="C36" s="270">
        <v>50</v>
      </c>
      <c r="D36" s="170" t="s">
        <v>51</v>
      </c>
    </row>
    <row r="37" spans="1:11" x14ac:dyDescent="0.3">
      <c r="A37" s="270">
        <v>50116</v>
      </c>
      <c r="B37" s="950" t="s">
        <v>1333</v>
      </c>
      <c r="C37" s="270">
        <v>50</v>
      </c>
      <c r="D37" s="170" t="s">
        <v>51</v>
      </c>
      <c r="K37" s="950"/>
    </row>
    <row r="38" spans="1:11" x14ac:dyDescent="0.3">
      <c r="A38" s="270">
        <v>50121</v>
      </c>
      <c r="B38" s="270" t="s">
        <v>702</v>
      </c>
      <c r="C38" s="270">
        <v>50</v>
      </c>
      <c r="D38" s="170" t="s">
        <v>51</v>
      </c>
    </row>
    <row r="39" spans="1:11" x14ac:dyDescent="0.3">
      <c r="A39" s="270">
        <v>50122</v>
      </c>
      <c r="B39" s="270" t="s">
        <v>703</v>
      </c>
      <c r="C39" s="270">
        <v>50</v>
      </c>
      <c r="D39" s="170" t="s">
        <v>51</v>
      </c>
    </row>
    <row r="40" spans="1:11" x14ac:dyDescent="0.3">
      <c r="A40" s="270">
        <v>50125</v>
      </c>
      <c r="B40" s="270" t="s">
        <v>704</v>
      </c>
      <c r="C40" s="270">
        <v>50</v>
      </c>
      <c r="D40" s="170" t="s">
        <v>51</v>
      </c>
    </row>
    <row r="41" spans="1:11" x14ac:dyDescent="0.3">
      <c r="A41" s="270">
        <v>50126</v>
      </c>
      <c r="B41" s="950" t="s">
        <v>1334</v>
      </c>
      <c r="C41" s="270">
        <v>50</v>
      </c>
      <c r="D41" s="170" t="s">
        <v>51</v>
      </c>
      <c r="K41" s="950"/>
    </row>
    <row r="42" spans="1:11" x14ac:dyDescent="0.3">
      <c r="A42" s="270">
        <v>50127</v>
      </c>
      <c r="B42" s="270" t="s">
        <v>1335</v>
      </c>
      <c r="C42" s="270">
        <v>50</v>
      </c>
      <c r="D42" s="170" t="s">
        <v>51</v>
      </c>
    </row>
    <row r="43" spans="1:11" x14ac:dyDescent="0.3">
      <c r="A43" s="270">
        <v>50128</v>
      </c>
      <c r="B43" s="270" t="s">
        <v>706</v>
      </c>
      <c r="C43" s="270">
        <v>50</v>
      </c>
      <c r="D43" s="170" t="s">
        <v>51</v>
      </c>
    </row>
    <row r="44" spans="1:11" x14ac:dyDescent="0.3">
      <c r="A44" s="270">
        <v>50129</v>
      </c>
      <c r="B44" s="270" t="s">
        <v>707</v>
      </c>
      <c r="C44" s="270">
        <v>50</v>
      </c>
      <c r="D44" s="170" t="s">
        <v>51</v>
      </c>
    </row>
    <row r="45" spans="1:11" x14ac:dyDescent="0.3">
      <c r="A45" s="270">
        <v>50130</v>
      </c>
      <c r="B45" s="270" t="s">
        <v>708</v>
      </c>
      <c r="C45" s="270">
        <v>50</v>
      </c>
      <c r="D45" s="170" t="s">
        <v>51</v>
      </c>
    </row>
    <row r="46" spans="1:11" x14ac:dyDescent="0.3">
      <c r="A46" s="270">
        <v>50570</v>
      </c>
      <c r="B46" s="270" t="s">
        <v>709</v>
      </c>
      <c r="C46" s="270">
        <v>50</v>
      </c>
      <c r="D46" s="170" t="s">
        <v>51</v>
      </c>
    </row>
    <row r="47" spans="1:11" x14ac:dyDescent="0.3">
      <c r="A47" s="270">
        <v>50139</v>
      </c>
      <c r="B47" s="270" t="s">
        <v>711</v>
      </c>
      <c r="C47" s="270">
        <v>50</v>
      </c>
      <c r="D47" s="170" t="s">
        <v>51</v>
      </c>
    </row>
    <row r="48" spans="1:11" x14ac:dyDescent="0.3">
      <c r="A48" s="270">
        <v>50142</v>
      </c>
      <c r="B48" s="270" t="s">
        <v>712</v>
      </c>
      <c r="C48" s="270">
        <v>50</v>
      </c>
      <c r="D48" s="170" t="s">
        <v>51</v>
      </c>
    </row>
    <row r="49" spans="1:11" x14ac:dyDescent="0.3">
      <c r="A49" s="270">
        <v>50143</v>
      </c>
      <c r="B49" s="270" t="s">
        <v>713</v>
      </c>
      <c r="C49" s="270">
        <v>50</v>
      </c>
      <c r="D49" s="170" t="s">
        <v>51</v>
      </c>
    </row>
    <row r="50" spans="1:11" x14ac:dyDescent="0.3">
      <c r="A50" s="270">
        <v>50148</v>
      </c>
      <c r="B50" s="270" t="s">
        <v>494</v>
      </c>
      <c r="C50" s="270">
        <v>50</v>
      </c>
      <c r="D50" s="170" t="s">
        <v>51</v>
      </c>
    </row>
    <row r="51" spans="1:11" x14ac:dyDescent="0.3">
      <c r="A51" s="270">
        <v>50151</v>
      </c>
      <c r="B51" s="270" t="s">
        <v>1336</v>
      </c>
      <c r="C51" s="270">
        <v>50</v>
      </c>
      <c r="D51" s="170" t="s">
        <v>51</v>
      </c>
    </row>
    <row r="52" spans="1:11" x14ac:dyDescent="0.3">
      <c r="A52" s="270">
        <v>50153</v>
      </c>
      <c r="B52" s="270" t="s">
        <v>714</v>
      </c>
      <c r="C52" s="270">
        <v>50</v>
      </c>
      <c r="D52" s="170" t="s">
        <v>51</v>
      </c>
    </row>
    <row r="53" spans="1:11" x14ac:dyDescent="0.3">
      <c r="A53" s="270">
        <v>50154</v>
      </c>
      <c r="B53" s="270" t="s">
        <v>715</v>
      </c>
      <c r="C53" s="270">
        <v>50</v>
      </c>
      <c r="D53" s="170" t="s">
        <v>51</v>
      </c>
    </row>
    <row r="54" spans="1:11" x14ac:dyDescent="0.3">
      <c r="A54" s="270">
        <v>50517</v>
      </c>
      <c r="B54" s="950" t="s">
        <v>1337</v>
      </c>
      <c r="C54" s="270">
        <v>50</v>
      </c>
      <c r="D54" s="170" t="s">
        <v>51</v>
      </c>
      <c r="K54" s="950"/>
    </row>
    <row r="55" spans="1:11" x14ac:dyDescent="0.3">
      <c r="A55" s="270">
        <v>50448</v>
      </c>
      <c r="B55" s="270" t="s">
        <v>716</v>
      </c>
      <c r="C55" s="270">
        <v>50</v>
      </c>
      <c r="D55" s="170" t="s">
        <v>51</v>
      </c>
    </row>
    <row r="56" spans="1:11" x14ac:dyDescent="0.3">
      <c r="A56" s="270">
        <v>50163</v>
      </c>
      <c r="B56" s="270" t="s">
        <v>717</v>
      </c>
      <c r="C56" s="270">
        <v>50</v>
      </c>
      <c r="D56" s="170" t="s">
        <v>51</v>
      </c>
    </row>
    <row r="57" spans="1:11" x14ac:dyDescent="0.3">
      <c r="A57" s="270">
        <v>50165</v>
      </c>
      <c r="B57" s="270" t="s">
        <v>718</v>
      </c>
      <c r="C57" s="270">
        <v>50</v>
      </c>
      <c r="D57" s="170" t="s">
        <v>51</v>
      </c>
    </row>
    <row r="58" spans="1:11" x14ac:dyDescent="0.3">
      <c r="A58" s="270">
        <v>50166</v>
      </c>
      <c r="B58" s="270" t="s">
        <v>719</v>
      </c>
      <c r="C58" s="270">
        <v>50</v>
      </c>
      <c r="D58" s="170" t="s">
        <v>51</v>
      </c>
    </row>
    <row r="59" spans="1:11" x14ac:dyDescent="0.3">
      <c r="A59" s="270">
        <v>50167</v>
      </c>
      <c r="B59" s="270" t="s">
        <v>720</v>
      </c>
      <c r="C59" s="270">
        <v>50</v>
      </c>
      <c r="D59" s="170" t="s">
        <v>51</v>
      </c>
    </row>
    <row r="60" spans="1:11" x14ac:dyDescent="0.3">
      <c r="A60" s="270">
        <v>50171</v>
      </c>
      <c r="B60" s="950" t="s">
        <v>1338</v>
      </c>
      <c r="C60" s="270">
        <v>50</v>
      </c>
      <c r="D60" s="170" t="s">
        <v>51</v>
      </c>
      <c r="K60" s="950"/>
    </row>
    <row r="61" spans="1:11" x14ac:dyDescent="0.3">
      <c r="A61" s="270">
        <v>50440</v>
      </c>
      <c r="B61" s="270" t="s">
        <v>1339</v>
      </c>
      <c r="C61" s="270">
        <v>50</v>
      </c>
      <c r="D61" s="170" t="s">
        <v>51</v>
      </c>
    </row>
    <row r="62" spans="1:11" x14ac:dyDescent="0.3">
      <c r="A62" s="270">
        <v>50175</v>
      </c>
      <c r="B62" s="950" t="s">
        <v>495</v>
      </c>
      <c r="C62" s="270">
        <v>50</v>
      </c>
      <c r="D62" s="170" t="s">
        <v>51</v>
      </c>
      <c r="K62" s="950"/>
    </row>
    <row r="63" spans="1:11" x14ac:dyDescent="0.3">
      <c r="A63" s="270">
        <v>50177</v>
      </c>
      <c r="B63" s="950" t="s">
        <v>1340</v>
      </c>
      <c r="C63" s="270">
        <v>50</v>
      </c>
      <c r="D63" s="170" t="s">
        <v>51</v>
      </c>
      <c r="K63" s="950"/>
    </row>
    <row r="64" spans="1:11" x14ac:dyDescent="0.3">
      <c r="A64" s="270">
        <v>50183</v>
      </c>
      <c r="B64" s="270" t="s">
        <v>721</v>
      </c>
      <c r="C64" s="270">
        <v>50</v>
      </c>
      <c r="D64" s="170" t="s">
        <v>51</v>
      </c>
    </row>
    <row r="65" spans="1:11" x14ac:dyDescent="0.3">
      <c r="A65" s="270">
        <v>50184</v>
      </c>
      <c r="B65" s="270" t="s">
        <v>722</v>
      </c>
      <c r="C65" s="270">
        <v>50</v>
      </c>
      <c r="D65" s="170" t="s">
        <v>51</v>
      </c>
    </row>
    <row r="66" spans="1:11" x14ac:dyDescent="0.3">
      <c r="A66" s="270">
        <v>50186</v>
      </c>
      <c r="B66" s="270" t="s">
        <v>723</v>
      </c>
      <c r="C66" s="270">
        <v>50</v>
      </c>
      <c r="D66" s="170" t="s">
        <v>51</v>
      </c>
    </row>
    <row r="67" spans="1:11" x14ac:dyDescent="0.3">
      <c r="A67" s="270">
        <v>50476</v>
      </c>
      <c r="B67" s="270" t="s">
        <v>568</v>
      </c>
      <c r="C67" s="270">
        <v>50</v>
      </c>
      <c r="D67" s="170" t="s">
        <v>51</v>
      </c>
    </row>
    <row r="68" spans="1:11" x14ac:dyDescent="0.3">
      <c r="A68" s="270">
        <v>50192</v>
      </c>
      <c r="B68" s="270" t="s">
        <v>569</v>
      </c>
      <c r="C68" s="270">
        <v>50</v>
      </c>
      <c r="D68" s="170" t="s">
        <v>51</v>
      </c>
    </row>
    <row r="69" spans="1:11" x14ac:dyDescent="0.3">
      <c r="A69" s="270">
        <v>50518</v>
      </c>
      <c r="B69" s="270" t="s">
        <v>570</v>
      </c>
      <c r="C69" s="270">
        <v>50</v>
      </c>
      <c r="D69" s="170" t="s">
        <v>51</v>
      </c>
    </row>
    <row r="70" spans="1:11" x14ac:dyDescent="0.3">
      <c r="A70" s="270">
        <v>50231</v>
      </c>
      <c r="B70" s="270" t="s">
        <v>571</v>
      </c>
      <c r="C70" s="270">
        <v>50</v>
      </c>
      <c r="D70" s="170" t="s">
        <v>51</v>
      </c>
    </row>
    <row r="71" spans="1:11" x14ac:dyDescent="0.3">
      <c r="A71" s="270">
        <v>50235</v>
      </c>
      <c r="B71" s="270" t="s">
        <v>573</v>
      </c>
      <c r="C71" s="270">
        <v>50</v>
      </c>
      <c r="D71" s="170" t="s">
        <v>51</v>
      </c>
    </row>
    <row r="72" spans="1:11" x14ac:dyDescent="0.3">
      <c r="A72" s="270">
        <v>50233</v>
      </c>
      <c r="B72" s="270" t="s">
        <v>572</v>
      </c>
      <c r="C72" s="270">
        <v>50</v>
      </c>
      <c r="D72" s="170" t="s">
        <v>51</v>
      </c>
    </row>
    <row r="73" spans="1:11" x14ac:dyDescent="0.3">
      <c r="A73" s="270">
        <v>50236</v>
      </c>
      <c r="B73" s="270" t="s">
        <v>574</v>
      </c>
      <c r="C73" s="270">
        <v>50</v>
      </c>
      <c r="D73" s="170" t="s">
        <v>51</v>
      </c>
    </row>
    <row r="74" spans="1:11" x14ac:dyDescent="0.3">
      <c r="A74" s="270">
        <v>50239</v>
      </c>
      <c r="B74" s="270" t="s">
        <v>577</v>
      </c>
      <c r="C74" s="270">
        <v>50</v>
      </c>
      <c r="D74" s="170" t="s">
        <v>51</v>
      </c>
    </row>
    <row r="75" spans="1:11" x14ac:dyDescent="0.3">
      <c r="A75" s="270">
        <v>50249</v>
      </c>
      <c r="B75" s="270" t="s">
        <v>589</v>
      </c>
      <c r="C75" s="270">
        <v>50</v>
      </c>
      <c r="D75" s="170" t="s">
        <v>51</v>
      </c>
    </row>
    <row r="76" spans="1:11" x14ac:dyDescent="0.3">
      <c r="A76" s="270">
        <v>50254</v>
      </c>
      <c r="B76" s="270" t="s">
        <v>1341</v>
      </c>
      <c r="C76" s="270">
        <v>50</v>
      </c>
      <c r="D76" s="170" t="s">
        <v>51</v>
      </c>
    </row>
    <row r="77" spans="1:11" x14ac:dyDescent="0.3">
      <c r="A77" s="270">
        <v>50255</v>
      </c>
      <c r="B77" s="950" t="s">
        <v>1342</v>
      </c>
      <c r="C77" s="270">
        <v>50</v>
      </c>
      <c r="D77" s="170" t="s">
        <v>51</v>
      </c>
      <c r="K77" s="950"/>
    </row>
    <row r="78" spans="1:11" x14ac:dyDescent="0.3">
      <c r="A78" s="270">
        <v>50257</v>
      </c>
      <c r="B78" s="270" t="s">
        <v>726</v>
      </c>
      <c r="C78" s="270">
        <v>50</v>
      </c>
      <c r="D78" s="170" t="s">
        <v>51</v>
      </c>
    </row>
    <row r="79" spans="1:11" x14ac:dyDescent="0.3">
      <c r="A79" s="270">
        <v>50452</v>
      </c>
      <c r="B79" s="950" t="s">
        <v>1343</v>
      </c>
      <c r="C79" s="270">
        <v>50</v>
      </c>
      <c r="D79" s="170" t="s">
        <v>51</v>
      </c>
      <c r="K79" s="950"/>
    </row>
    <row r="80" spans="1:11" x14ac:dyDescent="0.3">
      <c r="A80" s="270">
        <v>50260</v>
      </c>
      <c r="B80" s="270" t="s">
        <v>727</v>
      </c>
      <c r="C80" s="270">
        <v>50</v>
      </c>
      <c r="D80" s="170" t="s">
        <v>51</v>
      </c>
    </row>
    <row r="81" spans="1:11" x14ac:dyDescent="0.3">
      <c r="A81" s="270">
        <v>50268</v>
      </c>
      <c r="B81" s="950" t="s">
        <v>1344</v>
      </c>
      <c r="C81" s="270">
        <v>50</v>
      </c>
      <c r="D81" s="170" t="s">
        <v>51</v>
      </c>
      <c r="K81" s="950"/>
    </row>
    <row r="82" spans="1:11" x14ac:dyDescent="0.3">
      <c r="A82" s="270">
        <v>50269</v>
      </c>
      <c r="B82" s="270" t="s">
        <v>728</v>
      </c>
      <c r="C82" s="270">
        <v>50</v>
      </c>
      <c r="D82" s="170" t="s">
        <v>51</v>
      </c>
    </row>
    <row r="83" spans="1:11" x14ac:dyDescent="0.3">
      <c r="A83" s="270">
        <v>50480</v>
      </c>
      <c r="B83" s="270" t="s">
        <v>729</v>
      </c>
      <c r="C83" s="270">
        <v>50</v>
      </c>
      <c r="D83" s="170" t="s">
        <v>51</v>
      </c>
    </row>
    <row r="84" spans="1:11" x14ac:dyDescent="0.3">
      <c r="A84" s="270">
        <v>50278</v>
      </c>
      <c r="B84" s="270" t="s">
        <v>730</v>
      </c>
      <c r="C84" s="270">
        <v>50</v>
      </c>
      <c r="D84" s="170" t="s">
        <v>51</v>
      </c>
    </row>
    <row r="85" spans="1:11" x14ac:dyDescent="0.3">
      <c r="A85" s="270">
        <v>50280</v>
      </c>
      <c r="B85" s="270" t="s">
        <v>731</v>
      </c>
      <c r="C85" s="270">
        <v>50</v>
      </c>
      <c r="D85" s="170" t="s">
        <v>51</v>
      </c>
    </row>
    <row r="86" spans="1:11" x14ac:dyDescent="0.3">
      <c r="A86" s="270">
        <v>50281</v>
      </c>
      <c r="B86" s="270" t="s">
        <v>732</v>
      </c>
      <c r="C86" s="270">
        <v>50</v>
      </c>
      <c r="D86" s="170" t="s">
        <v>51</v>
      </c>
    </row>
    <row r="87" spans="1:11" x14ac:dyDescent="0.3">
      <c r="A87" s="270">
        <v>50478</v>
      </c>
      <c r="B87" s="270" t="s">
        <v>733</v>
      </c>
      <c r="C87" s="270">
        <v>50</v>
      </c>
      <c r="D87" s="170" t="s">
        <v>51</v>
      </c>
    </row>
    <row r="88" spans="1:11" x14ac:dyDescent="0.3">
      <c r="A88" s="270">
        <v>50283</v>
      </c>
      <c r="B88" s="270" t="s">
        <v>735</v>
      </c>
      <c r="C88" s="270">
        <v>50</v>
      </c>
      <c r="D88" s="170" t="s">
        <v>51</v>
      </c>
    </row>
    <row r="89" spans="1:11" x14ac:dyDescent="0.3">
      <c r="A89" s="270">
        <v>50285</v>
      </c>
      <c r="B89" s="270" t="s">
        <v>736</v>
      </c>
      <c r="C89" s="270">
        <v>50</v>
      </c>
      <c r="D89" s="170" t="s">
        <v>51</v>
      </c>
    </row>
    <row r="90" spans="1:11" x14ac:dyDescent="0.3">
      <c r="A90" s="270">
        <v>50296</v>
      </c>
      <c r="B90" s="270" t="s">
        <v>739</v>
      </c>
      <c r="C90" s="270">
        <v>50</v>
      </c>
      <c r="D90" s="170" t="s">
        <v>51</v>
      </c>
    </row>
    <row r="91" spans="1:11" x14ac:dyDescent="0.3">
      <c r="A91" s="270">
        <v>50297</v>
      </c>
      <c r="B91" s="270" t="s">
        <v>740</v>
      </c>
      <c r="C91" s="270">
        <v>50</v>
      </c>
      <c r="D91" s="170" t="s">
        <v>51</v>
      </c>
    </row>
    <row r="92" spans="1:11" x14ac:dyDescent="0.3">
      <c r="A92" s="270">
        <v>50305</v>
      </c>
      <c r="B92" s="950" t="s">
        <v>1345</v>
      </c>
      <c r="C92" s="270">
        <v>50</v>
      </c>
      <c r="D92" s="170" t="s">
        <v>51</v>
      </c>
      <c r="K92" s="950"/>
    </row>
    <row r="93" spans="1:11" x14ac:dyDescent="0.3">
      <c r="A93" s="270">
        <v>50479</v>
      </c>
      <c r="B93" s="270" t="s">
        <v>741</v>
      </c>
      <c r="C93" s="270">
        <v>50</v>
      </c>
      <c r="D93" s="170" t="s">
        <v>51</v>
      </c>
    </row>
    <row r="94" spans="1:11" x14ac:dyDescent="0.3">
      <c r="A94" s="270">
        <v>50307</v>
      </c>
      <c r="B94" s="270" t="s">
        <v>742</v>
      </c>
      <c r="C94" s="270">
        <v>50</v>
      </c>
      <c r="D94" s="170" t="s">
        <v>51</v>
      </c>
    </row>
    <row r="95" spans="1:11" x14ac:dyDescent="0.3">
      <c r="A95" s="270">
        <v>50310</v>
      </c>
      <c r="B95" s="270" t="s">
        <v>743</v>
      </c>
      <c r="C95" s="270">
        <v>50</v>
      </c>
      <c r="D95" s="170" t="s">
        <v>51</v>
      </c>
    </row>
    <row r="96" spans="1:11" x14ac:dyDescent="0.3">
      <c r="A96" s="270">
        <v>50311</v>
      </c>
      <c r="B96" s="270" t="s">
        <v>744</v>
      </c>
      <c r="C96" s="270">
        <v>50</v>
      </c>
      <c r="D96" s="170" t="s">
        <v>51</v>
      </c>
    </row>
    <row r="97" spans="1:11" x14ac:dyDescent="0.3">
      <c r="A97" s="270">
        <v>50314</v>
      </c>
      <c r="B97" s="270" t="s">
        <v>745</v>
      </c>
      <c r="C97" s="270">
        <v>50</v>
      </c>
      <c r="D97" s="170" t="s">
        <v>51</v>
      </c>
    </row>
    <row r="98" spans="1:11" x14ac:dyDescent="0.3">
      <c r="A98" s="270">
        <v>50316</v>
      </c>
      <c r="B98" s="270" t="s">
        <v>746</v>
      </c>
      <c r="C98" s="270">
        <v>50</v>
      </c>
      <c r="D98" s="170" t="s">
        <v>51</v>
      </c>
    </row>
    <row r="99" spans="1:11" x14ac:dyDescent="0.3">
      <c r="A99" s="270">
        <v>50318</v>
      </c>
      <c r="B99" s="270" t="s">
        <v>747</v>
      </c>
      <c r="C99" s="270">
        <v>50</v>
      </c>
      <c r="D99" s="170" t="s">
        <v>51</v>
      </c>
    </row>
    <row r="100" spans="1:11" x14ac:dyDescent="0.3">
      <c r="A100" s="270">
        <v>50323</v>
      </c>
      <c r="B100" s="270" t="s">
        <v>748</v>
      </c>
      <c r="C100" s="270">
        <v>50</v>
      </c>
      <c r="D100" s="170" t="s">
        <v>51</v>
      </c>
    </row>
    <row r="101" spans="1:11" x14ac:dyDescent="0.3">
      <c r="A101" s="270">
        <v>50321</v>
      </c>
      <c r="B101" s="270" t="s">
        <v>1346</v>
      </c>
      <c r="C101" s="270">
        <v>50</v>
      </c>
      <c r="D101" s="170" t="s">
        <v>51</v>
      </c>
    </row>
    <row r="102" spans="1:11" x14ac:dyDescent="0.3">
      <c r="A102" s="270">
        <v>50325</v>
      </c>
      <c r="B102" s="270" t="s">
        <v>749</v>
      </c>
      <c r="C102" s="270">
        <v>50</v>
      </c>
      <c r="D102" s="170" t="s">
        <v>51</v>
      </c>
    </row>
    <row r="103" spans="1:11" x14ac:dyDescent="0.3">
      <c r="A103" s="270">
        <v>50327</v>
      </c>
      <c r="B103" s="270" t="s">
        <v>750</v>
      </c>
      <c r="C103" s="270">
        <v>50</v>
      </c>
      <c r="D103" s="170" t="s">
        <v>51</v>
      </c>
    </row>
    <row r="104" spans="1:11" x14ac:dyDescent="0.3">
      <c r="A104" s="270">
        <v>50328</v>
      </c>
      <c r="B104" s="270" t="s">
        <v>501</v>
      </c>
      <c r="C104" s="270">
        <v>50</v>
      </c>
      <c r="D104" s="170" t="s">
        <v>51</v>
      </c>
    </row>
    <row r="105" spans="1:11" x14ac:dyDescent="0.3">
      <c r="A105" s="270">
        <v>50332</v>
      </c>
      <c r="B105" s="270" t="s">
        <v>751</v>
      </c>
      <c r="C105" s="270">
        <v>50</v>
      </c>
      <c r="D105" s="170" t="s">
        <v>51</v>
      </c>
    </row>
    <row r="106" spans="1:11" x14ac:dyDescent="0.3">
      <c r="A106" s="270">
        <v>50334</v>
      </c>
      <c r="B106" s="950" t="s">
        <v>1347</v>
      </c>
      <c r="C106" s="270">
        <v>50</v>
      </c>
      <c r="D106" s="170" t="s">
        <v>51</v>
      </c>
      <c r="K106" s="950"/>
    </row>
    <row r="107" spans="1:11" x14ac:dyDescent="0.3">
      <c r="A107" s="270">
        <v>50336</v>
      </c>
      <c r="B107" s="270" t="s">
        <v>1348</v>
      </c>
      <c r="C107" s="270">
        <v>50</v>
      </c>
      <c r="D107" s="170" t="s">
        <v>51</v>
      </c>
    </row>
    <row r="108" spans="1:11" x14ac:dyDescent="0.3">
      <c r="A108" s="270">
        <v>50337</v>
      </c>
      <c r="B108" s="950" t="s">
        <v>1349</v>
      </c>
      <c r="C108" s="270">
        <v>50</v>
      </c>
      <c r="D108" s="170" t="s">
        <v>51</v>
      </c>
      <c r="K108" s="950"/>
    </row>
    <row r="109" spans="1:11" x14ac:dyDescent="0.3">
      <c r="A109" s="270">
        <v>50338</v>
      </c>
      <c r="B109" s="950" t="s">
        <v>1350</v>
      </c>
      <c r="C109" s="270">
        <v>50</v>
      </c>
      <c r="D109" s="170" t="s">
        <v>51</v>
      </c>
      <c r="K109" s="950"/>
    </row>
    <row r="110" spans="1:11" x14ac:dyDescent="0.3">
      <c r="A110" s="270">
        <v>50340</v>
      </c>
      <c r="B110" s="270" t="s">
        <v>1351</v>
      </c>
      <c r="C110" s="270">
        <v>50</v>
      </c>
      <c r="D110" s="170" t="s">
        <v>51</v>
      </c>
    </row>
    <row r="111" spans="1:11" x14ac:dyDescent="0.3">
      <c r="A111" s="270">
        <v>50343</v>
      </c>
      <c r="B111" s="270" t="s">
        <v>752</v>
      </c>
      <c r="C111" s="270">
        <v>50</v>
      </c>
      <c r="D111" s="170" t="s">
        <v>51</v>
      </c>
    </row>
    <row r="112" spans="1:11" x14ac:dyDescent="0.3">
      <c r="A112" s="270">
        <v>50348</v>
      </c>
      <c r="B112" s="270" t="s">
        <v>754</v>
      </c>
      <c r="C112" s="270">
        <v>50</v>
      </c>
      <c r="D112" s="170" t="s">
        <v>51</v>
      </c>
    </row>
    <row r="113" spans="1:11" x14ac:dyDescent="0.3">
      <c r="A113" s="270">
        <v>50541</v>
      </c>
      <c r="B113" s="270" t="s">
        <v>755</v>
      </c>
      <c r="C113" s="270">
        <v>50</v>
      </c>
      <c r="D113" s="170" t="s">
        <v>51</v>
      </c>
    </row>
    <row r="114" spans="1:11" x14ac:dyDescent="0.3">
      <c r="A114" s="270">
        <v>50355</v>
      </c>
      <c r="B114" s="270" t="s">
        <v>756</v>
      </c>
      <c r="C114" s="270">
        <v>50</v>
      </c>
      <c r="D114" s="170" t="s">
        <v>51</v>
      </c>
    </row>
    <row r="115" spans="1:11" x14ac:dyDescent="0.3">
      <c r="A115" s="270">
        <v>50357</v>
      </c>
      <c r="B115" s="950" t="s">
        <v>1352</v>
      </c>
      <c r="C115" s="270">
        <v>50</v>
      </c>
      <c r="D115" s="170" t="s">
        <v>51</v>
      </c>
      <c r="K115" s="950"/>
    </row>
    <row r="116" spans="1:11" x14ac:dyDescent="0.3">
      <c r="A116" s="270">
        <v>50360</v>
      </c>
      <c r="B116" s="270" t="s">
        <v>757</v>
      </c>
      <c r="C116" s="270">
        <v>50</v>
      </c>
      <c r="D116" s="170" t="s">
        <v>51</v>
      </c>
    </row>
    <row r="117" spans="1:11" x14ac:dyDescent="0.3">
      <c r="A117" s="270">
        <v>50370</v>
      </c>
      <c r="B117" s="270" t="s">
        <v>758</v>
      </c>
      <c r="C117" s="270">
        <v>50</v>
      </c>
      <c r="D117" s="170" t="s">
        <v>51</v>
      </c>
    </row>
    <row r="118" spans="1:11" x14ac:dyDescent="0.3">
      <c r="A118" s="270">
        <v>50374</v>
      </c>
      <c r="B118" s="270" t="s">
        <v>1353</v>
      </c>
      <c r="C118" s="270">
        <v>50</v>
      </c>
      <c r="D118" s="170" t="s">
        <v>51</v>
      </c>
    </row>
    <row r="119" spans="1:11" x14ac:dyDescent="0.3">
      <c r="A119" s="270">
        <v>50483</v>
      </c>
      <c r="B119" s="270" t="s">
        <v>1354</v>
      </c>
      <c r="C119" s="270">
        <v>50</v>
      </c>
      <c r="D119" s="170" t="s">
        <v>51</v>
      </c>
    </row>
    <row r="120" spans="1:11" x14ac:dyDescent="0.3">
      <c r="A120" s="270">
        <v>50386</v>
      </c>
      <c r="B120" s="270" t="s">
        <v>1355</v>
      </c>
      <c r="C120" s="270">
        <v>50</v>
      </c>
      <c r="D120" s="170" t="s">
        <v>51</v>
      </c>
    </row>
    <row r="121" spans="1:11" x14ac:dyDescent="0.3">
      <c r="A121" s="270">
        <v>50389</v>
      </c>
      <c r="B121" s="270" t="s">
        <v>760</v>
      </c>
      <c r="C121" s="270">
        <v>50</v>
      </c>
      <c r="D121" s="170" t="s">
        <v>51</v>
      </c>
    </row>
    <row r="122" spans="1:11" x14ac:dyDescent="0.3">
      <c r="A122" s="270">
        <v>50500</v>
      </c>
      <c r="B122" s="270" t="s">
        <v>761</v>
      </c>
      <c r="C122" s="270">
        <v>50</v>
      </c>
      <c r="D122" s="170" t="s">
        <v>51</v>
      </c>
    </row>
    <row r="123" spans="1:11" x14ac:dyDescent="0.3">
      <c r="A123" s="270">
        <v>50390</v>
      </c>
      <c r="B123" s="950" t="s">
        <v>1356</v>
      </c>
      <c r="C123" s="270">
        <v>50</v>
      </c>
      <c r="D123" s="170" t="s">
        <v>51</v>
      </c>
      <c r="K123" s="950"/>
    </row>
    <row r="124" spans="1:11" x14ac:dyDescent="0.3">
      <c r="A124" s="270">
        <v>50396</v>
      </c>
      <c r="B124" s="270" t="s">
        <v>762</v>
      </c>
      <c r="C124" s="270">
        <v>50</v>
      </c>
      <c r="D124" s="170" t="s">
        <v>51</v>
      </c>
    </row>
    <row r="125" spans="1:11" x14ac:dyDescent="0.3">
      <c r="A125" s="270">
        <v>50399</v>
      </c>
      <c r="B125" s="270" t="s">
        <v>764</v>
      </c>
      <c r="C125" s="270">
        <v>50</v>
      </c>
      <c r="D125" s="170" t="s">
        <v>51</v>
      </c>
    </row>
    <row r="126" spans="1:11" x14ac:dyDescent="0.3">
      <c r="A126" s="270">
        <v>50401</v>
      </c>
      <c r="B126" s="270" t="s">
        <v>765</v>
      </c>
      <c r="C126" s="270">
        <v>50</v>
      </c>
      <c r="D126" s="170" t="s">
        <v>51</v>
      </c>
    </row>
    <row r="127" spans="1:11" x14ac:dyDescent="0.3">
      <c r="A127" s="270">
        <v>50402</v>
      </c>
      <c r="B127" s="950" t="s">
        <v>1357</v>
      </c>
      <c r="C127" s="270">
        <v>50</v>
      </c>
      <c r="D127" s="170" t="s">
        <v>51</v>
      </c>
      <c r="K127" s="950"/>
    </row>
    <row r="128" spans="1:11" x14ac:dyDescent="0.3">
      <c r="A128" s="270">
        <v>50486</v>
      </c>
      <c r="B128" s="270" t="s">
        <v>1358</v>
      </c>
      <c r="C128" s="270">
        <v>50</v>
      </c>
      <c r="D128" s="170" t="s">
        <v>51</v>
      </c>
    </row>
    <row r="129" spans="1:11" x14ac:dyDescent="0.3">
      <c r="A129" s="270">
        <v>50409</v>
      </c>
      <c r="B129" s="270" t="s">
        <v>1359</v>
      </c>
      <c r="C129" s="270">
        <v>50</v>
      </c>
      <c r="D129" s="170" t="s">
        <v>51</v>
      </c>
    </row>
    <row r="130" spans="1:11" x14ac:dyDescent="0.3">
      <c r="A130" s="270">
        <v>50420</v>
      </c>
      <c r="B130" s="270" t="s">
        <v>766</v>
      </c>
      <c r="C130" s="270">
        <v>50</v>
      </c>
      <c r="D130" s="170" t="s">
        <v>51</v>
      </c>
    </row>
    <row r="131" spans="1:11" x14ac:dyDescent="0.3">
      <c r="A131" s="270">
        <v>50421</v>
      </c>
      <c r="B131" s="950" t="s">
        <v>1360</v>
      </c>
      <c r="C131" s="270">
        <v>50</v>
      </c>
      <c r="D131" s="170" t="s">
        <v>51</v>
      </c>
      <c r="K131" s="950"/>
    </row>
    <row r="132" spans="1:11" x14ac:dyDescent="0.3">
      <c r="A132" s="270">
        <v>50423</v>
      </c>
      <c r="B132" s="270" t="s">
        <v>767</v>
      </c>
      <c r="C132" s="270">
        <v>50</v>
      </c>
      <c r="D132" s="170" t="s">
        <v>51</v>
      </c>
    </row>
    <row r="133" spans="1:11" x14ac:dyDescent="0.3">
      <c r="A133" s="270">
        <v>50432</v>
      </c>
      <c r="B133" s="950" t="s">
        <v>1361</v>
      </c>
      <c r="C133" s="270">
        <v>50</v>
      </c>
      <c r="D133" s="170" t="s">
        <v>51</v>
      </c>
      <c r="K133" s="950"/>
    </row>
    <row r="134" spans="1:11" x14ac:dyDescent="0.3">
      <c r="A134" s="270">
        <v>50499</v>
      </c>
      <c r="B134" s="950" t="s">
        <v>1362</v>
      </c>
      <c r="C134" s="270">
        <v>50</v>
      </c>
      <c r="D134" s="170" t="s">
        <v>51</v>
      </c>
      <c r="K134" s="950"/>
    </row>
    <row r="135" spans="1:11" x14ac:dyDescent="0.3">
      <c r="A135" s="270">
        <v>5103</v>
      </c>
      <c r="B135" s="270" t="s">
        <v>678</v>
      </c>
      <c r="C135" s="270">
        <v>51</v>
      </c>
      <c r="D135" s="170" t="s">
        <v>51</v>
      </c>
    </row>
    <row r="136" spans="1:11" x14ac:dyDescent="0.3">
      <c r="A136" s="270">
        <v>5107</v>
      </c>
      <c r="B136" s="270" t="s">
        <v>684</v>
      </c>
      <c r="C136" s="270">
        <v>51</v>
      </c>
      <c r="D136" s="170" t="s">
        <v>51</v>
      </c>
    </row>
    <row r="137" spans="1:11" x14ac:dyDescent="0.3">
      <c r="A137" s="270">
        <v>5116</v>
      </c>
      <c r="B137" s="950" t="s">
        <v>1363</v>
      </c>
      <c r="C137" s="270">
        <v>51</v>
      </c>
      <c r="D137" s="170" t="s">
        <v>51</v>
      </c>
      <c r="K137" s="950"/>
    </row>
    <row r="138" spans="1:11" x14ac:dyDescent="0.3">
      <c r="A138" s="270">
        <v>5119</v>
      </c>
      <c r="B138" s="950" t="s">
        <v>1364</v>
      </c>
      <c r="C138" s="270">
        <v>51</v>
      </c>
      <c r="D138" s="170" t="s">
        <v>51</v>
      </c>
      <c r="K138" s="950"/>
    </row>
    <row r="139" spans="1:11" x14ac:dyDescent="0.3">
      <c r="A139" s="270">
        <v>5123</v>
      </c>
      <c r="B139" s="270" t="s">
        <v>1365</v>
      </c>
      <c r="C139" s="270">
        <v>51</v>
      </c>
      <c r="D139" s="170" t="s">
        <v>51</v>
      </c>
    </row>
    <row r="140" spans="1:11" x14ac:dyDescent="0.3">
      <c r="A140" s="270">
        <v>5129</v>
      </c>
      <c r="B140" s="950" t="s">
        <v>1366</v>
      </c>
      <c r="C140" s="270">
        <v>51</v>
      </c>
      <c r="D140" s="170" t="s">
        <v>51</v>
      </c>
      <c r="K140" s="950"/>
    </row>
    <row r="141" spans="1:11" x14ac:dyDescent="0.3">
      <c r="A141" s="270">
        <v>5132</v>
      </c>
      <c r="B141" s="270" t="s">
        <v>701</v>
      </c>
      <c r="C141" s="270">
        <v>51</v>
      </c>
      <c r="D141" s="170" t="s">
        <v>51</v>
      </c>
    </row>
    <row r="142" spans="1:11" x14ac:dyDescent="0.3">
      <c r="A142" s="270">
        <v>5137</v>
      </c>
      <c r="B142" s="270" t="s">
        <v>1367</v>
      </c>
      <c r="C142" s="270">
        <v>51</v>
      </c>
      <c r="D142" s="170" t="s">
        <v>51</v>
      </c>
    </row>
    <row r="143" spans="1:11" x14ac:dyDescent="0.3">
      <c r="A143" s="270">
        <v>5147</v>
      </c>
      <c r="B143" s="270" t="s">
        <v>724</v>
      </c>
      <c r="C143" s="270">
        <v>51</v>
      </c>
      <c r="D143" s="170" t="s">
        <v>51</v>
      </c>
    </row>
    <row r="144" spans="1:11" x14ac:dyDescent="0.3">
      <c r="A144" s="270">
        <v>5156</v>
      </c>
      <c r="B144" s="270" t="s">
        <v>725</v>
      </c>
      <c r="C144" s="270">
        <v>51</v>
      </c>
      <c r="D144" s="170" t="s">
        <v>51</v>
      </c>
    </row>
    <row r="145" spans="1:11" x14ac:dyDescent="0.3">
      <c r="A145" s="270">
        <v>5157</v>
      </c>
      <c r="B145" s="270" t="s">
        <v>1368</v>
      </c>
      <c r="C145" s="270">
        <v>51</v>
      </c>
      <c r="D145" s="170" t="s">
        <v>51</v>
      </c>
    </row>
    <row r="146" spans="1:11" x14ac:dyDescent="0.3">
      <c r="A146" s="270">
        <v>5165</v>
      </c>
      <c r="B146" s="270" t="s">
        <v>734</v>
      </c>
      <c r="C146" s="270">
        <v>51</v>
      </c>
      <c r="D146" s="170" t="s">
        <v>51</v>
      </c>
    </row>
    <row r="147" spans="1:11" x14ac:dyDescent="0.3">
      <c r="A147" s="270">
        <v>5167</v>
      </c>
      <c r="B147" s="270" t="s">
        <v>737</v>
      </c>
      <c r="C147" s="270">
        <v>51</v>
      </c>
      <c r="D147" s="170" t="s">
        <v>51</v>
      </c>
    </row>
    <row r="148" spans="1:11" x14ac:dyDescent="0.3">
      <c r="A148" s="270">
        <v>5170</v>
      </c>
      <c r="B148" s="270" t="s">
        <v>738</v>
      </c>
      <c r="C148" s="270">
        <v>51</v>
      </c>
      <c r="D148" s="170" t="s">
        <v>51</v>
      </c>
    </row>
    <row r="149" spans="1:11" x14ac:dyDescent="0.3">
      <c r="A149" s="270">
        <v>5172</v>
      </c>
      <c r="B149" s="270" t="s">
        <v>1369</v>
      </c>
      <c r="C149" s="270">
        <v>51</v>
      </c>
      <c r="D149" s="170" t="s">
        <v>51</v>
      </c>
    </row>
    <row r="150" spans="1:11" x14ac:dyDescent="0.3">
      <c r="A150" s="270">
        <v>5182</v>
      </c>
      <c r="B150" s="270" t="s">
        <v>753</v>
      </c>
      <c r="C150" s="270">
        <v>51</v>
      </c>
      <c r="D150" s="170" t="s">
        <v>51</v>
      </c>
    </row>
    <row r="151" spans="1:11" x14ac:dyDescent="0.3">
      <c r="A151" s="270">
        <v>5188</v>
      </c>
      <c r="B151" s="270" t="s">
        <v>763</v>
      </c>
      <c r="C151" s="270">
        <v>51</v>
      </c>
      <c r="D151" s="170" t="s">
        <v>51</v>
      </c>
    </row>
    <row r="152" spans="1:11" x14ac:dyDescent="0.3">
      <c r="A152" s="270">
        <v>591706</v>
      </c>
      <c r="B152" s="951" t="s">
        <v>1370</v>
      </c>
      <c r="C152" s="270">
        <v>59</v>
      </c>
      <c r="D152" s="170" t="s">
        <v>51</v>
      </c>
      <c r="K152" s="951"/>
    </row>
    <row r="153" spans="1:11" x14ac:dyDescent="0.3">
      <c r="A153" s="270">
        <v>591612</v>
      </c>
      <c r="B153" s="951" t="s">
        <v>1371</v>
      </c>
      <c r="C153" s="270">
        <v>59</v>
      </c>
      <c r="D153" s="170" t="s">
        <v>51</v>
      </c>
      <c r="K153" s="951"/>
    </row>
    <row r="154" spans="1:11" x14ac:dyDescent="0.3">
      <c r="A154" s="270">
        <v>591604</v>
      </c>
      <c r="B154" s="270" t="s">
        <v>693</v>
      </c>
      <c r="C154" s="270">
        <v>59</v>
      </c>
      <c r="D154" s="170" t="s">
        <v>51</v>
      </c>
    </row>
    <row r="155" spans="1:11" x14ac:dyDescent="0.3">
      <c r="A155" s="270">
        <v>591632</v>
      </c>
      <c r="B155" s="950" t="s">
        <v>705</v>
      </c>
      <c r="C155" s="270">
        <v>59</v>
      </c>
      <c r="D155" s="170" t="s">
        <v>51</v>
      </c>
      <c r="K155" s="950"/>
    </row>
    <row r="156" spans="1:11" x14ac:dyDescent="0.3">
      <c r="A156" s="270">
        <v>591607</v>
      </c>
      <c r="B156" s="270" t="s">
        <v>710</v>
      </c>
      <c r="C156" s="270">
        <v>59</v>
      </c>
      <c r="D156" s="170" t="s">
        <v>51</v>
      </c>
    </row>
    <row r="157" spans="1:11" x14ac:dyDescent="0.3">
      <c r="A157" s="270">
        <v>591613</v>
      </c>
      <c r="B157" s="270" t="s">
        <v>1372</v>
      </c>
      <c r="C157" s="270">
        <v>59</v>
      </c>
      <c r="D157" s="170" t="s">
        <v>51</v>
      </c>
    </row>
    <row r="158" spans="1:11" x14ac:dyDescent="0.3">
      <c r="A158" s="270">
        <v>591616</v>
      </c>
      <c r="B158" s="950" t="s">
        <v>1373</v>
      </c>
      <c r="C158" s="270">
        <v>59</v>
      </c>
      <c r="D158" s="170" t="s">
        <v>51</v>
      </c>
      <c r="K158" s="950"/>
    </row>
    <row r="159" spans="1:11" x14ac:dyDescent="0.3">
      <c r="A159" s="270">
        <v>592368</v>
      </c>
      <c r="B159" s="270" t="s">
        <v>759</v>
      </c>
      <c r="C159" s="270">
        <v>59</v>
      </c>
      <c r="D159" s="170" t="s">
        <v>51</v>
      </c>
    </row>
    <row r="160" spans="1:11" x14ac:dyDescent="0.3">
      <c r="A160" s="270">
        <v>591633</v>
      </c>
      <c r="B160" s="950" t="s">
        <v>1374</v>
      </c>
      <c r="C160" s="270">
        <v>59</v>
      </c>
      <c r="D160" s="170" t="s">
        <v>51</v>
      </c>
      <c r="K160" s="950"/>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2021-08-02T19:19:14Z</cp:lastPrinted>
  <dcterms:created xsi:type="dcterms:W3CDTF">2011-03-11T21:05:05Z</dcterms:created>
  <dcterms:modified xsi:type="dcterms:W3CDTF">2021-08-19T23:24:08Z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